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hidePivotFieldList="1"/>
  <bookViews>
    <workbookView xWindow="-108" yWindow="-108" windowWidth="17016" windowHeight="10416" tabRatio="757" activeTab="6"/>
  </bookViews>
  <sheets>
    <sheet name="LOG" sheetId="236" r:id="rId1"/>
    <sheet name="Intro" sheetId="243" r:id="rId2"/>
    <sheet name="Commodities" sheetId="216" r:id="rId3"/>
    <sheet name="Processes" sheetId="231" r:id="rId4"/>
    <sheet name="Trade" sheetId="261" r:id="rId5"/>
    <sheet name="Distribution" sheetId="265" r:id="rId6"/>
    <sheet name="MIN-IMP-EXP" sheetId="245" r:id="rId7"/>
    <sheet name="ETS_NETS_Prices" sheetId="242" r:id="rId8"/>
    <sheet name="Refineries" sheetId="246" r:id="rId9"/>
    <sheet name="Emis" sheetId="244" r:id="rId10"/>
    <sheet name="35 (2)" sheetId="264" r:id="rId11"/>
    <sheet name="Fuel Tech" sheetId="237" r:id="rId12"/>
    <sheet name="2010" sheetId="259" r:id="rId13"/>
    <sheet name="2015" sheetId="260" r:id="rId14"/>
    <sheet name="2019" sheetId="258" r:id="rId15"/>
    <sheet name="3.10" sheetId="256" r:id="rId16"/>
    <sheet name="Data_by_sector" sheetId="262" r:id="rId17"/>
    <sheet name="BiomassCost" sheetId="241" r:id="rId18"/>
    <sheet name="MIN-IMP-EXP_Data" sheetId="235" r:id="rId19"/>
    <sheet name="Refinery_data" sheetId="238" r:id="rId20"/>
    <sheet name="Oil &amp; Gas Data" sheetId="247" r:id="rId21"/>
    <sheet name="Eurostat_EB-2010" sheetId="248" r:id="rId22"/>
    <sheet name="Eurostat_EB-2011" sheetId="249" r:id="rId23"/>
    <sheet name="Eurostat_EB-2012" sheetId="250" r:id="rId24"/>
    <sheet name="Eurostat_EB-2013" sheetId="251" r:id="rId25"/>
    <sheet name="Eurostat_EB-2014" sheetId="252" r:id="rId26"/>
    <sheet name="NETP 2016 (Balmorel)" sheetId="253" r:id="rId27"/>
    <sheet name="Flex4RES fuel prices" sheetId="254" r:id="rId28"/>
    <sheet name="BiomassCost (2)" sheetId="255" r:id="rId29"/>
  </sheets>
  <externalReferences>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s>
  <definedNames>
    <definedName name="_xlnm._FilterDatabase" localSheetId="2" hidden="1">Commodities!$C$5:$K$15</definedName>
    <definedName name="_Order1" hidden="1">255</definedName>
    <definedName name="_Order2" hidden="1">255</definedName>
    <definedName name="ActUnit_Pa">#REF!</definedName>
    <definedName name="ActUnit_Pb">#REF!</definedName>
    <definedName name="AFA_3a">#REF!</definedName>
    <definedName name="AFA_3b">#REF!</definedName>
    <definedName name="All_TP" localSheetId="21">#REF!,#REF!,#REF!</definedName>
    <definedName name="All_TP" localSheetId="22">#REF!,#REF!,#REF!</definedName>
    <definedName name="All_TP" localSheetId="23">#REF!,#REF!,#REF!</definedName>
    <definedName name="All_TP" localSheetId="24">#REF!,#REF!,#REF!</definedName>
    <definedName name="All_TP">#REF!,#REF!,#REF!</definedName>
    <definedName name="All_US" localSheetId="21">#REF!,#REF!,#REF!</definedName>
    <definedName name="All_US" localSheetId="22">#REF!,#REF!,#REF!</definedName>
    <definedName name="All_US" localSheetId="23">#REF!,#REF!,#REF!</definedName>
    <definedName name="All_US" localSheetId="24">#REF!,#REF!,#REF!</definedName>
    <definedName name="All_US">#REF!,#REF!,#REF!</definedName>
    <definedName name="AnnualProd_1">[1]Plants1!$N$14:$N$1884</definedName>
    <definedName name="BaseYear">[1]Start!$D$22</definedName>
    <definedName name="BiomassLargeCHP" localSheetId="14">[2]TechnologyData!$A$14:$M$41</definedName>
    <definedName name="BiomassLargeCHP" localSheetId="5">[3]TechnologyData!$A$14:$M$41</definedName>
    <definedName name="BiomassLargeCHP">[3]TechnologyData!$A$14:$M$41</definedName>
    <definedName name="body1ea" localSheetId="21">#REF!</definedName>
    <definedName name="body1ea" localSheetId="22">#REF!</definedName>
    <definedName name="body1ea" localSheetId="23">#REF!</definedName>
    <definedName name="body1ea" localSheetId="24">#REF!</definedName>
    <definedName name="body1ea">#REF!</definedName>
    <definedName name="body1eb" localSheetId="21">#REF!</definedName>
    <definedName name="body1eb" localSheetId="22">#REF!</definedName>
    <definedName name="body1eb" localSheetId="23">#REF!</definedName>
    <definedName name="body1eb" localSheetId="24">#REF!</definedName>
    <definedName name="body1eb">#REF!</definedName>
    <definedName name="body1fa" localSheetId="21">#REF!</definedName>
    <definedName name="body1fa" localSheetId="22">#REF!</definedName>
    <definedName name="body1fa" localSheetId="23">#REF!</definedName>
    <definedName name="body1fa" localSheetId="24">#REF!</definedName>
    <definedName name="body1fa">#REF!</definedName>
    <definedName name="body1fb" localSheetId="21">#REF!</definedName>
    <definedName name="body1fb" localSheetId="22">#REF!</definedName>
    <definedName name="body1fb" localSheetId="23">#REF!</definedName>
    <definedName name="body1fb" localSheetId="24">#REF!</definedName>
    <definedName name="body1fb">#REF!</definedName>
    <definedName name="body1ga" localSheetId="21">#REF!</definedName>
    <definedName name="body1ga" localSheetId="22">#REF!</definedName>
    <definedName name="body1ga" localSheetId="23">#REF!</definedName>
    <definedName name="body1ga" localSheetId="24">#REF!</definedName>
    <definedName name="body1ga">#REF!</definedName>
    <definedName name="body1gb" localSheetId="21">#REF!</definedName>
    <definedName name="body1gb" localSheetId="22">#REF!</definedName>
    <definedName name="body1gb" localSheetId="23">#REF!</definedName>
    <definedName name="body1gb" localSheetId="24">#REF!</definedName>
    <definedName name="body1gb">#REF!</definedName>
    <definedName name="body2ea" localSheetId="21">#REF!</definedName>
    <definedName name="body2ea" localSheetId="22">#REF!</definedName>
    <definedName name="body2ea" localSheetId="23">#REF!</definedName>
    <definedName name="body2ea" localSheetId="24">#REF!</definedName>
    <definedName name="body2ea">#REF!</definedName>
    <definedName name="body2eb" localSheetId="21">#REF!</definedName>
    <definedName name="body2eb" localSheetId="22">#REF!</definedName>
    <definedName name="body2eb" localSheetId="23">#REF!</definedName>
    <definedName name="body2eb" localSheetId="24">#REF!</definedName>
    <definedName name="body2eb">#REF!</definedName>
    <definedName name="body2f" localSheetId="21">#REF!</definedName>
    <definedName name="body2f" localSheetId="22">#REF!</definedName>
    <definedName name="body2f" localSheetId="23">#REF!</definedName>
    <definedName name="body2f" localSheetId="24">#REF!</definedName>
    <definedName name="body2f">#REF!</definedName>
    <definedName name="body2fa" localSheetId="21">#REF!</definedName>
    <definedName name="body2fa" localSheetId="22">#REF!</definedName>
    <definedName name="body2fa" localSheetId="23">#REF!</definedName>
    <definedName name="body2fa" localSheetId="24">#REF!</definedName>
    <definedName name="body2fa">#REF!</definedName>
    <definedName name="body2fb" localSheetId="21">#REF!</definedName>
    <definedName name="body2fb" localSheetId="22">#REF!</definedName>
    <definedName name="body2fb" localSheetId="23">#REF!</definedName>
    <definedName name="body2fb" localSheetId="24">#REF!</definedName>
    <definedName name="body2fb">#REF!</definedName>
    <definedName name="body2ga" localSheetId="21">#REF!</definedName>
    <definedName name="body2ga" localSheetId="22">#REF!</definedName>
    <definedName name="body2ga" localSheetId="23">#REF!</definedName>
    <definedName name="body2ga" localSheetId="24">#REF!</definedName>
    <definedName name="body2ga">#REF!</definedName>
    <definedName name="body2gb" localSheetId="21">#REF!</definedName>
    <definedName name="body2gb" localSheetId="22">#REF!</definedName>
    <definedName name="body2gb" localSheetId="23">#REF!</definedName>
    <definedName name="body2gb" localSheetId="24">#REF!</definedName>
    <definedName name="body2gb">#REF!</definedName>
    <definedName name="body3ea" localSheetId="21">#REF!</definedName>
    <definedName name="body3ea" localSheetId="22">#REF!</definedName>
    <definedName name="body3ea" localSheetId="23">#REF!</definedName>
    <definedName name="body3ea" localSheetId="24">#REF!</definedName>
    <definedName name="body3ea">#REF!</definedName>
    <definedName name="body3eb" localSheetId="21">#REF!</definedName>
    <definedName name="body3eb" localSheetId="22">#REF!</definedName>
    <definedName name="body3eb" localSheetId="23">#REF!</definedName>
    <definedName name="body3eb" localSheetId="24">#REF!</definedName>
    <definedName name="body3eb">#REF!</definedName>
    <definedName name="body3fa" localSheetId="21">#REF!</definedName>
    <definedName name="body3fa" localSheetId="22">#REF!</definedName>
    <definedName name="body3fa" localSheetId="23">#REF!</definedName>
    <definedName name="body3fa" localSheetId="24">#REF!</definedName>
    <definedName name="body3fa">#REF!</definedName>
    <definedName name="body3fb" localSheetId="21">#REF!</definedName>
    <definedName name="body3fb" localSheetId="22">#REF!</definedName>
    <definedName name="body3fb" localSheetId="23">#REF!</definedName>
    <definedName name="body3fb" localSheetId="24">#REF!</definedName>
    <definedName name="body3fb">#REF!</definedName>
    <definedName name="body3ga" localSheetId="21">#REF!</definedName>
    <definedName name="body3ga" localSheetId="22">#REF!</definedName>
    <definedName name="body3ga" localSheetId="23">#REF!</definedName>
    <definedName name="body3ga" localSheetId="24">#REF!</definedName>
    <definedName name="body3ga">#REF!</definedName>
    <definedName name="body3gb" localSheetId="21">#REF!</definedName>
    <definedName name="body3gb" localSheetId="22">#REF!</definedName>
    <definedName name="body3gb" localSheetId="23">#REF!</definedName>
    <definedName name="body3gb" localSheetId="24">#REF!</definedName>
    <definedName name="body3gb">#REF!</definedName>
    <definedName name="body4ea" localSheetId="21">#REF!</definedName>
    <definedName name="body4ea" localSheetId="22">#REF!</definedName>
    <definedName name="body4ea" localSheetId="23">#REF!</definedName>
    <definedName name="body4ea" localSheetId="24">#REF!</definedName>
    <definedName name="body4ea">#REF!</definedName>
    <definedName name="body4eb" localSheetId="21">#REF!</definedName>
    <definedName name="body4eb" localSheetId="22">#REF!</definedName>
    <definedName name="body4eb" localSheetId="23">#REF!</definedName>
    <definedName name="body4eb" localSheetId="24">#REF!</definedName>
    <definedName name="body4eb">#REF!</definedName>
    <definedName name="body4f" localSheetId="21">#REF!</definedName>
    <definedName name="body4f" localSheetId="22">#REF!</definedName>
    <definedName name="body4f" localSheetId="23">#REF!</definedName>
    <definedName name="body4f" localSheetId="24">#REF!</definedName>
    <definedName name="body4f">#REF!</definedName>
    <definedName name="body4fa" localSheetId="21">#REF!</definedName>
    <definedName name="body4fa" localSheetId="22">#REF!</definedName>
    <definedName name="body4fa" localSheetId="23">#REF!</definedName>
    <definedName name="body4fa" localSheetId="24">#REF!</definedName>
    <definedName name="body4fa">#REF!</definedName>
    <definedName name="body4fb" localSheetId="21">#REF!</definedName>
    <definedName name="body4fb" localSheetId="22">#REF!</definedName>
    <definedName name="body4fb" localSheetId="23">#REF!</definedName>
    <definedName name="body4fb" localSheetId="24">#REF!</definedName>
    <definedName name="body4fb">#REF!</definedName>
    <definedName name="body4ga" localSheetId="21">#REF!</definedName>
    <definedName name="body4ga" localSheetId="22">#REF!</definedName>
    <definedName name="body4ga" localSheetId="23">#REF!</definedName>
    <definedName name="body4ga" localSheetId="24">#REF!</definedName>
    <definedName name="body4ga">#REF!</definedName>
    <definedName name="body4gb" localSheetId="21">#REF!</definedName>
    <definedName name="body4gb" localSheetId="22">#REF!</definedName>
    <definedName name="body4gb" localSheetId="23">#REF!</definedName>
    <definedName name="body4gb" localSheetId="24">#REF!</definedName>
    <definedName name="body4gb">#REF!</definedName>
    <definedName name="BPslut" localSheetId="14">[2]Plants!$J$2</definedName>
    <definedName name="BPslut" localSheetId="5">[3]Plants!$J$2</definedName>
    <definedName name="BPslut">[3]Plants!$J$2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a">#REF!</definedName>
    <definedName name="CAP2ACT_3b">#REF!</definedName>
    <definedName name="CapUnit_Pa">#REF!</definedName>
    <definedName name="CapUnit_Pb">#REF!</definedName>
    <definedName name="CC_DATA" localSheetId="5">OFFSET(#REF!,0,COUNTA(#REF!)-1,8,1),OFFSET(#REF!,0,COUNTA(#REF!)-1,2,1), OFFSET(#REF!,0,COUNTA(#REF!)-1,1,1), OFFSET(#REF!,0,COUNTA(#REF!)-1,1,1), OFFSET(#REF!,0,COUNTA(#REF!)-1,1,1)</definedName>
    <definedName name="CC_DATA">OFFSET(Data_by_sector!$A$11,0,COUNTA(Data_by_sector!$1:$1)-1,8,1),OFFSET(Data_by_sector!$A$26,0,COUNTA(Data_by_sector!$1:$1)-1,2,1), OFFSET(Data_by_sector!$A$35,0,COUNTA(Data_by_sector!$1:$1)-1,1,1), OFFSET(Data_by_sector!$A$41,0,COUNTA(Data_by_sector!$1:$1)-1,1,1), OFFSET(Data_by_sector!$A$46,0,COUNTA(Data_by_sector!$1:$1)-1,1,1)</definedName>
    <definedName name="CEH_3a">#REF!</definedName>
    <definedName name="CEH_3b">#REF!</definedName>
    <definedName name="chosenYear" localSheetId="5">[4]Cockpit!$B$5</definedName>
    <definedName name="chosenYear">[4]Cockpit!$B$5</definedName>
    <definedName name="CHPR_3a">#REF!</definedName>
    <definedName name="CHPR_3b">#REF!</definedName>
    <definedName name="CHPR_UP_3a">#REF!</definedName>
    <definedName name="CHPR_UP_3b">#REF!</definedName>
    <definedName name="CO2Price">ETS_NETS_Prices!$F$13:$AT$14</definedName>
    <definedName name="Comm_IN_3a">#REF!</definedName>
    <definedName name="Comm_IN_3b">#REF!</definedName>
    <definedName name="Comm_OUT_3a">#REF!</definedName>
    <definedName name="Comm_OUT_3b">#REF!</definedName>
    <definedName name="countrye" localSheetId="21">#REF!</definedName>
    <definedName name="countrye" localSheetId="22">#REF!</definedName>
    <definedName name="countrye" localSheetId="23">#REF!</definedName>
    <definedName name="countrye" localSheetId="24">#REF!</definedName>
    <definedName name="countrye">#REF!</definedName>
    <definedName name="countryf" localSheetId="21">#REF!</definedName>
    <definedName name="countryf" localSheetId="22">#REF!</definedName>
    <definedName name="countryf" localSheetId="23">#REF!</definedName>
    <definedName name="countryf" localSheetId="24">#REF!</definedName>
    <definedName name="countryf">#REF!</definedName>
    <definedName name="countryg" localSheetId="21">#REF!</definedName>
    <definedName name="countryg" localSheetId="22">#REF!</definedName>
    <definedName name="countryg" localSheetId="23">#REF!</definedName>
    <definedName name="countryg" localSheetId="24">#REF!</definedName>
    <definedName name="countryg">#REF!</definedName>
    <definedName name="CRF_CountryName" localSheetId="5">[5]Sheet1!$C$4</definedName>
    <definedName name="CRF_CountryName">[5]Sheet1!$C$4</definedName>
    <definedName name="dkkPerEUR" localSheetId="5">'[6]Centrale data'!$C$34</definedName>
    <definedName name="dkkPerEUR">'[6]Centrale data'!$C$34</definedName>
    <definedName name="E_waste">#REF!</definedName>
    <definedName name="EFF_3a">#REF!</definedName>
    <definedName name="EFF_3b">#REF!</definedName>
    <definedName name="Eksportstigning" localSheetId="14">[2]Plants!$J$6</definedName>
    <definedName name="Eksportstigning" localSheetId="5">[3]Plants!$J$6</definedName>
    <definedName name="Eksportstigning">[3]Plants!$J$6</definedName>
    <definedName name="ElArea">[1]Start!$D$24</definedName>
    <definedName name="ELarea_1">[1]Plants1!$B$14:$B$1884</definedName>
    <definedName name="ElAreas">[1]Geo!$B$11:$B$15</definedName>
    <definedName name="ElAreas_Translate">[1]Geo!$I$11:$J$15</definedName>
    <definedName name="ElBoiler" localSheetId="14">[2]TechnologyData!$O$72:$AA$99</definedName>
    <definedName name="ElBoiler" localSheetId="5">[3]TechnologyData!$O$72:$AA$99</definedName>
    <definedName name="ElBoiler">[3]TechnologyData!$O$72:$AA$99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14">[2]Subsidy!#REF!</definedName>
    <definedName name="ElPriceMix" localSheetId="5">[3]Subsidy!#REF!</definedName>
    <definedName name="ElPriceMix" localSheetId="8">[3]Subsidy!#REF!</definedName>
    <definedName name="ElPriceMix">[3]Subsidy!#REF!</definedName>
    <definedName name="Euro">#REF!</definedName>
    <definedName name="Fastprisår" localSheetId="14">[7]Forside!$B$5</definedName>
    <definedName name="Fastprisår" localSheetId="5">[8]Forside!$B$5</definedName>
    <definedName name="Fastprisår">[8]Forside!$B$5</definedName>
    <definedName name="FID_1" localSheetId="14">[9]AGR_Fuels!$A$2</definedName>
    <definedName name="FID_1" localSheetId="5">[10]AGR_Fuels!$A$2</definedName>
    <definedName name="FID_1" localSheetId="0">[10]AGR_Fuels!$A$2</definedName>
    <definedName name="FID_1">[10]AGR_Fuels!$A$2</definedName>
    <definedName name="FID_2" localSheetId="5">#REF!</definedName>
    <definedName name="FID_2" localSheetId="7">[11]LOG!#REF!</definedName>
    <definedName name="FID_2" localSheetId="8">[12]LOG!#REF!</definedName>
    <definedName name="FID_2">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a">#REF!</definedName>
    <definedName name="FIXOM_3b">#REF!</definedName>
    <definedName name="FIXWINOFF" localSheetId="5">'[13]O&amp;M waste and WIN '!$K$13</definedName>
    <definedName name="FIXWINOFF">'[13]O&amp;M waste and WIN '!$K$13</definedName>
    <definedName name="FIXWINON" localSheetId="5">'[13]O&amp;M waste and WIN '!$K$14</definedName>
    <definedName name="FIXWINON">'[13]O&amp;M waste and WIN '!$K$14</definedName>
    <definedName name="FIXWSTBO" localSheetId="5">'[14]O&amp;M waste and WIN '!$E$5</definedName>
    <definedName name="FIXWSTBO">'[14]O&amp;M waste and WIN '!$E$5</definedName>
    <definedName name="FIXWSTBP" localSheetId="5">'[15]Adjusted O&amp;M waste and wind '!$C$4</definedName>
    <definedName name="FIXWSTBP">'[15]Adjusted O&amp;M waste and wind '!$C$4</definedName>
    <definedName name="FuelDesc">[1]Fuel!$T$12:$U$34</definedName>
    <definedName name="FuelPrices" localSheetId="7">#REF!</definedName>
    <definedName name="FuelPrices" localSheetId="8">#REF!</definedName>
    <definedName name="FuelPrices">#REF!</definedName>
    <definedName name="GHG_W_LULUCF_CO2" localSheetId="5">OFFSET([16]Data_by_gas!$A$14,0,1,1,COUNTA([16]Data_by_gas!$1:$1)-1)</definedName>
    <definedName name="GHG_W_LULUCF_CO2">OFFSET([16]Data_by_gas!$A$14,0,1,1,COUNTA([16]Data_by_gas!$1:$1)-1)</definedName>
    <definedName name="GHG_W_LULUCF_NONCO2" localSheetId="5">OFFSET([16]Data_by_gas!$A$21,0,1,1,COUNTA([16]Data_by_gas!$1:$1)-1)</definedName>
    <definedName name="GHG_W_LULUCF_NONCO2">OFFSET([16]Data_by_gas!$A$21,0,1,1,COUNTA([16]Data_by_gas!$1:$1)-1)</definedName>
    <definedName name="GHG_W_LULUCF_TOTALGHG" localSheetId="5">OFFSET([16]Data_by_gas!$A$22,0,1,1,COUNTA([16]Data_by_gas!$1:$1)-1)</definedName>
    <definedName name="GHG_W_LULUCF_TOTALGHG">OFFSET([16]Data_by_gas!$A$22,0,1,1,COUNTA([16]Data_by_gas!$1:$1)-1)</definedName>
    <definedName name="GHG_WO_LULUCF_CO2" localSheetId="5">OFFSET([16]Data_by_gas!$A$3,0,1,1,COUNTA([16]Data_by_gas!$1:$1)-1)</definedName>
    <definedName name="GHG_WO_LULUCF_CO2">OFFSET([16]Data_by_gas!$A$3,0,1,1,COUNTA([16]Data_by_gas!$1:$1)-1)</definedName>
    <definedName name="GHG_WO_LULUCF_NONCO2" localSheetId="5">OFFSET([16]Data_by_gas!$A$10,0,1,1,COUNTA([16]Data_by_gas!$1:$1)-1)</definedName>
    <definedName name="GHG_WO_LULUCF_NONCO2">OFFSET([16]Data_by_gas!$A$10,0,1,1,COUNTA([16]Data_by_gas!$1:$1)-1)</definedName>
    <definedName name="GHG_WO_LULUCF_TOTALGHG" localSheetId="5">OFFSET([16]Data_by_gas!$A$11,0,1,1,COUNTA([16]Data_by_gas!$1:$1)-1)</definedName>
    <definedName name="GHG_WO_LULUCF_TOTALGHG">OFFSET([16]Data_by_gas!$A$11,0,1,1,COUNTA([16]Data_by_gas!$1:$1)-1)</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 localSheetId="14">[2]TechnologyData!$O$101:$AA$128</definedName>
    <definedName name="HeatPump_Large" localSheetId="5">[3]TechnologyData!$O$101:$AA$128</definedName>
    <definedName name="HeatPump_Large">[3]TechnologyData!$O$101:$AA$128</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14">[2]General!#REF!</definedName>
    <definedName name="Inflation" localSheetId="5">[3]General!#REF!</definedName>
    <definedName name="Inflation" localSheetId="8">[3]General!#REF!</definedName>
    <definedName name="Inflation">[3]General!#REF!</definedName>
    <definedName name="LastPSOYear" localSheetId="14">[2]Plants!$H$2</definedName>
    <definedName name="LastPSOYear" localSheetId="5">[3]Plants!$H$2</definedName>
    <definedName name="LastPSOYear">[3]Plants!$H$2</definedName>
    <definedName name="LBL_CAT" localSheetId="5">#REF!,#REF!,#REF!,#REF!,#REF!,#REF!</definedName>
    <definedName name="LBL_CAT">Data_by_sector!$A$11:$A$18,Data_by_sector!$A$26,Data_by_sector!$A$27,Data_by_sector!$A$35,Data_by_sector!$A$41,Data_by_sector!$A$46</definedName>
    <definedName name="LBL_GAS_YEARS" localSheetId="5">OFFSET([16]Data_by_gas!$A$1,0,1,1,COUNTA([16]Data_by_gas!$1:$1)-1)</definedName>
    <definedName name="LBL_GAS_YEARS">OFFSET([16]Data_by_gas!$A$1,0,1,1,COUNTA([16]Data_by_gas!$1:$1)-1)</definedName>
    <definedName name="LIFE_3a">#REF!</definedName>
    <definedName name="LIFE_3b">#REF!</definedName>
    <definedName name="MINCRD" comment="Activity bound for DK crude oil production based on projection from DEA." localSheetId="7">'[11]Mining NGA&amp;CRD'!$N$13:$O$93</definedName>
    <definedName name="MINCRD" comment="Activity bound for DK crude oil production based on projection from DEA." localSheetId="8">#REF!</definedName>
    <definedName name="MINCRD" comment="Activity bound for DK crude oil production based on projection from DEA.">#REF!</definedName>
    <definedName name="MINNGA" comment="Activity bound for DK natural gas  production based on projection from DEA." localSheetId="7">'[11]Mining NGA&amp;CRD'!$P$13:$Q$93</definedName>
    <definedName name="MINNGA" comment="Activity bound for DK natural gas  production based on projection from DEA." localSheetId="8">#REF!</definedName>
    <definedName name="MINNGA" comment="Activity bound for DK natural gas  production based on projection from DEA.">#REF!</definedName>
    <definedName name="MWhGJ">#REF!</definedName>
    <definedName name="NCAP_BND_FX_0_3a">#REF!</definedName>
    <definedName name="NCAP_BND_FX_0_3b">#REF!</definedName>
    <definedName name="NCAP_BND_FX_3a">#REF!</definedName>
    <definedName name="NCAP_BND_FX_3b">#REF!</definedName>
    <definedName name="Nettarif" localSheetId="14">[2]TechnologyData!$F$11</definedName>
    <definedName name="Nettarif" localSheetId="5">[3]TechnologyData!$F$11</definedName>
    <definedName name="Nettarif">[3]TechnologyData!$F$11</definedName>
    <definedName name="NGCC_SmallBP" localSheetId="14">[2]TechnologyData!$A$72:$M$99</definedName>
    <definedName name="NGCC_SmallBP" localSheetId="5">[3]TechnologyData!$A$72:$M$99</definedName>
    <definedName name="NGCC_SmallBP">[3]TechnologyData!$A$72:$M$99</definedName>
    <definedName name="nhydro" localSheetId="14">[2]General!#REF!</definedName>
    <definedName name="nhydro" localSheetId="5">[3]General!#REF!</definedName>
    <definedName name="nhydro" localSheetId="8">[3]General!#REF!</definedName>
    <definedName name="nhydro">[3]General!#REF!</definedName>
    <definedName name="NyeNGCC" localSheetId="14">[2]Plants!$J$5</definedName>
    <definedName name="NyeNGCC" localSheetId="5">[3]Plants!$J$5</definedName>
    <definedName name="NyeNGCC">[3]Plants!$J$5</definedName>
    <definedName name="OffshoreWindPark" localSheetId="14">[2]TechnologyData!$O$43:$AA$70</definedName>
    <definedName name="OffshoreWindPark" localSheetId="5">[3]TechnologyData!$O$43:$AA$70</definedName>
    <definedName name="OffshoreWindPark">[3]TechnologyData!$O$43:$AA$70</definedName>
    <definedName name="OnshoreWindPark" localSheetId="14">[2]TechnologyData!$O$14:$AA$41</definedName>
    <definedName name="OnshoreWindPark" localSheetId="5">[3]TechnologyData!$O$14:$AA$41</definedName>
    <definedName name="OnshoreWindPark">[3]TechnologyData!$O$14:$AA$41</definedName>
    <definedName name="Peak_3a">#REF!</definedName>
    <definedName name="Peak_3b">#REF!</definedName>
    <definedName name="PlantDesc1">'[1]TIMES-DK codes'!$B$12:$C$48</definedName>
    <definedName name="PlantDesc2">'[1]TIMES-DK codes'!$D$12:$E$40</definedName>
    <definedName name="PlantName_1">[1]Plants1!$A$14:$A$1884</definedName>
    <definedName name="Prisår_Til_Ramses" localSheetId="5">#REF!</definedName>
    <definedName name="Prisår_Til_Ramses" localSheetId="8">#REF!</definedName>
    <definedName name="Prisår_Til_Ramses">#REF!</definedName>
    <definedName name="Raggr1" localSheetId="5">[17]Rækker!$A$4:$A$4</definedName>
    <definedName name="Raggr1">[17]Rækker!$A$4:$A$4</definedName>
    <definedName name="Raggr2" localSheetId="5">[17]Rækker!$B$4:$B$4</definedName>
    <definedName name="Raggr2">[17]Rækker!$B$4:$B$4</definedName>
    <definedName name="Raggr3" localSheetId="5">[17]Rækker!$C$4:$C$4</definedName>
    <definedName name="Raggr3">[17]Rækker!$C$4:$C$4</definedName>
    <definedName name="Raggr4" localSheetId="8">#REF!</definedName>
    <definedName name="Raggr4">'MIN-IMP-EXP_Data'!$D$4:$D$4</definedName>
    <definedName name="Raggr5" localSheetId="8">#REF!</definedName>
    <definedName name="Raggr5">'MIN-IMP-EXP_Data'!$E$4:$E$4</definedName>
    <definedName name="Real_interest_rate" localSheetId="14">[18]TechnologyData!$B$37</definedName>
    <definedName name="Real_interest_rate" localSheetId="5">[19]TechnologyData!$B$37</definedName>
    <definedName name="Real_interest_rate">[19]TechnologyData!$B$37</definedName>
    <definedName name="RefurbishedCoalBioCHP" localSheetId="14">[2]TechnologyData!$A$43:$M$70</definedName>
    <definedName name="RefurbishedCoalBioCHP" localSheetId="5">[3]TechnologyData!$A$43:$M$70</definedName>
    <definedName name="RefurbishedCoalBioCHP">[3]TechnologyData!$A$43:$M$70</definedName>
    <definedName name="Region_3a">#REF!</definedName>
    <definedName name="Region_3b">#REF!</definedName>
    <definedName name="Region_Pa">#REF!</definedName>
    <definedName name="Region_Pb">#REF!</definedName>
    <definedName name="RenovCKV" localSheetId="14">[2]Plants!$J$4</definedName>
    <definedName name="RenovCKV" localSheetId="5">[3]Plants!$J$4</definedName>
    <definedName name="RenovCKV">[3]Plants!$J$4</definedName>
    <definedName name="RetBE" localSheetId="5">[20]Macro1!#REF!</definedName>
    <definedName name="RetBE" localSheetId="21">[20]Macro1!#REF!</definedName>
    <definedName name="RetBE" localSheetId="22">[20]Macro1!#REF!</definedName>
    <definedName name="RetBE" localSheetId="23">[20]Macro1!#REF!</definedName>
    <definedName name="RetBE" localSheetId="24">[20]Macro1!#REF!</definedName>
    <definedName name="RetBE">[20]Macro1!#REF!</definedName>
    <definedName name="rSØK" localSheetId="5">'[6]Centrale data'!$C$32</definedName>
    <definedName name="rSØK">'[6]Centrale data'!$C$32</definedName>
    <definedName name="Saggr1" localSheetId="5">[17]Søjler!$A$4:$A$7</definedName>
    <definedName name="Saggr1">[17]Søjler!$A$4:$A$7</definedName>
    <definedName name="Saggr2" localSheetId="5">[17]Søjler!$B$4:$B$7</definedName>
    <definedName name="Saggr2">[17]Søjler!$B$4:$B$7</definedName>
    <definedName name="Saggr3" localSheetId="5">[17]Søjler!$C$4:$C$7</definedName>
    <definedName name="Saggr3">[17]Søjler!$C$4:$C$7</definedName>
    <definedName name="Saggr4" localSheetId="5">[17]Søjler!$D$4:$D$7</definedName>
    <definedName name="Saggr4">[17]Søjler!$D$4:$D$7</definedName>
    <definedName name="Saggr5" localSheetId="5">[17]Søjler!$E$4:$E$7</definedName>
    <definedName name="Saggr5">[17]Søjler!$E$4:$E$7</definedName>
    <definedName name="Saggr6" localSheetId="5">[17]Søjler!$F$4:$F$7</definedName>
    <definedName name="Saggr6">[17]Søjler!$F$4:$F$7</definedName>
    <definedName name="Saggr7" localSheetId="5">[17]Søjler!$G$4:$G$7</definedName>
    <definedName name="Saggr7">[17]Søjler!$G$4:$G$7</definedName>
    <definedName name="Saggr8" localSheetId="5">[17]Søjler!$H$4:$H$7</definedName>
    <definedName name="Saggr8">[17]Søjler!$H$4:$H$7</definedName>
    <definedName name="SECTOR_CHANGE_TOTAL" localSheetId="16">(Data_by_sector!XFD1-Data_by_sector!$B1)/Data_by_sector!$B1</definedName>
    <definedName name="SECTOR_AAC" localSheetId="16">POWER(Data_by_sector!A1048531/Data_by_sector!XFD1048531, 1/(Data_by_sector!A$1-Data_by_sector!XFD$1))-1</definedName>
    <definedName name="SECTOR_AAC_TOTAL" localSheetId="16">POWER(Data_by_sector!XFD1048531/Data_by_sector!$B1048531, 1/(Data_by_sector!XFD$1-Data_by_sector!$B$1))-1</definedName>
    <definedName name="Set_Pa" localSheetId="5">#REF!</definedName>
    <definedName name="Set_Pa">#REF!</definedName>
    <definedName name="Set_Pb" localSheetId="5">#REF!</definedName>
    <definedName name="Set_Pb">#REF!</definedName>
    <definedName name="Share_I_UP_3" localSheetId="5">[21]Tech!#REF!</definedName>
    <definedName name="Share_I_UP_3">[22]Tech!#REF!</definedName>
    <definedName name="Share_I_UP_3a" localSheetId="5">#REF!</definedName>
    <definedName name="Share_I_UP_3a">#REF!</definedName>
    <definedName name="Share_I_UP_3b" localSheetId="5">#REF!</definedName>
    <definedName name="Share_I_UP_3b">#REF!</definedName>
    <definedName name="STOCK_HET_3" localSheetId="5">[21]Tech!#REF!</definedName>
    <definedName name="STOCK_HET_3">[22]Tech!#REF!</definedName>
    <definedName name="STOCK_HET_3a" localSheetId="5">#REF!</definedName>
    <definedName name="STOCK_HET_3a">#REF!</definedName>
    <definedName name="STOCK_HET_3b" localSheetId="5">#REF!</definedName>
    <definedName name="STOCK_HET_3b">#REF!</definedName>
    <definedName name="TechDesc_3a" localSheetId="5">#REF!</definedName>
    <definedName name="TechDesc_3a">#REF!</definedName>
    <definedName name="TechDesc_3b">#REF!</definedName>
    <definedName name="TechDesc_Pa">#REF!</definedName>
    <definedName name="TechDesc_Pb">#REF!</definedName>
    <definedName name="TechName_1">[1]Plants1!$CP$14:$CP$1884</definedName>
    <definedName name="TechName_3a">#REF!</definedName>
    <definedName name="TechName_3b">#REF!</definedName>
    <definedName name="TechName_Pa">#REF!</definedName>
    <definedName name="TechName_Pb">#REF!</definedName>
    <definedName name="TimesliceLevel_Pa">#REF!</definedName>
    <definedName name="TimesliceLevel_Pb">#REF!</definedName>
    <definedName name="TP.Electricity_and_RES" localSheetId="21">#REF!</definedName>
    <definedName name="TP.Electricity_and_RES" localSheetId="22">#REF!</definedName>
    <definedName name="TP.Electricity_and_RES" localSheetId="23">#REF!</definedName>
    <definedName name="TP.Electricity_and_RES" localSheetId="24">#REF!</definedName>
    <definedName name="TP.Electricity_and_RES">#REF!</definedName>
    <definedName name="TP.Petroleum" localSheetId="21">#REF!</definedName>
    <definedName name="TP.Petroleum" localSheetId="22">#REF!</definedName>
    <definedName name="TP.Petroleum" localSheetId="23">#REF!</definedName>
    <definedName name="TP.Petroleum" localSheetId="24">#REF!</definedName>
    <definedName name="TP.Petroleum">#REF!</definedName>
    <definedName name="TP.Solids_and_Gases" localSheetId="21">#REF!</definedName>
    <definedName name="TP.Solids_and_Gases" localSheetId="22">#REF!</definedName>
    <definedName name="TP.Solids_and_Gases" localSheetId="23">#REF!</definedName>
    <definedName name="TP.Solids_and_Gases" localSheetId="24">#REF!</definedName>
    <definedName name="TP.Solids_and_Gases">#REF!</definedName>
    <definedName name="Translate">'[1]Plants Translate 1'!$E$12:$K$55</definedName>
    <definedName name="_xlnm.Print_Area" localSheetId="21">'Eurostat_EB-2010'!$A$1:$BT$179</definedName>
    <definedName name="_xlnm.Print_Area" localSheetId="22">'Eurostat_EB-2011'!$A$1:$BT$179</definedName>
    <definedName name="_xlnm.Print_Area" localSheetId="23">'Eurostat_EB-2012'!$A$1:$BT$179</definedName>
    <definedName name="_xlnm.Print_Area" localSheetId="24">'Eurostat_EB-2013'!$A$1:$BT$179</definedName>
    <definedName name="_xlnm.Print_Area" localSheetId="25">'Eurostat_EB-2014'!$A$1:$BT$179</definedName>
    <definedName name="_xlnm.Print_Titles" localSheetId="21">'Eurostat_EB-2010'!$A:$F,'Eurostat_EB-2010'!$1:$3</definedName>
    <definedName name="_xlnm.Print_Titles" localSheetId="22">'Eurostat_EB-2011'!$A:$F,'Eurostat_EB-2011'!$1:$3</definedName>
    <definedName name="_xlnm.Print_Titles" localSheetId="23">'Eurostat_EB-2012'!$A:$F,'Eurostat_EB-2012'!$1:$3</definedName>
    <definedName name="_xlnm.Print_Titles" localSheetId="24">'Eurostat_EB-2013'!$A:$F,'Eurostat_EB-2013'!$1:$3</definedName>
    <definedName name="_xlnm.Print_Titles" localSheetId="25">'Eurostat_EB-2014'!$A:$F,'Eurostat_EB-2014'!$1:$3</definedName>
    <definedName name="US.Electricity_and_RES" localSheetId="21">#REF!</definedName>
    <definedName name="US.Electricity_and_RES" localSheetId="22">#REF!</definedName>
    <definedName name="US.Electricity_and_RES" localSheetId="23">#REF!</definedName>
    <definedName name="US.Electricity_and_RES" localSheetId="24">#REF!</definedName>
    <definedName name="US.Electricity_and_RES">#REF!</definedName>
    <definedName name="US.Petroleum" localSheetId="21">#REF!</definedName>
    <definedName name="US.Petroleum" localSheetId="22">#REF!</definedName>
    <definedName name="US.Petroleum" localSheetId="23">#REF!</definedName>
    <definedName name="US.Petroleum" localSheetId="24">#REF!</definedName>
    <definedName name="US.Petroleum">#REF!</definedName>
    <definedName name="US.Solids_and_Gases" localSheetId="21">#REF!</definedName>
    <definedName name="US.Solids_and_Gases" localSheetId="22">#REF!</definedName>
    <definedName name="US.Solids_and_Gases" localSheetId="23">#REF!</definedName>
    <definedName name="US.Solids_and_Gases" localSheetId="24">#REF!</definedName>
    <definedName name="US.Solids_and_Gases">#REF!</definedName>
    <definedName name="VAROM_3a">#REF!</definedName>
    <definedName name="VAROM_3b">#REF!</definedName>
    <definedName name="VARWINOFF" localSheetId="5">'[13]O&amp;M waste and WIN '!$L$13</definedName>
    <definedName name="VARWINOFF">'[13]O&amp;M waste and WIN '!$L$13</definedName>
    <definedName name="VARWINON" localSheetId="5">'[13]O&amp;M waste and WIN '!$L$14</definedName>
    <definedName name="VARWINON">'[13]O&amp;M waste and WIN '!$L$14</definedName>
    <definedName name="VARWSTBO" localSheetId="5">'[15]Adjusted O&amp;M waste and wind '!$D$5</definedName>
    <definedName name="VARWSTBO">'[15]Adjusted O&amp;M waste and wind '!$D$5</definedName>
    <definedName name="VARWSTBP" localSheetId="5">'[15]Adjusted O&amp;M waste and wind '!$D$4</definedName>
    <definedName name="VARWSTBP">'[15]Adjusted O&amp;M waste and wind '!$D$4</definedName>
    <definedName name="WasteCHP" localSheetId="14">[2]TechnologyData!$A$101:$M$129</definedName>
    <definedName name="WasteCHP" localSheetId="5">[3]TechnologyData!$A$101:$M$129</definedName>
    <definedName name="WasteCHP">[3]TechnologyData!$A$101:$M$129</definedName>
    <definedName name="Wood_SmallBP" localSheetId="14">[2]TechnologyData!$A$131:$M$158</definedName>
    <definedName name="Wood_SmallBP" localSheetId="5">[3]TechnologyData!$A$131:$M$158</definedName>
    <definedName name="Wood_SmallBP">[3]TechnologyData!$A$131:$M$158</definedName>
    <definedName name="x" localSheetId="2">[23]AGR_Fuels!$A$2</definedName>
    <definedName name="x" localSheetId="5">[23]AGR_Fuels!$A$2</definedName>
    <definedName name="x">[23]AGR_Fuels!$A$2</definedName>
    <definedName name="yeare" localSheetId="21">#REF!</definedName>
    <definedName name="yeare" localSheetId="22">#REF!</definedName>
    <definedName name="yeare" localSheetId="23">#REF!</definedName>
    <definedName name="yeare" localSheetId="24">#REF!</definedName>
    <definedName name="yeare">#REF!</definedName>
    <definedName name="yearf" localSheetId="21">#REF!</definedName>
    <definedName name="yearf" localSheetId="22">#REF!</definedName>
    <definedName name="yearf" localSheetId="23">#REF!</definedName>
    <definedName name="yearf" localSheetId="24">#REF!</definedName>
    <definedName name="yearf">#REF!</definedName>
    <definedName name="yearg" localSheetId="21">#REF!</definedName>
    <definedName name="yearg" localSheetId="22">#REF!</definedName>
    <definedName name="yearg" localSheetId="23">#REF!</definedName>
    <definedName name="yearg" localSheetId="24">#REF!</definedName>
    <definedName name="yearg">#REF!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8" i="216" l="1"/>
  <c r="I12" i="265"/>
  <c r="N12" i="265" s="1"/>
  <c r="J12" i="265"/>
  <c r="K12" i="265"/>
  <c r="L12" i="265"/>
  <c r="H12" i="265"/>
  <c r="O12" i="265"/>
  <c r="P12" i="265"/>
  <c r="Q12" i="265"/>
  <c r="U11" i="265"/>
  <c r="U10" i="265"/>
  <c r="U9" i="265"/>
  <c r="U8" i="265"/>
  <c r="U7" i="265"/>
  <c r="T11" i="265"/>
  <c r="T10" i="265"/>
  <c r="T9" i="265"/>
  <c r="T8" i="265"/>
  <c r="T7" i="265"/>
  <c r="I31" i="261"/>
  <c r="I32" i="261"/>
  <c r="I33" i="261"/>
  <c r="I34" i="261"/>
  <c r="I35" i="261"/>
  <c r="C31" i="261"/>
  <c r="C32" i="261"/>
  <c r="C33" i="261"/>
  <c r="C34" i="261"/>
  <c r="C35" i="261"/>
  <c r="B31" i="261"/>
  <c r="B32" i="261"/>
  <c r="B33" i="261"/>
  <c r="B34" i="261"/>
  <c r="B35" i="261"/>
  <c r="I17" i="261"/>
  <c r="I18" i="261"/>
  <c r="I19" i="261"/>
  <c r="I20" i="261"/>
  <c r="C18" i="261"/>
  <c r="C19" i="261"/>
  <c r="C20" i="261"/>
  <c r="C17" i="261"/>
  <c r="AC10" i="265"/>
  <c r="AB10" i="265"/>
  <c r="G12" i="265"/>
  <c r="G10" i="265"/>
  <c r="Q20" i="246" l="1"/>
  <c r="P20" i="246"/>
  <c r="O20" i="246"/>
  <c r="N20" i="246"/>
  <c r="Q17" i="246"/>
  <c r="P17" i="246"/>
  <c r="O17" i="246"/>
  <c r="N17" i="246"/>
  <c r="L16" i="246"/>
  <c r="K16" i="246"/>
  <c r="J16" i="246"/>
  <c r="I16" i="246"/>
  <c r="L15" i="246"/>
  <c r="K15" i="246"/>
  <c r="J15" i="246"/>
  <c r="I15" i="246"/>
  <c r="L14" i="246"/>
  <c r="K14" i="246"/>
  <c r="J14" i="246"/>
  <c r="I14" i="246"/>
  <c r="L13" i="246"/>
  <c r="K13" i="246"/>
  <c r="J13" i="246"/>
  <c r="I13" i="246"/>
  <c r="L12" i="246"/>
  <c r="K12" i="246"/>
  <c r="J12" i="246"/>
  <c r="I12" i="246"/>
  <c r="L11" i="246"/>
  <c r="K11" i="246"/>
  <c r="J11" i="246"/>
  <c r="I11" i="246"/>
  <c r="L10" i="246"/>
  <c r="K10" i="246"/>
  <c r="J10" i="246"/>
  <c r="I10" i="246"/>
  <c r="L9" i="246"/>
  <c r="K9" i="246"/>
  <c r="J9" i="246"/>
  <c r="I9" i="246"/>
  <c r="D143" i="231"/>
  <c r="D144" i="231"/>
  <c r="D145" i="231"/>
  <c r="D146" i="231"/>
  <c r="D147" i="231"/>
  <c r="D148" i="231"/>
  <c r="D149" i="231"/>
  <c r="D150" i="231"/>
  <c r="D151" i="231"/>
  <c r="D152" i="231"/>
  <c r="D153" i="231"/>
  <c r="D154" i="231"/>
  <c r="D155" i="231"/>
  <c r="D156" i="231"/>
  <c r="D157" i="231"/>
  <c r="D158" i="231"/>
  <c r="D159" i="231"/>
  <c r="D160" i="231"/>
  <c r="D161" i="231"/>
  <c r="D162" i="231"/>
  <c r="D163" i="231"/>
  <c r="D164" i="231"/>
  <c r="D165" i="231"/>
  <c r="D166" i="231"/>
  <c r="D167" i="231"/>
  <c r="D168" i="231"/>
  <c r="D169" i="231"/>
  <c r="D170" i="231"/>
  <c r="D171" i="231"/>
  <c r="D172" i="231"/>
  <c r="D173" i="231"/>
  <c r="D174" i="231"/>
  <c r="D175" i="231"/>
  <c r="D176" i="231"/>
  <c r="D177" i="231"/>
  <c r="D178" i="231"/>
  <c r="D179" i="231"/>
  <c r="D186" i="231"/>
  <c r="D187" i="231"/>
  <c r="D188" i="231"/>
  <c r="D189" i="231"/>
  <c r="D190" i="231"/>
  <c r="D191" i="231"/>
  <c r="D192" i="231"/>
  <c r="D193" i="231"/>
  <c r="D194" i="231"/>
  <c r="E188" i="231" l="1"/>
  <c r="E189" i="231"/>
  <c r="E190" i="231"/>
  <c r="E191" i="231"/>
  <c r="E192" i="231"/>
  <c r="E193" i="231"/>
  <c r="E194" i="231"/>
  <c r="E187" i="231"/>
  <c r="E122" i="216"/>
  <c r="E121" i="216"/>
  <c r="E120" i="216"/>
  <c r="E119" i="216"/>
  <c r="V7" i="265"/>
  <c r="Y7" i="265"/>
  <c r="H7" i="265" s="1"/>
  <c r="S8" i="265"/>
  <c r="V8" i="265" s="1"/>
  <c r="Y8" i="265"/>
  <c r="H8" i="265"/>
  <c r="AS8" i="265"/>
  <c r="G7" i="265" s="1"/>
  <c r="S9" i="265"/>
  <c r="V9" i="265"/>
  <c r="Y9" i="265"/>
  <c r="H9" i="265" s="1"/>
  <c r="S10" i="265"/>
  <c r="V10" i="265" s="1"/>
  <c r="Z10" i="265"/>
  <c r="H10" i="265"/>
  <c r="K10" i="265" s="1"/>
  <c r="G11" i="265"/>
  <c r="AC11" i="265" s="1"/>
  <c r="S11" i="265"/>
  <c r="V11" i="265" s="1"/>
  <c r="H11" i="265"/>
  <c r="M12" i="265"/>
  <c r="G13" i="265"/>
  <c r="H13" i="265"/>
  <c r="M13" i="265" s="1"/>
  <c r="G14" i="265"/>
  <c r="H14" i="265"/>
  <c r="M14" i="265" s="1"/>
  <c r="B21" i="261"/>
  <c r="C21" i="261"/>
  <c r="I21" i="261"/>
  <c r="B22" i="261"/>
  <c r="C22" i="261"/>
  <c r="I22" i="261"/>
  <c r="B23" i="261"/>
  <c r="C23" i="261"/>
  <c r="I23" i="261"/>
  <c r="B24" i="261"/>
  <c r="C24" i="261"/>
  <c r="I24" i="261"/>
  <c r="B25" i="261"/>
  <c r="C25" i="261"/>
  <c r="I25" i="261"/>
  <c r="B26" i="261"/>
  <c r="C26" i="261"/>
  <c r="I26" i="261"/>
  <c r="B27" i="261"/>
  <c r="C27" i="261"/>
  <c r="I27" i="261"/>
  <c r="B28" i="261"/>
  <c r="C28" i="261"/>
  <c r="I28" i="261"/>
  <c r="B29" i="261"/>
  <c r="C29" i="261"/>
  <c r="I29" i="261"/>
  <c r="B30" i="261"/>
  <c r="C30" i="261"/>
  <c r="I30" i="261"/>
  <c r="C13" i="261"/>
  <c r="I13" i="261"/>
  <c r="C14" i="261"/>
  <c r="I14" i="261"/>
  <c r="C15" i="261"/>
  <c r="I15" i="261"/>
  <c r="C16" i="261"/>
  <c r="I16" i="261"/>
  <c r="C7" i="261"/>
  <c r="I7" i="261"/>
  <c r="C8" i="261"/>
  <c r="I8" i="261"/>
  <c r="C9" i="261"/>
  <c r="I9" i="261"/>
  <c r="C10" i="261"/>
  <c r="I10" i="261"/>
  <c r="C11" i="261"/>
  <c r="I11" i="261"/>
  <c r="C12" i="261"/>
  <c r="I12" i="261"/>
  <c r="G9" i="265" l="1"/>
  <c r="J8" i="265"/>
  <c r="K8" i="265"/>
  <c r="J9" i="265"/>
  <c r="K9" i="265"/>
  <c r="J7" i="265"/>
  <c r="K7" i="265"/>
  <c r="J11" i="265"/>
  <c r="K11" i="265"/>
  <c r="M10" i="265"/>
  <c r="P10" i="265" s="1"/>
  <c r="J10" i="265"/>
  <c r="G8" i="265"/>
  <c r="M7" i="265"/>
  <c r="P7" i="265" s="1"/>
  <c r="I8" i="265"/>
  <c r="L8" i="265" s="1"/>
  <c r="M8" i="265"/>
  <c r="P8" i="265" s="1"/>
  <c r="I9" i="265"/>
  <c r="L9" i="265" s="1"/>
  <c r="M9" i="265"/>
  <c r="P9" i="265" s="1"/>
  <c r="I11" i="265"/>
  <c r="L11" i="265" s="1"/>
  <c r="M11" i="265"/>
  <c r="P11" i="265" s="1"/>
  <c r="AB11" i="265"/>
  <c r="I10" i="265"/>
  <c r="L10" i="265" s="1"/>
  <c r="N7" i="265" l="1"/>
  <c r="Q7" i="265" s="1"/>
  <c r="O7" i="265"/>
  <c r="N9" i="265"/>
  <c r="Q9" i="265" s="1"/>
  <c r="O9" i="265"/>
  <c r="N11" i="265"/>
  <c r="Q11" i="265" s="1"/>
  <c r="O11" i="265"/>
  <c r="N8" i="265"/>
  <c r="Q8" i="265" s="1"/>
  <c r="O8" i="265"/>
  <c r="N10" i="265"/>
  <c r="Q10" i="265" s="1"/>
  <c r="O10" i="265"/>
  <c r="I7" i="265"/>
  <c r="L7" i="265" s="1"/>
  <c r="AZ35" i="238"/>
  <c r="AZ33" i="238"/>
  <c r="AZ32" i="238"/>
  <c r="CX33" i="238"/>
  <c r="CW30" i="238" s="1"/>
  <c r="CW33" i="238"/>
  <c r="CV33" i="238"/>
  <c r="S68" i="245"/>
  <c r="CV30" i="238" l="1"/>
  <c r="D188" i="245"/>
  <c r="Z92" i="262"/>
  <c r="Y92" i="262"/>
  <c r="X92" i="262"/>
  <c r="W92" i="262"/>
  <c r="V92" i="262"/>
  <c r="U92" i="262"/>
  <c r="T92" i="262"/>
  <c r="S92" i="262"/>
  <c r="R92" i="262"/>
  <c r="Q92" i="262"/>
  <c r="P92" i="262"/>
  <c r="O92" i="262"/>
  <c r="N92" i="262"/>
  <c r="M92" i="262"/>
  <c r="L92" i="262"/>
  <c r="K92" i="262"/>
  <c r="J92" i="262"/>
  <c r="I92" i="262"/>
  <c r="H92" i="262"/>
  <c r="G92" i="262"/>
  <c r="F92" i="262"/>
  <c r="E92" i="262"/>
  <c r="D92" i="262"/>
  <c r="C92" i="262"/>
  <c r="B92" i="262"/>
  <c r="Z91" i="262"/>
  <c r="Y91" i="262"/>
  <c r="X91" i="262"/>
  <c r="W91" i="262"/>
  <c r="V91" i="262"/>
  <c r="U91" i="262"/>
  <c r="T91" i="262"/>
  <c r="S91" i="262"/>
  <c r="R91" i="262"/>
  <c r="Q91" i="262"/>
  <c r="P91" i="262"/>
  <c r="O91" i="262"/>
  <c r="N91" i="262"/>
  <c r="M91" i="262"/>
  <c r="L91" i="262"/>
  <c r="K91" i="262"/>
  <c r="J91" i="262"/>
  <c r="I91" i="262"/>
  <c r="H91" i="262"/>
  <c r="G91" i="262"/>
  <c r="F91" i="262"/>
  <c r="E91" i="262"/>
  <c r="D91" i="262"/>
  <c r="C91" i="262"/>
  <c r="B91" i="262"/>
  <c r="Z90" i="262"/>
  <c r="Y90" i="262"/>
  <c r="X90" i="262"/>
  <c r="W90" i="262"/>
  <c r="V90" i="262"/>
  <c r="U90" i="262"/>
  <c r="T90" i="262"/>
  <c r="S90" i="262"/>
  <c r="R90" i="262"/>
  <c r="Q90" i="262"/>
  <c r="P90" i="262"/>
  <c r="O90" i="262"/>
  <c r="N90" i="262"/>
  <c r="M90" i="262"/>
  <c r="L90" i="262"/>
  <c r="K90" i="262"/>
  <c r="J90" i="262"/>
  <c r="I90" i="262"/>
  <c r="H90" i="262"/>
  <c r="G90" i="262"/>
  <c r="F90" i="262"/>
  <c r="E90" i="262"/>
  <c r="D90" i="262"/>
  <c r="C90" i="262"/>
  <c r="B90" i="262"/>
  <c r="Z89" i="262"/>
  <c r="Y89" i="262"/>
  <c r="X89" i="262"/>
  <c r="W89" i="262"/>
  <c r="V89" i="262"/>
  <c r="U89" i="262"/>
  <c r="T89" i="262"/>
  <c r="S89" i="262"/>
  <c r="R89" i="262"/>
  <c r="Q89" i="262"/>
  <c r="P89" i="262"/>
  <c r="O89" i="262"/>
  <c r="N89" i="262"/>
  <c r="M89" i="262"/>
  <c r="L89" i="262"/>
  <c r="K89" i="262"/>
  <c r="J89" i="262"/>
  <c r="I89" i="262"/>
  <c r="H89" i="262"/>
  <c r="G89" i="262"/>
  <c r="F89" i="262"/>
  <c r="E89" i="262"/>
  <c r="D89" i="262"/>
  <c r="C89" i="262"/>
  <c r="B89" i="262"/>
  <c r="Z88" i="262"/>
  <c r="Y88" i="262"/>
  <c r="X88" i="262"/>
  <c r="W88" i="262"/>
  <c r="V88" i="262"/>
  <c r="U88" i="262"/>
  <c r="T88" i="262"/>
  <c r="S88" i="262"/>
  <c r="R88" i="262"/>
  <c r="Q88" i="262"/>
  <c r="P88" i="262"/>
  <c r="O88" i="262"/>
  <c r="N88" i="262"/>
  <c r="M88" i="262"/>
  <c r="L88" i="262"/>
  <c r="K88" i="262"/>
  <c r="J88" i="262"/>
  <c r="I88" i="262"/>
  <c r="H88" i="262"/>
  <c r="G88" i="262"/>
  <c r="F88" i="262"/>
  <c r="E88" i="262"/>
  <c r="D88" i="262"/>
  <c r="C88" i="262"/>
  <c r="B88" i="262"/>
  <c r="Z87" i="262"/>
  <c r="Y87" i="262"/>
  <c r="X87" i="262"/>
  <c r="W87" i="262"/>
  <c r="V87" i="262"/>
  <c r="U87" i="262"/>
  <c r="T87" i="262"/>
  <c r="S87" i="262"/>
  <c r="R87" i="262"/>
  <c r="Q87" i="262"/>
  <c r="P87" i="262"/>
  <c r="O87" i="262"/>
  <c r="N87" i="262"/>
  <c r="M87" i="262"/>
  <c r="L87" i="262"/>
  <c r="K87" i="262"/>
  <c r="J87" i="262"/>
  <c r="I87" i="262"/>
  <c r="H87" i="262"/>
  <c r="G87" i="262"/>
  <c r="F87" i="262"/>
  <c r="E87" i="262"/>
  <c r="D87" i="262"/>
  <c r="C87" i="262"/>
  <c r="B87" i="262"/>
  <c r="Z86" i="262"/>
  <c r="Y86" i="262"/>
  <c r="X86" i="262"/>
  <c r="W86" i="262"/>
  <c r="V86" i="262"/>
  <c r="U86" i="262"/>
  <c r="T86" i="262"/>
  <c r="S86" i="262"/>
  <c r="R86" i="262"/>
  <c r="Q86" i="262"/>
  <c r="P86" i="262"/>
  <c r="O86" i="262"/>
  <c r="N86" i="262"/>
  <c r="M86" i="262"/>
  <c r="L86" i="262"/>
  <c r="K86" i="262"/>
  <c r="J86" i="262"/>
  <c r="I86" i="262"/>
  <c r="H86" i="262"/>
  <c r="G86" i="262"/>
  <c r="F86" i="262"/>
  <c r="E86" i="262"/>
  <c r="D86" i="262"/>
  <c r="C86" i="262"/>
  <c r="B86" i="262"/>
  <c r="Z85" i="262"/>
  <c r="Y85" i="262"/>
  <c r="X85" i="262"/>
  <c r="W85" i="262"/>
  <c r="V85" i="262"/>
  <c r="U85" i="262"/>
  <c r="T85" i="262"/>
  <c r="S85" i="262"/>
  <c r="R85" i="262"/>
  <c r="Q85" i="262"/>
  <c r="P85" i="262"/>
  <c r="O85" i="262"/>
  <c r="N85" i="262"/>
  <c r="M85" i="262"/>
  <c r="L85" i="262"/>
  <c r="K85" i="262"/>
  <c r="J85" i="262"/>
  <c r="I85" i="262"/>
  <c r="H85" i="262"/>
  <c r="G85" i="262"/>
  <c r="F85" i="262"/>
  <c r="E85" i="262"/>
  <c r="D85" i="262"/>
  <c r="C85" i="262"/>
  <c r="B85" i="262"/>
  <c r="Z84" i="262"/>
  <c r="Y84" i="262"/>
  <c r="X84" i="262"/>
  <c r="W84" i="262"/>
  <c r="V84" i="262"/>
  <c r="U84" i="262"/>
  <c r="T84" i="262"/>
  <c r="S84" i="262"/>
  <c r="R84" i="262"/>
  <c r="Q84" i="262"/>
  <c r="P84" i="262"/>
  <c r="O84" i="262"/>
  <c r="N84" i="262"/>
  <c r="M84" i="262"/>
  <c r="L84" i="262"/>
  <c r="K84" i="262"/>
  <c r="J84" i="262"/>
  <c r="I84" i="262"/>
  <c r="H84" i="262"/>
  <c r="G84" i="262"/>
  <c r="F84" i="262"/>
  <c r="E84" i="262"/>
  <c r="D84" i="262"/>
  <c r="C84" i="262"/>
  <c r="B84" i="262"/>
  <c r="Z83" i="262"/>
  <c r="Y83" i="262"/>
  <c r="X83" i="262"/>
  <c r="W83" i="262"/>
  <c r="V83" i="262"/>
  <c r="U83" i="262"/>
  <c r="T83" i="262"/>
  <c r="S83" i="262"/>
  <c r="R83" i="262"/>
  <c r="Q83" i="262"/>
  <c r="P83" i="262"/>
  <c r="O83" i="262"/>
  <c r="N83" i="262"/>
  <c r="M83" i="262"/>
  <c r="L83" i="262"/>
  <c r="K83" i="262"/>
  <c r="J83" i="262"/>
  <c r="I83" i="262"/>
  <c r="H83" i="262"/>
  <c r="G83" i="262"/>
  <c r="F83" i="262"/>
  <c r="E83" i="262"/>
  <c r="D83" i="262"/>
  <c r="C83" i="262"/>
  <c r="B83" i="262"/>
  <c r="Z82" i="262"/>
  <c r="Y82" i="262"/>
  <c r="X82" i="262"/>
  <c r="W82" i="262"/>
  <c r="V82" i="262"/>
  <c r="U82" i="262"/>
  <c r="T82" i="262"/>
  <c r="S82" i="262"/>
  <c r="R82" i="262"/>
  <c r="Q82" i="262"/>
  <c r="P82" i="262"/>
  <c r="O82" i="262"/>
  <c r="N82" i="262"/>
  <c r="M82" i="262"/>
  <c r="L82" i="262"/>
  <c r="K82" i="262"/>
  <c r="J82" i="262"/>
  <c r="I82" i="262"/>
  <c r="H82" i="262"/>
  <c r="G82" i="262"/>
  <c r="F82" i="262"/>
  <c r="E82" i="262"/>
  <c r="D82" i="262"/>
  <c r="C82" i="262"/>
  <c r="B82" i="262"/>
  <c r="Z81" i="262"/>
  <c r="Y81" i="262"/>
  <c r="X81" i="262"/>
  <c r="W81" i="262"/>
  <c r="V81" i="262"/>
  <c r="U81" i="262"/>
  <c r="T81" i="262"/>
  <c r="S81" i="262"/>
  <c r="R81" i="262"/>
  <c r="Q81" i="262"/>
  <c r="P81" i="262"/>
  <c r="O81" i="262"/>
  <c r="N81" i="262"/>
  <c r="M81" i="262"/>
  <c r="L81" i="262"/>
  <c r="K81" i="262"/>
  <c r="J81" i="262"/>
  <c r="I81" i="262"/>
  <c r="H81" i="262"/>
  <c r="G81" i="262"/>
  <c r="F81" i="262"/>
  <c r="E81" i="262"/>
  <c r="D81" i="262"/>
  <c r="C81" i="262"/>
  <c r="B81" i="262"/>
  <c r="Z80" i="262"/>
  <c r="Y80" i="262"/>
  <c r="X80" i="262"/>
  <c r="W80" i="262"/>
  <c r="V80" i="262"/>
  <c r="U80" i="262"/>
  <c r="T80" i="262"/>
  <c r="S80" i="262"/>
  <c r="R80" i="262"/>
  <c r="Q80" i="262"/>
  <c r="P80" i="262"/>
  <c r="O80" i="262"/>
  <c r="N80" i="262"/>
  <c r="M80" i="262"/>
  <c r="L80" i="262"/>
  <c r="K80" i="262"/>
  <c r="J80" i="262"/>
  <c r="I80" i="262"/>
  <c r="H80" i="262"/>
  <c r="G80" i="262"/>
  <c r="F80" i="262"/>
  <c r="E80" i="262"/>
  <c r="D80" i="262"/>
  <c r="C80" i="262"/>
  <c r="B80" i="262"/>
  <c r="Z79" i="262"/>
  <c r="Y79" i="262"/>
  <c r="X79" i="262"/>
  <c r="W79" i="262"/>
  <c r="V79" i="262"/>
  <c r="U79" i="262"/>
  <c r="T79" i="262"/>
  <c r="S79" i="262"/>
  <c r="R79" i="262"/>
  <c r="Q79" i="262"/>
  <c r="P79" i="262"/>
  <c r="O79" i="262"/>
  <c r="N79" i="262"/>
  <c r="M79" i="262"/>
  <c r="L79" i="262"/>
  <c r="K79" i="262"/>
  <c r="J79" i="262"/>
  <c r="I79" i="262"/>
  <c r="H79" i="262"/>
  <c r="G79" i="262"/>
  <c r="F79" i="262"/>
  <c r="E79" i="262"/>
  <c r="D79" i="262"/>
  <c r="C79" i="262"/>
  <c r="B79" i="262"/>
  <c r="Z78" i="262"/>
  <c r="Y78" i="262"/>
  <c r="X78" i="262"/>
  <c r="W78" i="262"/>
  <c r="V78" i="262"/>
  <c r="U78" i="262"/>
  <c r="T78" i="262"/>
  <c r="S78" i="262"/>
  <c r="R78" i="262"/>
  <c r="Q78" i="262"/>
  <c r="P78" i="262"/>
  <c r="O78" i="262"/>
  <c r="N78" i="262"/>
  <c r="M78" i="262"/>
  <c r="L78" i="262"/>
  <c r="K78" i="262"/>
  <c r="J78" i="262"/>
  <c r="I78" i="262"/>
  <c r="H78" i="262"/>
  <c r="G78" i="262"/>
  <c r="F78" i="262"/>
  <c r="E78" i="262"/>
  <c r="D78" i="262"/>
  <c r="C78" i="262"/>
  <c r="B78" i="262"/>
  <c r="Z77" i="262"/>
  <c r="Y77" i="262"/>
  <c r="X77" i="262"/>
  <c r="W77" i="262"/>
  <c r="V77" i="262"/>
  <c r="U77" i="262"/>
  <c r="T77" i="262"/>
  <c r="S77" i="262"/>
  <c r="R77" i="262"/>
  <c r="Q77" i="262"/>
  <c r="P77" i="262"/>
  <c r="O77" i="262"/>
  <c r="N77" i="262"/>
  <c r="M77" i="262"/>
  <c r="L77" i="262"/>
  <c r="K77" i="262"/>
  <c r="J77" i="262"/>
  <c r="I77" i="262"/>
  <c r="H77" i="262"/>
  <c r="G77" i="262"/>
  <c r="F77" i="262"/>
  <c r="E77" i="262"/>
  <c r="D77" i="262"/>
  <c r="C77" i="262"/>
  <c r="B77" i="262"/>
  <c r="Z76" i="262"/>
  <c r="Y76" i="262"/>
  <c r="X76" i="262"/>
  <c r="W76" i="262"/>
  <c r="V76" i="262"/>
  <c r="U76" i="262"/>
  <c r="T76" i="262"/>
  <c r="S76" i="262"/>
  <c r="R76" i="262"/>
  <c r="Q76" i="262"/>
  <c r="P76" i="262"/>
  <c r="O76" i="262"/>
  <c r="N76" i="262"/>
  <c r="M76" i="262"/>
  <c r="L76" i="262"/>
  <c r="K76" i="262"/>
  <c r="J76" i="262"/>
  <c r="I76" i="262"/>
  <c r="H76" i="262"/>
  <c r="G76" i="262"/>
  <c r="F76" i="262"/>
  <c r="E76" i="262"/>
  <c r="D76" i="262"/>
  <c r="C76" i="262"/>
  <c r="B76" i="262"/>
  <c r="Z75" i="262"/>
  <c r="Y75" i="262"/>
  <c r="X75" i="262"/>
  <c r="W75" i="262"/>
  <c r="V75" i="262"/>
  <c r="U75" i="262"/>
  <c r="T75" i="262"/>
  <c r="S75" i="262"/>
  <c r="R75" i="262"/>
  <c r="Q75" i="262"/>
  <c r="P75" i="262"/>
  <c r="O75" i="262"/>
  <c r="N75" i="262"/>
  <c r="M75" i="262"/>
  <c r="L75" i="262"/>
  <c r="K75" i="262"/>
  <c r="J75" i="262"/>
  <c r="I75" i="262"/>
  <c r="H75" i="262"/>
  <c r="G75" i="262"/>
  <c r="F75" i="262"/>
  <c r="E75" i="262"/>
  <c r="D75" i="262"/>
  <c r="C75" i="262"/>
  <c r="B75" i="262"/>
  <c r="Z74" i="262"/>
  <c r="Y74" i="262"/>
  <c r="X74" i="262"/>
  <c r="W74" i="262"/>
  <c r="V74" i="262"/>
  <c r="U74" i="262"/>
  <c r="T74" i="262"/>
  <c r="S74" i="262"/>
  <c r="R74" i="262"/>
  <c r="Q74" i="262"/>
  <c r="P74" i="262"/>
  <c r="O74" i="262"/>
  <c r="N74" i="262"/>
  <c r="M74" i="262"/>
  <c r="L74" i="262"/>
  <c r="K74" i="262"/>
  <c r="J74" i="262"/>
  <c r="I74" i="262"/>
  <c r="H74" i="262"/>
  <c r="G74" i="262"/>
  <c r="F74" i="262"/>
  <c r="E74" i="262"/>
  <c r="D74" i="262"/>
  <c r="C74" i="262"/>
  <c r="B74" i="262"/>
  <c r="Z73" i="262"/>
  <c r="Y73" i="262"/>
  <c r="X73" i="262"/>
  <c r="W73" i="262"/>
  <c r="V73" i="262"/>
  <c r="U73" i="262"/>
  <c r="T73" i="262"/>
  <c r="S73" i="262"/>
  <c r="R73" i="262"/>
  <c r="Q73" i="262"/>
  <c r="P73" i="262"/>
  <c r="O73" i="262"/>
  <c r="N73" i="262"/>
  <c r="M73" i="262"/>
  <c r="L73" i="262"/>
  <c r="K73" i="262"/>
  <c r="J73" i="262"/>
  <c r="I73" i="262"/>
  <c r="H73" i="262"/>
  <c r="G73" i="262"/>
  <c r="F73" i="262"/>
  <c r="E73" i="262"/>
  <c r="D73" i="262"/>
  <c r="C73" i="262"/>
  <c r="B73" i="262"/>
  <c r="Z72" i="262"/>
  <c r="Y72" i="262"/>
  <c r="X72" i="262"/>
  <c r="W72" i="262"/>
  <c r="V72" i="262"/>
  <c r="U72" i="262"/>
  <c r="T72" i="262"/>
  <c r="S72" i="262"/>
  <c r="R72" i="262"/>
  <c r="Q72" i="262"/>
  <c r="P72" i="262"/>
  <c r="O72" i="262"/>
  <c r="N72" i="262"/>
  <c r="M72" i="262"/>
  <c r="L72" i="262"/>
  <c r="K72" i="262"/>
  <c r="J72" i="262"/>
  <c r="I72" i="262"/>
  <c r="H72" i="262"/>
  <c r="G72" i="262"/>
  <c r="F72" i="262"/>
  <c r="E72" i="262"/>
  <c r="D72" i="262"/>
  <c r="C72" i="262"/>
  <c r="B72" i="262"/>
  <c r="Z71" i="262"/>
  <c r="Y71" i="262"/>
  <c r="X71" i="262"/>
  <c r="W71" i="262"/>
  <c r="V71" i="262"/>
  <c r="U71" i="262"/>
  <c r="T71" i="262"/>
  <c r="S71" i="262"/>
  <c r="R71" i="262"/>
  <c r="Q71" i="262"/>
  <c r="P71" i="262"/>
  <c r="O71" i="262"/>
  <c r="N71" i="262"/>
  <c r="M71" i="262"/>
  <c r="L71" i="262"/>
  <c r="K71" i="262"/>
  <c r="J71" i="262"/>
  <c r="I71" i="262"/>
  <c r="H71" i="262"/>
  <c r="G71" i="262"/>
  <c r="F71" i="262"/>
  <c r="E71" i="262"/>
  <c r="D71" i="262"/>
  <c r="C71" i="262"/>
  <c r="B71" i="262"/>
  <c r="Z70" i="262"/>
  <c r="Y70" i="262"/>
  <c r="X70" i="262"/>
  <c r="W70" i="262"/>
  <c r="V70" i="262"/>
  <c r="U70" i="262"/>
  <c r="T70" i="262"/>
  <c r="S70" i="262"/>
  <c r="R70" i="262"/>
  <c r="Q70" i="262"/>
  <c r="P70" i="262"/>
  <c r="O70" i="262"/>
  <c r="N70" i="262"/>
  <c r="M70" i="262"/>
  <c r="L70" i="262"/>
  <c r="K70" i="262"/>
  <c r="J70" i="262"/>
  <c r="I70" i="262"/>
  <c r="H70" i="262"/>
  <c r="G70" i="262"/>
  <c r="F70" i="262"/>
  <c r="E70" i="262"/>
  <c r="D70" i="262"/>
  <c r="C70" i="262"/>
  <c r="B70" i="262"/>
  <c r="Z69" i="262"/>
  <c r="Y69" i="262"/>
  <c r="X69" i="262"/>
  <c r="W69" i="262"/>
  <c r="V69" i="262"/>
  <c r="U69" i="262"/>
  <c r="T69" i="262"/>
  <c r="S69" i="262"/>
  <c r="R69" i="262"/>
  <c r="Q69" i="262"/>
  <c r="P69" i="262"/>
  <c r="O69" i="262"/>
  <c r="N69" i="262"/>
  <c r="M69" i="262"/>
  <c r="L69" i="262"/>
  <c r="K69" i="262"/>
  <c r="J69" i="262"/>
  <c r="I69" i="262"/>
  <c r="H69" i="262"/>
  <c r="G69" i="262"/>
  <c r="F69" i="262"/>
  <c r="E69" i="262"/>
  <c r="D69" i="262"/>
  <c r="C69" i="262"/>
  <c r="B69" i="262"/>
  <c r="Z68" i="262"/>
  <c r="Y68" i="262"/>
  <c r="X68" i="262"/>
  <c r="W68" i="262"/>
  <c r="V68" i="262"/>
  <c r="U68" i="262"/>
  <c r="T68" i="262"/>
  <c r="S68" i="262"/>
  <c r="R68" i="262"/>
  <c r="Q68" i="262"/>
  <c r="P68" i="262"/>
  <c r="O68" i="262"/>
  <c r="N68" i="262"/>
  <c r="M68" i="262"/>
  <c r="L68" i="262"/>
  <c r="K68" i="262"/>
  <c r="J68" i="262"/>
  <c r="I68" i="262"/>
  <c r="H68" i="262"/>
  <c r="G68" i="262"/>
  <c r="F68" i="262"/>
  <c r="E68" i="262"/>
  <c r="D68" i="262"/>
  <c r="C68" i="262"/>
  <c r="B68" i="262"/>
  <c r="Z67" i="262"/>
  <c r="Y67" i="262"/>
  <c r="X67" i="262"/>
  <c r="W67" i="262"/>
  <c r="V67" i="262"/>
  <c r="U67" i="262"/>
  <c r="T67" i="262"/>
  <c r="S67" i="262"/>
  <c r="R67" i="262"/>
  <c r="Q67" i="262"/>
  <c r="P67" i="262"/>
  <c r="O67" i="262"/>
  <c r="N67" i="262"/>
  <c r="M67" i="262"/>
  <c r="L67" i="262"/>
  <c r="K67" i="262"/>
  <c r="J67" i="262"/>
  <c r="I67" i="262"/>
  <c r="H67" i="262"/>
  <c r="G67" i="262"/>
  <c r="F67" i="262"/>
  <c r="E67" i="262"/>
  <c r="D67" i="262"/>
  <c r="C67" i="262"/>
  <c r="B67" i="262"/>
  <c r="Z66" i="262"/>
  <c r="Y66" i="262"/>
  <c r="X66" i="262"/>
  <c r="W66" i="262"/>
  <c r="V66" i="262"/>
  <c r="U66" i="262"/>
  <c r="T66" i="262"/>
  <c r="S66" i="262"/>
  <c r="R66" i="262"/>
  <c r="Q66" i="262"/>
  <c r="P66" i="262"/>
  <c r="O66" i="262"/>
  <c r="N66" i="262"/>
  <c r="M66" i="262"/>
  <c r="L66" i="262"/>
  <c r="K66" i="262"/>
  <c r="J66" i="262"/>
  <c r="I66" i="262"/>
  <c r="H66" i="262"/>
  <c r="G66" i="262"/>
  <c r="F66" i="262"/>
  <c r="E66" i="262"/>
  <c r="D66" i="262"/>
  <c r="C66" i="262"/>
  <c r="B66" i="262"/>
  <c r="Z65" i="262"/>
  <c r="Y65" i="262"/>
  <c r="X65" i="262"/>
  <c r="W65" i="262"/>
  <c r="V65" i="262"/>
  <c r="U65" i="262"/>
  <c r="T65" i="262"/>
  <c r="S65" i="262"/>
  <c r="R65" i="262"/>
  <c r="Q65" i="262"/>
  <c r="P65" i="262"/>
  <c r="O65" i="262"/>
  <c r="N65" i="262"/>
  <c r="M65" i="262"/>
  <c r="L65" i="262"/>
  <c r="K65" i="262"/>
  <c r="J65" i="262"/>
  <c r="I65" i="262"/>
  <c r="H65" i="262"/>
  <c r="G65" i="262"/>
  <c r="F65" i="262"/>
  <c r="E65" i="262"/>
  <c r="D65" i="262"/>
  <c r="C65" i="262"/>
  <c r="B65" i="262"/>
  <c r="Z64" i="262"/>
  <c r="Y64" i="262"/>
  <c r="X64" i="262"/>
  <c r="W64" i="262"/>
  <c r="V64" i="262"/>
  <c r="U64" i="262"/>
  <c r="T64" i="262"/>
  <c r="S64" i="262"/>
  <c r="R64" i="262"/>
  <c r="Q64" i="262"/>
  <c r="P64" i="262"/>
  <c r="O64" i="262"/>
  <c r="N64" i="262"/>
  <c r="M64" i="262"/>
  <c r="L64" i="262"/>
  <c r="K64" i="262"/>
  <c r="J64" i="262"/>
  <c r="I64" i="262"/>
  <c r="H64" i="262"/>
  <c r="G64" i="262"/>
  <c r="F64" i="262"/>
  <c r="E64" i="262"/>
  <c r="D64" i="262"/>
  <c r="C64" i="262"/>
  <c r="B64" i="262"/>
  <c r="Z63" i="262"/>
  <c r="Y63" i="262"/>
  <c r="X63" i="262"/>
  <c r="W63" i="262"/>
  <c r="V63" i="262"/>
  <c r="U63" i="262"/>
  <c r="T63" i="262"/>
  <c r="S63" i="262"/>
  <c r="R63" i="262"/>
  <c r="Q63" i="262"/>
  <c r="P63" i="262"/>
  <c r="O63" i="262"/>
  <c r="N63" i="262"/>
  <c r="M63" i="262"/>
  <c r="L63" i="262"/>
  <c r="K63" i="262"/>
  <c r="J63" i="262"/>
  <c r="I63" i="262"/>
  <c r="H63" i="262"/>
  <c r="G63" i="262"/>
  <c r="F63" i="262"/>
  <c r="E63" i="262"/>
  <c r="D63" i="262"/>
  <c r="C63" i="262"/>
  <c r="B63" i="262"/>
  <c r="Z62" i="262"/>
  <c r="Y62" i="262"/>
  <c r="X62" i="262"/>
  <c r="W62" i="262"/>
  <c r="V62" i="262"/>
  <c r="U62" i="262"/>
  <c r="T62" i="262"/>
  <c r="S62" i="262"/>
  <c r="R62" i="262"/>
  <c r="Q62" i="262"/>
  <c r="P62" i="262"/>
  <c r="O62" i="262"/>
  <c r="N62" i="262"/>
  <c r="M62" i="262"/>
  <c r="L62" i="262"/>
  <c r="K62" i="262"/>
  <c r="J62" i="262"/>
  <c r="I62" i="262"/>
  <c r="H62" i="262"/>
  <c r="G62" i="262"/>
  <c r="F62" i="262"/>
  <c r="E62" i="262"/>
  <c r="D62" i="262"/>
  <c r="C62" i="262"/>
  <c r="B62" i="262"/>
  <c r="Z61" i="262"/>
  <c r="Y61" i="262"/>
  <c r="X61" i="262"/>
  <c r="W61" i="262"/>
  <c r="V61" i="262"/>
  <c r="U61" i="262"/>
  <c r="T61" i="262"/>
  <c r="S61" i="262"/>
  <c r="R61" i="262"/>
  <c r="Q61" i="262"/>
  <c r="P61" i="262"/>
  <c r="O61" i="262"/>
  <c r="N61" i="262"/>
  <c r="M61" i="262"/>
  <c r="L61" i="262"/>
  <c r="K61" i="262"/>
  <c r="J61" i="262"/>
  <c r="I61" i="262"/>
  <c r="H61" i="262"/>
  <c r="G61" i="262"/>
  <c r="F61" i="262"/>
  <c r="E61" i="262"/>
  <c r="D61" i="262"/>
  <c r="C61" i="262"/>
  <c r="B61" i="262"/>
  <c r="Z60" i="262"/>
  <c r="Y60" i="262"/>
  <c r="X60" i="262"/>
  <c r="W60" i="262"/>
  <c r="V60" i="262"/>
  <c r="U60" i="262"/>
  <c r="T60" i="262"/>
  <c r="S60" i="262"/>
  <c r="R60" i="262"/>
  <c r="Q60" i="262"/>
  <c r="P60" i="262"/>
  <c r="O60" i="262"/>
  <c r="N60" i="262"/>
  <c r="M60" i="262"/>
  <c r="L60" i="262"/>
  <c r="K60" i="262"/>
  <c r="J60" i="262"/>
  <c r="I60" i="262"/>
  <c r="H60" i="262"/>
  <c r="G60" i="262"/>
  <c r="F60" i="262"/>
  <c r="E60" i="262"/>
  <c r="D60" i="262"/>
  <c r="C60" i="262"/>
  <c r="B60" i="262"/>
  <c r="Z59" i="262"/>
  <c r="Y59" i="262"/>
  <c r="X59" i="262"/>
  <c r="W59" i="262"/>
  <c r="V59" i="262"/>
  <c r="U59" i="262"/>
  <c r="T59" i="262"/>
  <c r="S59" i="262"/>
  <c r="R59" i="262"/>
  <c r="Q59" i="262"/>
  <c r="P59" i="262"/>
  <c r="O59" i="262"/>
  <c r="N59" i="262"/>
  <c r="M59" i="262"/>
  <c r="L59" i="262"/>
  <c r="K59" i="262"/>
  <c r="J59" i="262"/>
  <c r="I59" i="262"/>
  <c r="H59" i="262"/>
  <c r="G59" i="262"/>
  <c r="F59" i="262"/>
  <c r="E59" i="262"/>
  <c r="D59" i="262"/>
  <c r="C59" i="262"/>
  <c r="B59" i="262"/>
  <c r="Z58" i="262"/>
  <c r="Y58" i="262"/>
  <c r="X58" i="262"/>
  <c r="W58" i="262"/>
  <c r="V58" i="262"/>
  <c r="U58" i="262"/>
  <c r="T58" i="262"/>
  <c r="S58" i="262"/>
  <c r="R58" i="262"/>
  <c r="Q58" i="262"/>
  <c r="P58" i="262"/>
  <c r="O58" i="262"/>
  <c r="N58" i="262"/>
  <c r="M58" i="262"/>
  <c r="L58" i="262"/>
  <c r="K58" i="262"/>
  <c r="J58" i="262"/>
  <c r="I58" i="262"/>
  <c r="H58" i="262"/>
  <c r="G58" i="262"/>
  <c r="F58" i="262"/>
  <c r="E58" i="262"/>
  <c r="D58" i="262"/>
  <c r="C58" i="262"/>
  <c r="B58" i="262"/>
  <c r="Z57" i="262"/>
  <c r="Y57" i="262"/>
  <c r="X57" i="262"/>
  <c r="W57" i="262"/>
  <c r="V57" i="262"/>
  <c r="U57" i="262"/>
  <c r="T57" i="262"/>
  <c r="S57" i="262"/>
  <c r="R57" i="262"/>
  <c r="Q57" i="262"/>
  <c r="P57" i="262"/>
  <c r="O57" i="262"/>
  <c r="N57" i="262"/>
  <c r="M57" i="262"/>
  <c r="L57" i="262"/>
  <c r="K57" i="262"/>
  <c r="J57" i="262"/>
  <c r="I57" i="262"/>
  <c r="H57" i="262"/>
  <c r="G57" i="262"/>
  <c r="F57" i="262"/>
  <c r="E57" i="262"/>
  <c r="D57" i="262"/>
  <c r="C57" i="262"/>
  <c r="B57" i="262"/>
  <c r="Z54" i="262"/>
  <c r="Y54" i="262"/>
  <c r="X54" i="262"/>
  <c r="W54" i="262"/>
  <c r="V54" i="262"/>
  <c r="U54" i="262"/>
  <c r="T54" i="262"/>
  <c r="S54" i="262"/>
  <c r="R54" i="262"/>
  <c r="Q54" i="262"/>
  <c r="P54" i="262"/>
  <c r="O54" i="262"/>
  <c r="N54" i="262"/>
  <c r="M54" i="262"/>
  <c r="L54" i="262"/>
  <c r="K54" i="262"/>
  <c r="J54" i="262"/>
  <c r="I54" i="262"/>
  <c r="H54" i="262"/>
  <c r="G54" i="262"/>
  <c r="F54" i="262"/>
  <c r="E54" i="262"/>
  <c r="D54" i="262"/>
  <c r="C54" i="262"/>
  <c r="B54" i="262"/>
  <c r="Z53" i="262"/>
  <c r="Y53" i="262"/>
  <c r="X53" i="262"/>
  <c r="W53" i="262"/>
  <c r="V53" i="262"/>
  <c r="U53" i="262"/>
  <c r="T53" i="262"/>
  <c r="S53" i="262"/>
  <c r="R53" i="262"/>
  <c r="Q53" i="262"/>
  <c r="P53" i="262"/>
  <c r="O53" i="262"/>
  <c r="N53" i="262"/>
  <c r="M53" i="262"/>
  <c r="L53" i="262"/>
  <c r="K53" i="262"/>
  <c r="J53" i="262"/>
  <c r="I53" i="262"/>
  <c r="H53" i="262"/>
  <c r="G53" i="262"/>
  <c r="F53" i="262"/>
  <c r="E53" i="262"/>
  <c r="D53" i="262"/>
  <c r="C53" i="262"/>
  <c r="B53" i="262"/>
  <c r="Z52" i="262"/>
  <c r="Y52" i="262"/>
  <c r="X52" i="262"/>
  <c r="W52" i="262"/>
  <c r="V52" i="262"/>
  <c r="U52" i="262"/>
  <c r="T52" i="262"/>
  <c r="S52" i="262"/>
  <c r="R52" i="262"/>
  <c r="Q52" i="262"/>
  <c r="P52" i="262"/>
  <c r="O52" i="262"/>
  <c r="N52" i="262"/>
  <c r="M52" i="262"/>
  <c r="L52" i="262"/>
  <c r="K52" i="262"/>
  <c r="J52" i="262"/>
  <c r="I52" i="262"/>
  <c r="H52" i="262"/>
  <c r="G52" i="262"/>
  <c r="F52" i="262"/>
  <c r="E52" i="262"/>
  <c r="D52" i="262"/>
  <c r="C52" i="262"/>
  <c r="B52" i="262"/>
  <c r="Z51" i="262"/>
  <c r="Y51" i="262"/>
  <c r="X51" i="262"/>
  <c r="W51" i="262"/>
  <c r="V51" i="262"/>
  <c r="U51" i="262"/>
  <c r="T51" i="262"/>
  <c r="S51" i="262"/>
  <c r="R51" i="262"/>
  <c r="Q51" i="262"/>
  <c r="P51" i="262"/>
  <c r="O51" i="262"/>
  <c r="N51" i="262"/>
  <c r="M51" i="262"/>
  <c r="L51" i="262"/>
  <c r="K51" i="262"/>
  <c r="J51" i="262"/>
  <c r="I51" i="262"/>
  <c r="H51" i="262"/>
  <c r="G51" i="262"/>
  <c r="F51" i="262"/>
  <c r="E51" i="262"/>
  <c r="D51" i="262"/>
  <c r="C51" i="262"/>
  <c r="B51" i="262"/>
  <c r="Z50" i="262"/>
  <c r="Y50" i="262"/>
  <c r="X50" i="262"/>
  <c r="W50" i="262"/>
  <c r="V50" i="262"/>
  <c r="U50" i="262"/>
  <c r="T50" i="262"/>
  <c r="S50" i="262"/>
  <c r="R50" i="262"/>
  <c r="Q50" i="262"/>
  <c r="P50" i="262"/>
  <c r="O50" i="262"/>
  <c r="N50" i="262"/>
  <c r="M50" i="262"/>
  <c r="L50" i="262"/>
  <c r="K50" i="262"/>
  <c r="J50" i="262"/>
  <c r="I50" i="262"/>
  <c r="H50" i="262"/>
  <c r="G50" i="262"/>
  <c r="F50" i="262"/>
  <c r="E50" i="262"/>
  <c r="D50" i="262"/>
  <c r="C50" i="262"/>
  <c r="B50" i="262"/>
  <c r="Z49" i="262"/>
  <c r="Y49" i="262"/>
  <c r="X49" i="262"/>
  <c r="W49" i="262"/>
  <c r="V49" i="262"/>
  <c r="U49" i="262"/>
  <c r="T49" i="262"/>
  <c r="S49" i="262"/>
  <c r="R49" i="262"/>
  <c r="Q49" i="262"/>
  <c r="P49" i="262"/>
  <c r="O49" i="262"/>
  <c r="N49" i="262"/>
  <c r="M49" i="262"/>
  <c r="L49" i="262"/>
  <c r="K49" i="262"/>
  <c r="J49" i="262"/>
  <c r="I49" i="262"/>
  <c r="H49" i="262"/>
  <c r="G49" i="262"/>
  <c r="F49" i="262"/>
  <c r="E49" i="262"/>
  <c r="D49" i="262"/>
  <c r="C49" i="262"/>
  <c r="B49" i="262"/>
  <c r="B47" i="262"/>
  <c r="Z46" i="262"/>
  <c r="Z45" i="262"/>
  <c r="Z44" i="262"/>
  <c r="Z43" i="262"/>
  <c r="Z42" i="262"/>
  <c r="Z41" i="262"/>
  <c r="Z40" i="262"/>
  <c r="Z39" i="262"/>
  <c r="Z38" i="262"/>
  <c r="Z37" i="262"/>
  <c r="Z36" i="262"/>
  <c r="Z35" i="262"/>
  <c r="Z34" i="262"/>
  <c r="Z33" i="262"/>
  <c r="Z32" i="262"/>
  <c r="Z31" i="262"/>
  <c r="Z30" i="262"/>
  <c r="Z29" i="262"/>
  <c r="Z28" i="262"/>
  <c r="Z27" i="262"/>
  <c r="Z26" i="262"/>
  <c r="Z25" i="262"/>
  <c r="Z24" i="262"/>
  <c r="Z23" i="262"/>
  <c r="Z22" i="262"/>
  <c r="Z21" i="262"/>
  <c r="Z20" i="262"/>
  <c r="Z19" i="262"/>
  <c r="Z18" i="262"/>
  <c r="Z17" i="262"/>
  <c r="Z16" i="262"/>
  <c r="Z15" i="262"/>
  <c r="Z14" i="262"/>
  <c r="Z13" i="262"/>
  <c r="Z12" i="262"/>
  <c r="Z11" i="262"/>
  <c r="Z8" i="262"/>
  <c r="Z7" i="262"/>
  <c r="Z6" i="262"/>
  <c r="Z5" i="262"/>
  <c r="Z4" i="262"/>
  <c r="Z3" i="262"/>
  <c r="P1" i="259"/>
  <c r="P1" i="260"/>
  <c r="P1" i="258"/>
  <c r="Z38" i="258"/>
  <c r="AA38" i="258"/>
  <c r="K47" i="262"/>
  <c r="G47" i="262"/>
  <c r="Q47" i="262"/>
  <c r="Z47" i="262"/>
  <c r="E47" i="262"/>
  <c r="T47" i="262"/>
  <c r="M47" i="262"/>
  <c r="L47" i="262"/>
  <c r="W47" i="262"/>
  <c r="S47" i="262"/>
  <c r="P47" i="262"/>
  <c r="V47" i="262"/>
  <c r="U47" i="262"/>
  <c r="O47" i="262"/>
  <c r="Z1" i="262"/>
  <c r="N47" i="262"/>
  <c r="I47" i="262"/>
  <c r="D47" i="262"/>
  <c r="X47" i="262"/>
  <c r="C47" i="262"/>
  <c r="J47" i="262"/>
  <c r="R47" i="262"/>
  <c r="Y47" i="262"/>
  <c r="F47" i="262"/>
  <c r="H47" i="262"/>
  <c r="AB8" i="246" l="1"/>
  <c r="AA8" i="246"/>
  <c r="Z8" i="246"/>
  <c r="AA54" i="258" l="1"/>
  <c r="AA53" i="258"/>
  <c r="AA36" i="258"/>
  <c r="Z36" i="258"/>
  <c r="AA35" i="258"/>
  <c r="Z35" i="258" s="1"/>
  <c r="AA34" i="258"/>
  <c r="Z34" i="258"/>
  <c r="AA33" i="258"/>
  <c r="AA37" i="258" s="1"/>
  <c r="AA39" i="258" s="1"/>
  <c r="AA30" i="258"/>
  <c r="AA29" i="258"/>
  <c r="AA28" i="258"/>
  <c r="W28" i="258"/>
  <c r="Z27" i="258"/>
  <c r="AA27" i="258" s="1"/>
  <c r="V26" i="258"/>
  <c r="W24" i="258" s="1"/>
  <c r="W25" i="258"/>
  <c r="V19" i="258"/>
  <c r="V18" i="258"/>
  <c r="U18" i="258"/>
  <c r="X17" i="258"/>
  <c r="V17" i="258"/>
  <c r="U17" i="258"/>
  <c r="S1" i="258"/>
  <c r="R1" i="258"/>
  <c r="Q1" i="258"/>
  <c r="F1" i="258"/>
  <c r="D1" i="258"/>
  <c r="W22" i="258" l="1"/>
  <c r="W23" i="258"/>
  <c r="Z33" i="258"/>
  <c r="Z37" i="258" s="1"/>
  <c r="Z39" i="258" s="1"/>
  <c r="E127" i="231" l="1"/>
  <c r="C113" i="245" s="1"/>
  <c r="D127" i="231"/>
  <c r="B113" i="245" s="1"/>
  <c r="D113" i="245" s="1"/>
  <c r="F113" i="245" s="1"/>
  <c r="H63" i="237"/>
  <c r="K55" i="237" s="1"/>
  <c r="H62" i="237"/>
  <c r="K54" i="237" s="1"/>
  <c r="L54" i="237" s="1"/>
  <c r="E12" i="244"/>
  <c r="B65" i="237"/>
  <c r="B61" i="237"/>
  <c r="H67" i="237" l="1"/>
  <c r="L55" i="237"/>
  <c r="K58" i="237"/>
  <c r="F58" i="256"/>
  <c r="F57" i="256"/>
  <c r="F56" i="256"/>
  <c r="F55" i="256"/>
  <c r="F54" i="256"/>
  <c r="F62" i="256"/>
  <c r="F61" i="256"/>
  <c r="F60" i="256"/>
  <c r="F59" i="256"/>
  <c r="F64" i="256"/>
  <c r="F65" i="256"/>
  <c r="F66" i="256"/>
  <c r="F67" i="256"/>
  <c r="F68" i="256"/>
  <c r="F69" i="256"/>
  <c r="F70" i="256"/>
  <c r="F71" i="256"/>
  <c r="F72" i="256"/>
  <c r="F73" i="256"/>
  <c r="F74" i="256"/>
  <c r="F75" i="256"/>
  <c r="F76" i="256"/>
  <c r="F77" i="256"/>
  <c r="F78" i="256"/>
  <c r="F79" i="256"/>
  <c r="F80" i="256"/>
  <c r="F81" i="256"/>
  <c r="F82" i="256"/>
  <c r="F83" i="256"/>
  <c r="F84" i="256"/>
  <c r="F85" i="256"/>
  <c r="F86" i="256"/>
  <c r="F87" i="256"/>
  <c r="F88" i="256"/>
  <c r="F89" i="256"/>
  <c r="F90" i="256"/>
  <c r="F91" i="256"/>
  <c r="F92" i="256"/>
  <c r="F93" i="256"/>
  <c r="F94" i="256"/>
  <c r="F63" i="256"/>
  <c r="D37" i="247"/>
  <c r="E37" i="247"/>
  <c r="B71" i="237"/>
  <c r="B69" i="237"/>
  <c r="H64" i="237"/>
  <c r="H60" i="237" s="1"/>
  <c r="H66" i="237"/>
  <c r="F27" i="245"/>
  <c r="F69" i="245"/>
  <c r="L58" i="237" l="1"/>
  <c r="H68" i="237"/>
  <c r="H56" i="237" s="1"/>
  <c r="K56" i="237"/>
  <c r="H70" i="237"/>
  <c r="H72" i="237" s="1"/>
  <c r="H246" i="245"/>
  <c r="G246" i="245"/>
  <c r="H245" i="245"/>
  <c r="H153" i="245" s="1"/>
  <c r="H154" i="245" s="1"/>
  <c r="G245" i="245"/>
  <c r="G153" i="245" s="1"/>
  <c r="G154" i="245" s="1"/>
  <c r="H244" i="245"/>
  <c r="G244" i="245"/>
  <c r="H243" i="245"/>
  <c r="G243" i="245"/>
  <c r="AL242" i="245"/>
  <c r="AM242" i="245" s="1"/>
  <c r="AN242" i="245" s="1"/>
  <c r="AO242" i="245" s="1"/>
  <c r="AP242" i="245" s="1"/>
  <c r="AQ242" i="245" s="1"/>
  <c r="AR242" i="245" s="1"/>
  <c r="AS242" i="245" s="1"/>
  <c r="AT242" i="245" s="1"/>
  <c r="AU242" i="245" s="1"/>
  <c r="H242" i="245"/>
  <c r="H152" i="245" s="1"/>
  <c r="G242" i="245"/>
  <c r="G152" i="245" s="1"/>
  <c r="H241" i="245"/>
  <c r="G241" i="245"/>
  <c r="H240" i="245"/>
  <c r="G240" i="245"/>
  <c r="H239" i="245"/>
  <c r="G239" i="245"/>
  <c r="AL238" i="245"/>
  <c r="AM238" i="245" s="1"/>
  <c r="AN238" i="245" s="1"/>
  <c r="AO238" i="245" s="1"/>
  <c r="AP238" i="245" s="1"/>
  <c r="AQ238" i="245" s="1"/>
  <c r="AR238" i="245" s="1"/>
  <c r="AS238" i="245" s="1"/>
  <c r="AT238" i="245" s="1"/>
  <c r="AU238" i="245" s="1"/>
  <c r="H238" i="245"/>
  <c r="G238" i="245"/>
  <c r="H237" i="245"/>
  <c r="G237" i="245"/>
  <c r="H236" i="245"/>
  <c r="G236" i="245"/>
  <c r="H235" i="245"/>
  <c r="G235" i="245"/>
  <c r="H234" i="245"/>
  <c r="G234" i="245"/>
  <c r="AL233" i="245"/>
  <c r="AM233" i="245" s="1"/>
  <c r="AN233" i="245" s="1"/>
  <c r="AO233" i="245" s="1"/>
  <c r="AP233" i="245" s="1"/>
  <c r="AQ233" i="245" s="1"/>
  <c r="AR233" i="245" s="1"/>
  <c r="AS233" i="245" s="1"/>
  <c r="AT233" i="245" s="1"/>
  <c r="AU233" i="245" s="1"/>
  <c r="H233" i="245"/>
  <c r="H151" i="245" s="1"/>
  <c r="H170" i="245" s="1"/>
  <c r="G233" i="245"/>
  <c r="G151" i="245" s="1"/>
  <c r="G170" i="245" s="1"/>
  <c r="AL225" i="245"/>
  <c r="AM225" i="245" s="1"/>
  <c r="AN225" i="245" s="1"/>
  <c r="AO225" i="245" s="1"/>
  <c r="AP225" i="245" s="1"/>
  <c r="AQ225" i="245" s="1"/>
  <c r="AR225" i="245" s="1"/>
  <c r="AS225" i="245" s="1"/>
  <c r="AT225" i="245" s="1"/>
  <c r="AU225" i="245" s="1"/>
  <c r="AL221" i="245"/>
  <c r="AM221" i="245" s="1"/>
  <c r="AN221" i="245" s="1"/>
  <c r="AO221" i="245" s="1"/>
  <c r="AP221" i="245" s="1"/>
  <c r="AQ221" i="245" s="1"/>
  <c r="AR221" i="245" s="1"/>
  <c r="AS221" i="245" s="1"/>
  <c r="AT221" i="245" s="1"/>
  <c r="AU221" i="245" s="1"/>
  <c r="AL220" i="245"/>
  <c r="AM220" i="245" s="1"/>
  <c r="AN220" i="245" s="1"/>
  <c r="AO220" i="245" s="1"/>
  <c r="AP220" i="245" s="1"/>
  <c r="AQ220" i="245" s="1"/>
  <c r="AR220" i="245" s="1"/>
  <c r="AS220" i="245" s="1"/>
  <c r="AT220" i="245" s="1"/>
  <c r="AU220" i="245" s="1"/>
  <c r="AL219" i="245"/>
  <c r="AM219" i="245" s="1"/>
  <c r="AN219" i="245" s="1"/>
  <c r="AO219" i="245" s="1"/>
  <c r="AP219" i="245" s="1"/>
  <c r="AQ219" i="245" s="1"/>
  <c r="AR219" i="245" s="1"/>
  <c r="AS219" i="245" s="1"/>
  <c r="AT219" i="245" s="1"/>
  <c r="AU219" i="245" s="1"/>
  <c r="AL218" i="245"/>
  <c r="AM218" i="245" s="1"/>
  <c r="AN218" i="245" s="1"/>
  <c r="AO218" i="245" s="1"/>
  <c r="AP218" i="245" s="1"/>
  <c r="AQ218" i="245" s="1"/>
  <c r="AR218" i="245" s="1"/>
  <c r="AS218" i="245" s="1"/>
  <c r="AT218" i="245" s="1"/>
  <c r="AU218" i="245" s="1"/>
  <c r="AL217" i="245"/>
  <c r="AM217" i="245" s="1"/>
  <c r="AN217" i="245" s="1"/>
  <c r="AO217" i="245" s="1"/>
  <c r="AP217" i="245" s="1"/>
  <c r="AQ217" i="245" s="1"/>
  <c r="AR217" i="245" s="1"/>
  <c r="AS217" i="245" s="1"/>
  <c r="AT217" i="245" s="1"/>
  <c r="AU217" i="245" s="1"/>
  <c r="E208" i="245"/>
  <c r="T159" i="245" s="1"/>
  <c r="T160" i="245" s="1"/>
  <c r="E207" i="245"/>
  <c r="AG158" i="245" s="1"/>
  <c r="E206" i="245"/>
  <c r="AT157" i="245" s="1"/>
  <c r="E205" i="245"/>
  <c r="AE156" i="245" s="1"/>
  <c r="E204" i="245"/>
  <c r="AR155" i="245" s="1"/>
  <c r="E200" i="245"/>
  <c r="C200" i="245"/>
  <c r="E199" i="245"/>
  <c r="AC173" i="245" s="1"/>
  <c r="C199" i="245"/>
  <c r="C198" i="245"/>
  <c r="C197" i="245"/>
  <c r="E196" i="245"/>
  <c r="C196" i="245"/>
  <c r="C195" i="245"/>
  <c r="D194" i="245"/>
  <c r="D192" i="245"/>
  <c r="D191" i="245"/>
  <c r="D190" i="245"/>
  <c r="D189" i="245"/>
  <c r="AU174" i="245"/>
  <c r="AT174" i="245"/>
  <c r="AS174" i="245"/>
  <c r="AR174" i="245"/>
  <c r="AQ174" i="245"/>
  <c r="AP174" i="245"/>
  <c r="AO174" i="245"/>
  <c r="AN174" i="245"/>
  <c r="AM174" i="245"/>
  <c r="AL174" i="245"/>
  <c r="AK174" i="245"/>
  <c r="AJ174" i="245"/>
  <c r="AI174" i="245"/>
  <c r="AH174" i="245"/>
  <c r="AG174" i="245"/>
  <c r="AF174" i="245"/>
  <c r="AE174" i="245"/>
  <c r="AD174" i="245"/>
  <c r="AC174" i="245"/>
  <c r="AB174" i="245"/>
  <c r="AA174" i="245"/>
  <c r="Z174" i="245"/>
  <c r="Y174" i="245"/>
  <c r="X174" i="245"/>
  <c r="W174" i="245"/>
  <c r="V174" i="245"/>
  <c r="U174" i="245"/>
  <c r="T174" i="245"/>
  <c r="S174" i="245"/>
  <c r="R174" i="245"/>
  <c r="Q174" i="245"/>
  <c r="P174" i="245"/>
  <c r="O174" i="245"/>
  <c r="N174" i="245"/>
  <c r="M174" i="245"/>
  <c r="L174" i="245"/>
  <c r="K174" i="245"/>
  <c r="J174" i="245"/>
  <c r="I174" i="245"/>
  <c r="H174" i="245"/>
  <c r="G174" i="245"/>
  <c r="F168" i="245"/>
  <c r="F169" i="245" s="1"/>
  <c r="F170" i="245" s="1"/>
  <c r="AU165" i="245"/>
  <c r="AT165" i="245"/>
  <c r="AS165" i="245"/>
  <c r="AR165" i="245"/>
  <c r="AQ165" i="245"/>
  <c r="AP165" i="245"/>
  <c r="AO165" i="245"/>
  <c r="AN165" i="245"/>
  <c r="AM165" i="245"/>
  <c r="AL165" i="245"/>
  <c r="AK165" i="245"/>
  <c r="AJ165" i="245"/>
  <c r="AI165" i="245"/>
  <c r="AH165" i="245"/>
  <c r="AG165" i="245"/>
  <c r="AF165" i="245"/>
  <c r="AE165" i="245"/>
  <c r="AD165" i="245"/>
  <c r="AC165" i="245"/>
  <c r="AB165" i="245"/>
  <c r="AA165" i="245"/>
  <c r="Z165" i="245"/>
  <c r="Y165" i="245"/>
  <c r="X165" i="245"/>
  <c r="W165" i="245"/>
  <c r="V165" i="245"/>
  <c r="U165" i="245"/>
  <c r="T165" i="245"/>
  <c r="S165" i="245"/>
  <c r="R165" i="245"/>
  <c r="Q165" i="245"/>
  <c r="P165" i="245"/>
  <c r="O165" i="245"/>
  <c r="N165" i="245"/>
  <c r="M165" i="245"/>
  <c r="L165" i="245"/>
  <c r="K165" i="245"/>
  <c r="J165" i="245"/>
  <c r="I165" i="245"/>
  <c r="H165" i="245"/>
  <c r="G165" i="245"/>
  <c r="AU164" i="245"/>
  <c r="AU175" i="245" s="1"/>
  <c r="AU113" i="245" s="1"/>
  <c r="AT164" i="245"/>
  <c r="AT175" i="245" s="1"/>
  <c r="AT113" i="245" s="1"/>
  <c r="AS164" i="245"/>
  <c r="AS175" i="245" s="1"/>
  <c r="AS113" i="245" s="1"/>
  <c r="AR164" i="245"/>
  <c r="AR175" i="245" s="1"/>
  <c r="AR113" i="245" s="1"/>
  <c r="AQ164" i="245"/>
  <c r="AQ175" i="245" s="1"/>
  <c r="AQ113" i="245" s="1"/>
  <c r="AP164" i="245"/>
  <c r="AP175" i="245" s="1"/>
  <c r="AP113" i="245" s="1"/>
  <c r="AO164" i="245"/>
  <c r="AO175" i="245" s="1"/>
  <c r="AO113" i="245" s="1"/>
  <c r="AN164" i="245"/>
  <c r="AN175" i="245" s="1"/>
  <c r="AN113" i="245" s="1"/>
  <c r="AM164" i="245"/>
  <c r="AM175" i="245" s="1"/>
  <c r="AM113" i="245" s="1"/>
  <c r="AL164" i="245"/>
  <c r="AL175" i="245" s="1"/>
  <c r="AL113" i="245" s="1"/>
  <c r="AK164" i="245"/>
  <c r="AK175" i="245" s="1"/>
  <c r="AK113" i="245" s="1"/>
  <c r="AJ164" i="245"/>
  <c r="AJ175" i="245" s="1"/>
  <c r="AJ113" i="245" s="1"/>
  <c r="AI164" i="245"/>
  <c r="AI175" i="245" s="1"/>
  <c r="AI113" i="245" s="1"/>
  <c r="AH164" i="245"/>
  <c r="AH175" i="245" s="1"/>
  <c r="AH113" i="245" s="1"/>
  <c r="AG164" i="245"/>
  <c r="AG175" i="245" s="1"/>
  <c r="AG113" i="245" s="1"/>
  <c r="AF164" i="245"/>
  <c r="AF175" i="245" s="1"/>
  <c r="AF113" i="245" s="1"/>
  <c r="AE164" i="245"/>
  <c r="AE175" i="245" s="1"/>
  <c r="AE113" i="245" s="1"/>
  <c r="AD164" i="245"/>
  <c r="AD175" i="245" s="1"/>
  <c r="AD113" i="245" s="1"/>
  <c r="AC164" i="245"/>
  <c r="AC175" i="245" s="1"/>
  <c r="AC113" i="245" s="1"/>
  <c r="AB164" i="245"/>
  <c r="AB175" i="245" s="1"/>
  <c r="AB113" i="245" s="1"/>
  <c r="AA164" i="245"/>
  <c r="AA175" i="245" s="1"/>
  <c r="AA113" i="245" s="1"/>
  <c r="Z164" i="245"/>
  <c r="Z175" i="245" s="1"/>
  <c r="Z113" i="245" s="1"/>
  <c r="Y164" i="245"/>
  <c r="Y175" i="245" s="1"/>
  <c r="Y113" i="245" s="1"/>
  <c r="X164" i="245"/>
  <c r="X175" i="245" s="1"/>
  <c r="X113" i="245" s="1"/>
  <c r="W164" i="245"/>
  <c r="W175" i="245" s="1"/>
  <c r="W113" i="245" s="1"/>
  <c r="V164" i="245"/>
  <c r="V175" i="245" s="1"/>
  <c r="V113" i="245" s="1"/>
  <c r="U164" i="245"/>
  <c r="U175" i="245" s="1"/>
  <c r="U113" i="245" s="1"/>
  <c r="T164" i="245"/>
  <c r="T175" i="245" s="1"/>
  <c r="T113" i="245" s="1"/>
  <c r="S164" i="245"/>
  <c r="S175" i="245" s="1"/>
  <c r="S113" i="245" s="1"/>
  <c r="R164" i="245"/>
  <c r="R175" i="245" s="1"/>
  <c r="R113" i="245" s="1"/>
  <c r="Q164" i="245"/>
  <c r="Q175" i="245" s="1"/>
  <c r="Q113" i="245" s="1"/>
  <c r="P164" i="245"/>
  <c r="P175" i="245" s="1"/>
  <c r="P113" i="245" s="1"/>
  <c r="O164" i="245"/>
  <c r="O175" i="245" s="1"/>
  <c r="O113" i="245" s="1"/>
  <c r="N164" i="245"/>
  <c r="N175" i="245" s="1"/>
  <c r="N113" i="245" s="1"/>
  <c r="M164" i="245"/>
  <c r="M175" i="245" s="1"/>
  <c r="M113" i="245" s="1"/>
  <c r="L164" i="245"/>
  <c r="L175" i="245" s="1"/>
  <c r="L113" i="245" s="1"/>
  <c r="K164" i="245"/>
  <c r="K175" i="245" s="1"/>
  <c r="K113" i="245" s="1"/>
  <c r="J164" i="245"/>
  <c r="J175" i="245" s="1"/>
  <c r="J113" i="245" s="1"/>
  <c r="I164" i="245"/>
  <c r="I175" i="245" s="1"/>
  <c r="I113" i="245" s="1"/>
  <c r="H164" i="245"/>
  <c r="H175" i="245" s="1"/>
  <c r="H113" i="245" s="1"/>
  <c r="G164" i="245"/>
  <c r="G175" i="245" s="1"/>
  <c r="G113" i="245" s="1"/>
  <c r="AU163" i="245"/>
  <c r="AT163" i="245"/>
  <c r="AS163" i="245"/>
  <c r="AR163" i="245"/>
  <c r="AQ163" i="245"/>
  <c r="AP163" i="245"/>
  <c r="AO163" i="245"/>
  <c r="AN163" i="245"/>
  <c r="AM163" i="245"/>
  <c r="AL163" i="245"/>
  <c r="AK163" i="245"/>
  <c r="AJ163" i="245"/>
  <c r="AI163" i="245"/>
  <c r="AH163" i="245"/>
  <c r="AG163" i="245"/>
  <c r="AF163" i="245"/>
  <c r="AE163" i="245"/>
  <c r="AD163" i="245"/>
  <c r="AC163" i="245"/>
  <c r="AB163" i="245"/>
  <c r="AA163" i="245"/>
  <c r="Z163" i="245"/>
  <c r="Y163" i="245"/>
  <c r="X163" i="245"/>
  <c r="W163" i="245"/>
  <c r="V163" i="245"/>
  <c r="U163" i="245"/>
  <c r="T163" i="245"/>
  <c r="S163" i="245"/>
  <c r="R163" i="245"/>
  <c r="Q163" i="245"/>
  <c r="P163" i="245"/>
  <c r="O163" i="245"/>
  <c r="N163" i="245"/>
  <c r="M163" i="245"/>
  <c r="L163" i="245"/>
  <c r="K163" i="245"/>
  <c r="J163" i="245"/>
  <c r="I163" i="245"/>
  <c r="H163" i="245"/>
  <c r="G163" i="245"/>
  <c r="AU162" i="245"/>
  <c r="AT162" i="245"/>
  <c r="AS162" i="245"/>
  <c r="AR162" i="245"/>
  <c r="AQ162" i="245"/>
  <c r="AP162" i="245"/>
  <c r="AO162" i="245"/>
  <c r="AN162" i="245"/>
  <c r="AM162" i="245"/>
  <c r="AL162" i="245"/>
  <c r="AK162" i="245"/>
  <c r="AJ162" i="245"/>
  <c r="AI162" i="245"/>
  <c r="AH162" i="245"/>
  <c r="AG162" i="245"/>
  <c r="AF162" i="245"/>
  <c r="AE162" i="245"/>
  <c r="AD162" i="245"/>
  <c r="AC162" i="245"/>
  <c r="AB162" i="245"/>
  <c r="AA162" i="245"/>
  <c r="Z162" i="245"/>
  <c r="Y162" i="245"/>
  <c r="X162" i="245"/>
  <c r="W162" i="245"/>
  <c r="V162" i="245"/>
  <c r="U162" i="245"/>
  <c r="T162" i="245"/>
  <c r="S162" i="245"/>
  <c r="R162" i="245"/>
  <c r="Q162" i="245"/>
  <c r="P162" i="245"/>
  <c r="O162" i="245"/>
  <c r="N162" i="245"/>
  <c r="M162" i="245"/>
  <c r="L162" i="245"/>
  <c r="K162" i="245"/>
  <c r="J162" i="245"/>
  <c r="I162" i="245"/>
  <c r="H162" i="245"/>
  <c r="G162" i="245"/>
  <c r="AU161" i="245"/>
  <c r="AT161" i="245"/>
  <c r="AS161" i="245"/>
  <c r="AR161" i="245"/>
  <c r="AQ161" i="245"/>
  <c r="AP161" i="245"/>
  <c r="AO161" i="245"/>
  <c r="AN161" i="245"/>
  <c r="AM161" i="245"/>
  <c r="AL161" i="245"/>
  <c r="AK161" i="245"/>
  <c r="AJ161" i="245"/>
  <c r="AI161" i="245"/>
  <c r="AH161" i="245"/>
  <c r="AG161" i="245"/>
  <c r="AF161" i="245"/>
  <c r="AE161" i="245"/>
  <c r="AD161" i="245"/>
  <c r="AC161" i="245"/>
  <c r="AB161" i="245"/>
  <c r="AA161" i="245"/>
  <c r="Z161" i="245"/>
  <c r="Y161" i="245"/>
  <c r="X161" i="245"/>
  <c r="W161" i="245"/>
  <c r="V161" i="245"/>
  <c r="U161" i="245"/>
  <c r="T161" i="245"/>
  <c r="S161" i="245"/>
  <c r="R161" i="245"/>
  <c r="Q161" i="245"/>
  <c r="P161" i="245"/>
  <c r="O161" i="245"/>
  <c r="N161" i="245"/>
  <c r="M161" i="245"/>
  <c r="L161" i="245"/>
  <c r="K161" i="245"/>
  <c r="J161" i="245"/>
  <c r="I161" i="245"/>
  <c r="H161" i="245"/>
  <c r="G161" i="245"/>
  <c r="AU153" i="245"/>
  <c r="AU154" i="245" s="1"/>
  <c r="AT153" i="245"/>
  <c r="AT154" i="245" s="1"/>
  <c r="AS153" i="245"/>
  <c r="AS154" i="245" s="1"/>
  <c r="AR153" i="245"/>
  <c r="AR154" i="245" s="1"/>
  <c r="AQ153" i="245"/>
  <c r="AQ154" i="245" s="1"/>
  <c r="AP153" i="245"/>
  <c r="AP154" i="245" s="1"/>
  <c r="AO153" i="245"/>
  <c r="AO154" i="245" s="1"/>
  <c r="AN153" i="245"/>
  <c r="AN154" i="245" s="1"/>
  <c r="AM153" i="245"/>
  <c r="AM154" i="245" s="1"/>
  <c r="AL153" i="245"/>
  <c r="AL154" i="245" s="1"/>
  <c r="AK153" i="245"/>
  <c r="AK154" i="245" s="1"/>
  <c r="AJ153" i="245"/>
  <c r="AJ154" i="245" s="1"/>
  <c r="AI153" i="245"/>
  <c r="AI154" i="245" s="1"/>
  <c r="AH153" i="245"/>
  <c r="AH154" i="245" s="1"/>
  <c r="AG153" i="245"/>
  <c r="AG154" i="245" s="1"/>
  <c r="AF153" i="245"/>
  <c r="AF154" i="245" s="1"/>
  <c r="AE153" i="245"/>
  <c r="AE154" i="245" s="1"/>
  <c r="AD153" i="245"/>
  <c r="AD154" i="245" s="1"/>
  <c r="AC153" i="245"/>
  <c r="AC154" i="245" s="1"/>
  <c r="AB153" i="245"/>
  <c r="AB154" i="245" s="1"/>
  <c r="AA153" i="245"/>
  <c r="AA154" i="245" s="1"/>
  <c r="Z153" i="245"/>
  <c r="Z154" i="245" s="1"/>
  <c r="Y153" i="245"/>
  <c r="Y154" i="245" s="1"/>
  <c r="X153" i="245"/>
  <c r="X154" i="245" s="1"/>
  <c r="W153" i="245"/>
  <c r="W154" i="245" s="1"/>
  <c r="V153" i="245"/>
  <c r="V154" i="245" s="1"/>
  <c r="U153" i="245"/>
  <c r="U154" i="245" s="1"/>
  <c r="T153" i="245"/>
  <c r="T154" i="245" s="1"/>
  <c r="S153" i="245"/>
  <c r="S154" i="245" s="1"/>
  <c r="R153" i="245"/>
  <c r="R154" i="245" s="1"/>
  <c r="Q153" i="245"/>
  <c r="Q154" i="245" s="1"/>
  <c r="P153" i="245"/>
  <c r="P154" i="245" s="1"/>
  <c r="O153" i="245"/>
  <c r="O154" i="245" s="1"/>
  <c r="N153" i="245"/>
  <c r="N154" i="245" s="1"/>
  <c r="M153" i="245"/>
  <c r="M154" i="245" s="1"/>
  <c r="L153" i="245"/>
  <c r="L154" i="245" s="1"/>
  <c r="K153" i="245"/>
  <c r="K154" i="245" s="1"/>
  <c r="J153" i="245"/>
  <c r="J154" i="245" s="1"/>
  <c r="I153" i="245"/>
  <c r="I154" i="245" s="1"/>
  <c r="AU152" i="245"/>
  <c r="AT152" i="245"/>
  <c r="AS152" i="245"/>
  <c r="AR152" i="245"/>
  <c r="AQ152" i="245"/>
  <c r="AP152" i="245"/>
  <c r="AO152" i="245"/>
  <c r="AN152" i="245"/>
  <c r="AM152" i="245"/>
  <c r="AL152" i="245"/>
  <c r="AK152" i="245"/>
  <c r="AJ152" i="245"/>
  <c r="AI152" i="245"/>
  <c r="AH152" i="245"/>
  <c r="AG152" i="245"/>
  <c r="AF152" i="245"/>
  <c r="AE152" i="245"/>
  <c r="AD152" i="245"/>
  <c r="AC152" i="245"/>
  <c r="AB152" i="245"/>
  <c r="AA152" i="245"/>
  <c r="Z152" i="245"/>
  <c r="Y152" i="245"/>
  <c r="X152" i="245"/>
  <c r="W152" i="245"/>
  <c r="V152" i="245"/>
  <c r="U152" i="245"/>
  <c r="T152" i="245"/>
  <c r="S152" i="245"/>
  <c r="R152" i="245"/>
  <c r="Q152" i="245"/>
  <c r="P152" i="245"/>
  <c r="O152" i="245"/>
  <c r="N152" i="245"/>
  <c r="M152" i="245"/>
  <c r="L152" i="245"/>
  <c r="K152" i="245"/>
  <c r="J152" i="245"/>
  <c r="I152" i="245"/>
  <c r="AU151" i="245"/>
  <c r="AU171" i="245" s="1"/>
  <c r="AT151" i="245"/>
  <c r="AT171" i="245" s="1"/>
  <c r="AS151" i="245"/>
  <c r="AS171" i="245" s="1"/>
  <c r="AR151" i="245"/>
  <c r="AR171" i="245" s="1"/>
  <c r="AQ151" i="245"/>
  <c r="AQ171" i="245" s="1"/>
  <c r="AP151" i="245"/>
  <c r="AP171" i="245" s="1"/>
  <c r="AO151" i="245"/>
  <c r="AO171" i="245" s="1"/>
  <c r="AN151" i="245"/>
  <c r="AN170" i="245" s="1"/>
  <c r="AM151" i="245"/>
  <c r="AM170" i="245" s="1"/>
  <c r="AL151" i="245"/>
  <c r="AL170" i="245" s="1"/>
  <c r="AK151" i="245"/>
  <c r="AK170" i="245" s="1"/>
  <c r="AJ151" i="245"/>
  <c r="AJ170" i="245" s="1"/>
  <c r="AI151" i="245"/>
  <c r="AI170" i="245" s="1"/>
  <c r="AH151" i="245"/>
  <c r="AH170" i="245" s="1"/>
  <c r="AG151" i="245"/>
  <c r="AG170" i="245" s="1"/>
  <c r="AF151" i="245"/>
  <c r="AF170" i="245" s="1"/>
  <c r="AE151" i="245"/>
  <c r="AE170" i="245" s="1"/>
  <c r="AD151" i="245"/>
  <c r="AD170" i="245" s="1"/>
  <c r="AC151" i="245"/>
  <c r="AC170" i="245" s="1"/>
  <c r="AB151" i="245"/>
  <c r="AB170" i="245" s="1"/>
  <c r="AA151" i="245"/>
  <c r="AA171" i="245" s="1"/>
  <c r="Z151" i="245"/>
  <c r="Z171" i="245" s="1"/>
  <c r="Y151" i="245"/>
  <c r="Y171" i="245" s="1"/>
  <c r="X151" i="245"/>
  <c r="X170" i="245" s="1"/>
  <c r="W151" i="245"/>
  <c r="W171" i="245" s="1"/>
  <c r="V151" i="245"/>
  <c r="V171" i="245" s="1"/>
  <c r="U151" i="245"/>
  <c r="U171" i="245" s="1"/>
  <c r="T151" i="245"/>
  <c r="T171" i="245" s="1"/>
  <c r="S151" i="245"/>
  <c r="S171" i="245" s="1"/>
  <c r="R151" i="245"/>
  <c r="R171" i="245" s="1"/>
  <c r="Q151" i="245"/>
  <c r="Q171" i="245" s="1"/>
  <c r="P151" i="245"/>
  <c r="P171" i="245" s="1"/>
  <c r="O151" i="245"/>
  <c r="O171" i="245" s="1"/>
  <c r="N151" i="245"/>
  <c r="N171" i="245" s="1"/>
  <c r="M151" i="245"/>
  <c r="M171" i="245" s="1"/>
  <c r="L151" i="245"/>
  <c r="L170" i="245" s="1"/>
  <c r="K151" i="245"/>
  <c r="K170" i="245" s="1"/>
  <c r="J151" i="245"/>
  <c r="J170" i="245" s="1"/>
  <c r="I151" i="245"/>
  <c r="I170" i="245" s="1"/>
  <c r="F144" i="245"/>
  <c r="F145" i="245" s="1"/>
  <c r="AU143" i="245"/>
  <c r="AU150" i="245" s="1"/>
  <c r="AT143" i="245"/>
  <c r="AT144" i="245" s="1"/>
  <c r="AS143" i="245"/>
  <c r="AS144" i="245" s="1"/>
  <c r="AR143" i="245"/>
  <c r="AR144" i="245" s="1"/>
  <c r="AQ143" i="245"/>
  <c r="AQ144" i="245" s="1"/>
  <c r="AP143" i="245"/>
  <c r="AP144" i="245" s="1"/>
  <c r="AO143" i="245"/>
  <c r="AO166" i="245" s="1"/>
  <c r="AN143" i="245"/>
  <c r="AN166" i="245" s="1"/>
  <c r="AM143" i="245"/>
  <c r="AM166" i="245" s="1"/>
  <c r="AL143" i="245"/>
  <c r="AL166" i="245" s="1"/>
  <c r="AK143" i="245"/>
  <c r="AK144" i="245" s="1"/>
  <c r="AK145" i="245" s="1"/>
  <c r="AK146" i="245" s="1"/>
  <c r="AK147" i="245" s="1"/>
  <c r="AK148" i="245" s="1"/>
  <c r="AJ143" i="245"/>
  <c r="AJ166" i="245" s="1"/>
  <c r="AI143" i="245"/>
  <c r="AI166" i="245" s="1"/>
  <c r="AH143" i="245"/>
  <c r="AH166" i="245" s="1"/>
  <c r="AG143" i="245"/>
  <c r="AG166" i="245" s="1"/>
  <c r="AF143" i="245"/>
  <c r="AF166" i="245" s="1"/>
  <c r="AE143" i="245"/>
  <c r="AE144" i="245" s="1"/>
  <c r="AE145" i="245" s="1"/>
  <c r="AE146" i="245" s="1"/>
  <c r="AE147" i="245" s="1"/>
  <c r="AE148" i="245" s="1"/>
  <c r="AD143" i="245"/>
  <c r="AD166" i="245" s="1"/>
  <c r="AC143" i="245"/>
  <c r="AC166" i="245" s="1"/>
  <c r="AB143" i="245"/>
  <c r="AB167" i="245" s="1"/>
  <c r="AA143" i="245"/>
  <c r="AA167" i="245" s="1"/>
  <c r="Z143" i="245"/>
  <c r="Z167" i="245" s="1"/>
  <c r="Y143" i="245"/>
  <c r="Y150" i="245" s="1"/>
  <c r="X143" i="245"/>
  <c r="X150" i="245" s="1"/>
  <c r="W143" i="245"/>
  <c r="W144" i="245" s="1"/>
  <c r="V143" i="245"/>
  <c r="V144" i="245" s="1"/>
  <c r="U143" i="245"/>
  <c r="U144" i="245" s="1"/>
  <c r="T143" i="245"/>
  <c r="T144" i="245" s="1"/>
  <c r="S143" i="245"/>
  <c r="S150" i="245" s="1"/>
  <c r="R143" i="245"/>
  <c r="R144" i="245" s="1"/>
  <c r="Q143" i="245"/>
  <c r="Q144" i="245" s="1"/>
  <c r="P143" i="245"/>
  <c r="P144" i="245" s="1"/>
  <c r="O143" i="245"/>
  <c r="O150" i="245" s="1"/>
  <c r="N143" i="245"/>
  <c r="N144" i="245" s="1"/>
  <c r="M143" i="245"/>
  <c r="M166" i="245" s="1"/>
  <c r="L143" i="245"/>
  <c r="L166" i="245" s="1"/>
  <c r="K143" i="245"/>
  <c r="K166" i="245" s="1"/>
  <c r="J143" i="245"/>
  <c r="J166" i="245" s="1"/>
  <c r="I143" i="245"/>
  <c r="I166" i="245" s="1"/>
  <c r="H143" i="245"/>
  <c r="H166" i="245" s="1"/>
  <c r="G143" i="245"/>
  <c r="G166" i="245" s="1"/>
  <c r="F140" i="245"/>
  <c r="F141" i="245" s="1"/>
  <c r="AU139" i="245"/>
  <c r="AU140" i="245" s="1"/>
  <c r="AU141" i="245" s="1"/>
  <c r="AT139" i="245"/>
  <c r="AT142" i="245" s="1"/>
  <c r="AS139" i="245"/>
  <c r="AS142" i="245" s="1"/>
  <c r="AR139" i="245"/>
  <c r="AR142" i="245" s="1"/>
  <c r="AQ139" i="245"/>
  <c r="AQ142" i="245" s="1"/>
  <c r="AP139" i="245"/>
  <c r="AP142" i="245" s="1"/>
  <c r="AO139" i="245"/>
  <c r="AO142" i="245" s="1"/>
  <c r="AN139" i="245"/>
  <c r="AN142" i="245" s="1"/>
  <c r="AM139" i="245"/>
  <c r="AM140" i="245" s="1"/>
  <c r="AM141" i="245" s="1"/>
  <c r="AL139" i="245"/>
  <c r="AL142" i="245" s="1"/>
  <c r="AK139" i="245"/>
  <c r="AK142" i="245" s="1"/>
  <c r="AJ139" i="245"/>
  <c r="AJ142" i="245" s="1"/>
  <c r="AI139" i="245"/>
  <c r="AI142" i="245" s="1"/>
  <c r="AH139" i="245"/>
  <c r="AH142" i="245" s="1"/>
  <c r="AG139" i="245"/>
  <c r="AG140" i="245" s="1"/>
  <c r="AG141" i="245" s="1"/>
  <c r="AF139" i="245"/>
  <c r="AF142" i="245" s="1"/>
  <c r="AE139" i="245"/>
  <c r="AE140" i="245" s="1"/>
  <c r="AE141" i="245" s="1"/>
  <c r="AD139" i="245"/>
  <c r="AD140" i="245" s="1"/>
  <c r="AD141" i="245" s="1"/>
  <c r="AC139" i="245"/>
  <c r="AC140" i="245" s="1"/>
  <c r="AC141" i="245" s="1"/>
  <c r="AB139" i="245"/>
  <c r="AB140" i="245" s="1"/>
  <c r="AB141" i="245" s="1"/>
  <c r="AA139" i="245"/>
  <c r="AA140" i="245" s="1"/>
  <c r="AA141" i="245" s="1"/>
  <c r="Z139" i="245"/>
  <c r="Z140" i="245" s="1"/>
  <c r="Z141" i="245" s="1"/>
  <c r="Y139" i="245"/>
  <c r="Y140" i="245" s="1"/>
  <c r="Y141" i="245" s="1"/>
  <c r="X139" i="245"/>
  <c r="X140" i="245" s="1"/>
  <c r="X141" i="245" s="1"/>
  <c r="W139" i="245"/>
  <c r="W140" i="245" s="1"/>
  <c r="W141" i="245" s="1"/>
  <c r="V139" i="245"/>
  <c r="V142" i="245" s="1"/>
  <c r="U139" i="245"/>
  <c r="U142" i="245" s="1"/>
  <c r="T139" i="245"/>
  <c r="T142" i="245" s="1"/>
  <c r="S139" i="245"/>
  <c r="S140" i="245" s="1"/>
  <c r="S141" i="245" s="1"/>
  <c r="R139" i="245"/>
  <c r="R140" i="245" s="1"/>
  <c r="R141" i="245" s="1"/>
  <c r="Q139" i="245"/>
  <c r="Q142" i="245" s="1"/>
  <c r="P139" i="245"/>
  <c r="P142" i="245" s="1"/>
  <c r="O139" i="245"/>
  <c r="O142" i="245" s="1"/>
  <c r="N139" i="245"/>
  <c r="N142" i="245" s="1"/>
  <c r="M139" i="245"/>
  <c r="M142" i="245" s="1"/>
  <c r="L139" i="245"/>
  <c r="L140" i="245" s="1"/>
  <c r="L141" i="245" s="1"/>
  <c r="K139" i="245"/>
  <c r="K140" i="245" s="1"/>
  <c r="K141" i="245" s="1"/>
  <c r="J139" i="245"/>
  <c r="J142" i="245" s="1"/>
  <c r="I139" i="245"/>
  <c r="I142" i="245" s="1"/>
  <c r="H139" i="245"/>
  <c r="H140" i="245" s="1"/>
  <c r="H141" i="245" s="1"/>
  <c r="G139" i="245"/>
  <c r="G140" i="245" s="1"/>
  <c r="G141" i="245" s="1"/>
  <c r="F138" i="245"/>
  <c r="AU134" i="245"/>
  <c r="AU138" i="245" s="1"/>
  <c r="AT134" i="245"/>
  <c r="AT135" i="245" s="1"/>
  <c r="AT136" i="245" s="1"/>
  <c r="AT137" i="245" s="1"/>
  <c r="AS134" i="245"/>
  <c r="AS138" i="245" s="1"/>
  <c r="AR134" i="245"/>
  <c r="AR138" i="245" s="1"/>
  <c r="AQ134" i="245"/>
  <c r="AQ138" i="245" s="1"/>
  <c r="AP134" i="245"/>
  <c r="AP138" i="245" s="1"/>
  <c r="AO134" i="245"/>
  <c r="AO138" i="245" s="1"/>
  <c r="AN134" i="245"/>
  <c r="AN135" i="245" s="1"/>
  <c r="AN136" i="245" s="1"/>
  <c r="AN137" i="245" s="1"/>
  <c r="AM134" i="245"/>
  <c r="AM135" i="245" s="1"/>
  <c r="AM136" i="245" s="1"/>
  <c r="AM137" i="245" s="1"/>
  <c r="AL134" i="245"/>
  <c r="AL135" i="245" s="1"/>
  <c r="AL136" i="245" s="1"/>
  <c r="AL137" i="245" s="1"/>
  <c r="AK134" i="245"/>
  <c r="AK138" i="245" s="1"/>
  <c r="AJ134" i="245"/>
  <c r="AJ138" i="245" s="1"/>
  <c r="AI134" i="245"/>
  <c r="AI138" i="245" s="1"/>
  <c r="AH134" i="245"/>
  <c r="AH138" i="245" s="1"/>
  <c r="AG134" i="245"/>
  <c r="AG135" i="245" s="1"/>
  <c r="AG136" i="245" s="1"/>
  <c r="AG137" i="245" s="1"/>
  <c r="AF134" i="245"/>
  <c r="AF135" i="245" s="1"/>
  <c r="AF136" i="245" s="1"/>
  <c r="AF137" i="245" s="1"/>
  <c r="AE134" i="245"/>
  <c r="AE135" i="245" s="1"/>
  <c r="AE136" i="245" s="1"/>
  <c r="AE137" i="245" s="1"/>
  <c r="AD134" i="245"/>
  <c r="AD138" i="245" s="1"/>
  <c r="AC134" i="245"/>
  <c r="AC138" i="245" s="1"/>
  <c r="AB134" i="245"/>
  <c r="AB135" i="245" s="1"/>
  <c r="AB136" i="245" s="1"/>
  <c r="AB137" i="245" s="1"/>
  <c r="AA134" i="245"/>
  <c r="AA135" i="245" s="1"/>
  <c r="AA136" i="245" s="1"/>
  <c r="AA137" i="245" s="1"/>
  <c r="Z134" i="245"/>
  <c r="Z135" i="245" s="1"/>
  <c r="Z136" i="245" s="1"/>
  <c r="Z137" i="245" s="1"/>
  <c r="Y134" i="245"/>
  <c r="Y135" i="245" s="1"/>
  <c r="Y136" i="245" s="1"/>
  <c r="Y137" i="245" s="1"/>
  <c r="X134" i="245"/>
  <c r="X135" i="245" s="1"/>
  <c r="X136" i="245" s="1"/>
  <c r="X137" i="245" s="1"/>
  <c r="W134" i="245"/>
  <c r="W135" i="245" s="1"/>
  <c r="W136" i="245" s="1"/>
  <c r="W137" i="245" s="1"/>
  <c r="V134" i="245"/>
  <c r="V135" i="245" s="1"/>
  <c r="V136" i="245" s="1"/>
  <c r="V137" i="245" s="1"/>
  <c r="U134" i="245"/>
  <c r="U138" i="245" s="1"/>
  <c r="T134" i="245"/>
  <c r="T138" i="245" s="1"/>
  <c r="S134" i="245"/>
  <c r="S138" i="245" s="1"/>
  <c r="R134" i="245"/>
  <c r="R135" i="245" s="1"/>
  <c r="R136" i="245" s="1"/>
  <c r="R137" i="245" s="1"/>
  <c r="Q134" i="245"/>
  <c r="Q135" i="245" s="1"/>
  <c r="Q136" i="245" s="1"/>
  <c r="Q137" i="245" s="1"/>
  <c r="P134" i="245"/>
  <c r="P138" i="245" s="1"/>
  <c r="O134" i="245"/>
  <c r="O138" i="245" s="1"/>
  <c r="N134" i="245"/>
  <c r="N138" i="245" s="1"/>
  <c r="M134" i="245"/>
  <c r="M138" i="245" s="1"/>
  <c r="L134" i="245"/>
  <c r="L138" i="245" s="1"/>
  <c r="K134" i="245"/>
  <c r="K135" i="245" s="1"/>
  <c r="K136" i="245" s="1"/>
  <c r="K137" i="245" s="1"/>
  <c r="J134" i="245"/>
  <c r="J135" i="245" s="1"/>
  <c r="J136" i="245" s="1"/>
  <c r="J137" i="245" s="1"/>
  <c r="I134" i="245"/>
  <c r="I135" i="245" s="1"/>
  <c r="I136" i="245" s="1"/>
  <c r="I137" i="245" s="1"/>
  <c r="H134" i="245"/>
  <c r="H138" i="245" s="1"/>
  <c r="G134" i="245"/>
  <c r="G138" i="245" s="1"/>
  <c r="AU129" i="245"/>
  <c r="AU130" i="245" s="1"/>
  <c r="AU131" i="245" s="1"/>
  <c r="AT129" i="245"/>
  <c r="AT130" i="245" s="1"/>
  <c r="AT131" i="245" s="1"/>
  <c r="AS129" i="245"/>
  <c r="AS130" i="245" s="1"/>
  <c r="AS131" i="245" s="1"/>
  <c r="AR129" i="245"/>
  <c r="AR130" i="245" s="1"/>
  <c r="AR131" i="245" s="1"/>
  <c r="AQ129" i="245"/>
  <c r="AQ130" i="245" s="1"/>
  <c r="AQ131" i="245" s="1"/>
  <c r="AP129" i="245"/>
  <c r="AP130" i="245" s="1"/>
  <c r="AP131" i="245" s="1"/>
  <c r="AO129" i="245"/>
  <c r="AO130" i="245" s="1"/>
  <c r="AO131" i="245" s="1"/>
  <c r="AN129" i="245"/>
  <c r="AN130" i="245" s="1"/>
  <c r="AN131" i="245" s="1"/>
  <c r="AM129" i="245"/>
  <c r="AM130" i="245" s="1"/>
  <c r="AM131" i="245" s="1"/>
  <c r="AL129" i="245"/>
  <c r="AL130" i="245" s="1"/>
  <c r="AL131" i="245" s="1"/>
  <c r="AK129" i="245"/>
  <c r="AK130" i="245" s="1"/>
  <c r="AK131" i="245" s="1"/>
  <c r="AJ129" i="245"/>
  <c r="AJ130" i="245" s="1"/>
  <c r="AJ131" i="245" s="1"/>
  <c r="AI129" i="245"/>
  <c r="AI130" i="245" s="1"/>
  <c r="AI131" i="245" s="1"/>
  <c r="AH129" i="245"/>
  <c r="AH130" i="245" s="1"/>
  <c r="AH131" i="245" s="1"/>
  <c r="AG129" i="245"/>
  <c r="AG130" i="245" s="1"/>
  <c r="AG131" i="245" s="1"/>
  <c r="AF129" i="245"/>
  <c r="AF130" i="245" s="1"/>
  <c r="AF131" i="245" s="1"/>
  <c r="AE129" i="245"/>
  <c r="AE130" i="245" s="1"/>
  <c r="AE131" i="245" s="1"/>
  <c r="AD129" i="245"/>
  <c r="AD130" i="245" s="1"/>
  <c r="AD131" i="245" s="1"/>
  <c r="AC129" i="245"/>
  <c r="AC130" i="245" s="1"/>
  <c r="AC131" i="245" s="1"/>
  <c r="AB129" i="245"/>
  <c r="AB130" i="245" s="1"/>
  <c r="AB131" i="245" s="1"/>
  <c r="AA129" i="245"/>
  <c r="AA130" i="245" s="1"/>
  <c r="AA131" i="245" s="1"/>
  <c r="Z129" i="245"/>
  <c r="Z130" i="245" s="1"/>
  <c r="Z131" i="245" s="1"/>
  <c r="Z133" i="245" s="1"/>
  <c r="Y129" i="245"/>
  <c r="Y130" i="245" s="1"/>
  <c r="Y131" i="245" s="1"/>
  <c r="Y133" i="245" s="1"/>
  <c r="X129" i="245"/>
  <c r="X130" i="245" s="1"/>
  <c r="X131" i="245" s="1"/>
  <c r="W129" i="245"/>
  <c r="W130" i="245" s="1"/>
  <c r="W131" i="245" s="1"/>
  <c r="V129" i="245"/>
  <c r="V130" i="245" s="1"/>
  <c r="V131" i="245" s="1"/>
  <c r="U129" i="245"/>
  <c r="U130" i="245" s="1"/>
  <c r="U131" i="245" s="1"/>
  <c r="T129" i="245"/>
  <c r="T130" i="245" s="1"/>
  <c r="T131" i="245" s="1"/>
  <c r="S129" i="245"/>
  <c r="S130" i="245" s="1"/>
  <c r="S131" i="245" s="1"/>
  <c r="R129" i="245"/>
  <c r="R130" i="245" s="1"/>
  <c r="R131" i="245" s="1"/>
  <c r="Q129" i="245"/>
  <c r="Q130" i="245" s="1"/>
  <c r="Q131" i="245" s="1"/>
  <c r="P129" i="245"/>
  <c r="P130" i="245" s="1"/>
  <c r="P131" i="245" s="1"/>
  <c r="O129" i="245"/>
  <c r="O130" i="245" s="1"/>
  <c r="O131" i="245" s="1"/>
  <c r="N129" i="245"/>
  <c r="N130" i="245" s="1"/>
  <c r="N131" i="245" s="1"/>
  <c r="M129" i="245"/>
  <c r="M130" i="245" s="1"/>
  <c r="M131" i="245" s="1"/>
  <c r="L129" i="245"/>
  <c r="L130" i="245" s="1"/>
  <c r="L131" i="245" s="1"/>
  <c r="K129" i="245"/>
  <c r="K130" i="245" s="1"/>
  <c r="K131" i="245" s="1"/>
  <c r="J129" i="245"/>
  <c r="J130" i="245" s="1"/>
  <c r="J131" i="245" s="1"/>
  <c r="I129" i="245"/>
  <c r="I130" i="245" s="1"/>
  <c r="I131" i="245" s="1"/>
  <c r="H129" i="245"/>
  <c r="H130" i="245" s="1"/>
  <c r="H131" i="245" s="1"/>
  <c r="G129" i="245"/>
  <c r="G130" i="245" s="1"/>
  <c r="G131" i="245" s="1"/>
  <c r="AU125" i="245"/>
  <c r="AU126" i="245" s="1"/>
  <c r="AU127" i="245" s="1"/>
  <c r="AU128" i="245" s="1"/>
  <c r="AT125" i="245"/>
  <c r="AT126" i="245" s="1"/>
  <c r="AT127" i="245" s="1"/>
  <c r="AT128" i="245" s="1"/>
  <c r="AS125" i="245"/>
  <c r="AS126" i="245" s="1"/>
  <c r="AS127" i="245" s="1"/>
  <c r="AS128" i="245" s="1"/>
  <c r="AR125" i="245"/>
  <c r="AR126" i="245" s="1"/>
  <c r="AR127" i="245" s="1"/>
  <c r="AR128" i="245" s="1"/>
  <c r="AQ125" i="245"/>
  <c r="AQ126" i="245" s="1"/>
  <c r="AQ127" i="245" s="1"/>
  <c r="AQ128" i="245" s="1"/>
  <c r="AP125" i="245"/>
  <c r="AP126" i="245" s="1"/>
  <c r="AP127" i="245" s="1"/>
  <c r="AP128" i="245" s="1"/>
  <c r="AO125" i="245"/>
  <c r="AO126" i="245" s="1"/>
  <c r="AO127" i="245" s="1"/>
  <c r="AO128" i="245" s="1"/>
  <c r="AN125" i="245"/>
  <c r="AN126" i="245" s="1"/>
  <c r="AN127" i="245" s="1"/>
  <c r="AN128" i="245" s="1"/>
  <c r="AM125" i="245"/>
  <c r="AM126" i="245" s="1"/>
  <c r="AM127" i="245" s="1"/>
  <c r="AM128" i="245" s="1"/>
  <c r="AL125" i="245"/>
  <c r="AL126" i="245" s="1"/>
  <c r="AL127" i="245" s="1"/>
  <c r="AL128" i="245" s="1"/>
  <c r="AK125" i="245"/>
  <c r="AK126" i="245" s="1"/>
  <c r="AK127" i="245" s="1"/>
  <c r="AK128" i="245" s="1"/>
  <c r="AJ125" i="245"/>
  <c r="AJ126" i="245" s="1"/>
  <c r="AJ127" i="245" s="1"/>
  <c r="AJ128" i="245" s="1"/>
  <c r="AI125" i="245"/>
  <c r="AI126" i="245" s="1"/>
  <c r="AI127" i="245" s="1"/>
  <c r="AI128" i="245" s="1"/>
  <c r="AH125" i="245"/>
  <c r="AH126" i="245" s="1"/>
  <c r="AH127" i="245" s="1"/>
  <c r="AH128" i="245" s="1"/>
  <c r="AG125" i="245"/>
  <c r="AG126" i="245" s="1"/>
  <c r="AG127" i="245" s="1"/>
  <c r="AG128" i="245" s="1"/>
  <c r="AF125" i="245"/>
  <c r="AF126" i="245" s="1"/>
  <c r="AF127" i="245" s="1"/>
  <c r="AF128" i="245" s="1"/>
  <c r="AE125" i="245"/>
  <c r="AE126" i="245" s="1"/>
  <c r="AE127" i="245" s="1"/>
  <c r="AE128" i="245" s="1"/>
  <c r="AD125" i="245"/>
  <c r="AD126" i="245" s="1"/>
  <c r="AD127" i="245" s="1"/>
  <c r="AD128" i="245" s="1"/>
  <c r="AC125" i="245"/>
  <c r="AC126" i="245" s="1"/>
  <c r="AC127" i="245" s="1"/>
  <c r="AC128" i="245" s="1"/>
  <c r="AB125" i="245"/>
  <c r="AB126" i="245" s="1"/>
  <c r="AB127" i="245" s="1"/>
  <c r="AB128" i="245" s="1"/>
  <c r="AA125" i="245"/>
  <c r="AA126" i="245" s="1"/>
  <c r="AA127" i="245" s="1"/>
  <c r="AA128" i="245" s="1"/>
  <c r="Z125" i="245"/>
  <c r="Z126" i="245" s="1"/>
  <c r="Z127" i="245" s="1"/>
  <c r="Z128" i="245" s="1"/>
  <c r="Y125" i="245"/>
  <c r="Y126" i="245" s="1"/>
  <c r="Y127" i="245" s="1"/>
  <c r="Y128" i="245" s="1"/>
  <c r="X125" i="245"/>
  <c r="X126" i="245" s="1"/>
  <c r="X127" i="245" s="1"/>
  <c r="X128" i="245" s="1"/>
  <c r="W125" i="245"/>
  <c r="W126" i="245" s="1"/>
  <c r="W127" i="245" s="1"/>
  <c r="W128" i="245" s="1"/>
  <c r="V125" i="245"/>
  <c r="V126" i="245" s="1"/>
  <c r="V127" i="245" s="1"/>
  <c r="V128" i="245" s="1"/>
  <c r="U125" i="245"/>
  <c r="U126" i="245" s="1"/>
  <c r="U127" i="245" s="1"/>
  <c r="U128" i="245" s="1"/>
  <c r="T125" i="245"/>
  <c r="T126" i="245" s="1"/>
  <c r="T127" i="245" s="1"/>
  <c r="T128" i="245" s="1"/>
  <c r="S125" i="245"/>
  <c r="S126" i="245" s="1"/>
  <c r="S127" i="245" s="1"/>
  <c r="S128" i="245" s="1"/>
  <c r="R125" i="245"/>
  <c r="R126" i="245" s="1"/>
  <c r="R127" i="245" s="1"/>
  <c r="R128" i="245" s="1"/>
  <c r="Q125" i="245"/>
  <c r="Q126" i="245" s="1"/>
  <c r="Q127" i="245" s="1"/>
  <c r="Q128" i="245" s="1"/>
  <c r="P125" i="245"/>
  <c r="P126" i="245" s="1"/>
  <c r="P127" i="245" s="1"/>
  <c r="P128" i="245" s="1"/>
  <c r="O125" i="245"/>
  <c r="O126" i="245" s="1"/>
  <c r="O127" i="245" s="1"/>
  <c r="O128" i="245" s="1"/>
  <c r="N125" i="245"/>
  <c r="N126" i="245" s="1"/>
  <c r="N127" i="245" s="1"/>
  <c r="N128" i="245" s="1"/>
  <c r="M125" i="245"/>
  <c r="M126" i="245" s="1"/>
  <c r="M127" i="245" s="1"/>
  <c r="M128" i="245" s="1"/>
  <c r="L125" i="245"/>
  <c r="L126" i="245" s="1"/>
  <c r="L127" i="245" s="1"/>
  <c r="L128" i="245" s="1"/>
  <c r="K125" i="245"/>
  <c r="K126" i="245" s="1"/>
  <c r="K127" i="245" s="1"/>
  <c r="K128" i="245" s="1"/>
  <c r="J125" i="245"/>
  <c r="J126" i="245" s="1"/>
  <c r="J127" i="245" s="1"/>
  <c r="J128" i="245" s="1"/>
  <c r="I125" i="245"/>
  <c r="I126" i="245" s="1"/>
  <c r="I127" i="245" s="1"/>
  <c r="I128" i="245" s="1"/>
  <c r="H125" i="245"/>
  <c r="H126" i="245" s="1"/>
  <c r="H127" i="245" s="1"/>
  <c r="H128" i="245" s="1"/>
  <c r="G125" i="245"/>
  <c r="G126" i="245" s="1"/>
  <c r="G127" i="245" s="1"/>
  <c r="G128" i="245" s="1"/>
  <c r="AU123" i="245"/>
  <c r="AU124" i="245" s="1"/>
  <c r="AT123" i="245"/>
  <c r="AT124" i="245" s="1"/>
  <c r="AS123" i="245"/>
  <c r="AS124" i="245" s="1"/>
  <c r="AR123" i="245"/>
  <c r="AR124" i="245" s="1"/>
  <c r="AQ123" i="245"/>
  <c r="AQ124" i="245" s="1"/>
  <c r="AP123" i="245"/>
  <c r="AP124" i="245" s="1"/>
  <c r="AO123" i="245"/>
  <c r="AO124" i="245" s="1"/>
  <c r="AN123" i="245"/>
  <c r="AN124" i="245" s="1"/>
  <c r="AM123" i="245"/>
  <c r="AM124" i="245" s="1"/>
  <c r="AL123" i="245"/>
  <c r="AL124" i="245" s="1"/>
  <c r="AK123" i="245"/>
  <c r="AK124" i="245" s="1"/>
  <c r="AJ123" i="245"/>
  <c r="AJ124" i="245" s="1"/>
  <c r="AI123" i="245"/>
  <c r="AI124" i="245" s="1"/>
  <c r="AH123" i="245"/>
  <c r="AH124" i="245" s="1"/>
  <c r="AG123" i="245"/>
  <c r="AG124" i="245" s="1"/>
  <c r="AF123" i="245"/>
  <c r="AF124" i="245" s="1"/>
  <c r="AE123" i="245"/>
  <c r="AE124" i="245" s="1"/>
  <c r="AD123" i="245"/>
  <c r="AD124" i="245" s="1"/>
  <c r="AC123" i="245"/>
  <c r="AC124" i="245" s="1"/>
  <c r="AB123" i="245"/>
  <c r="AB124" i="245" s="1"/>
  <c r="AA123" i="245"/>
  <c r="AA124" i="245" s="1"/>
  <c r="Z123" i="245"/>
  <c r="Z124" i="245" s="1"/>
  <c r="Y123" i="245"/>
  <c r="Y124" i="245" s="1"/>
  <c r="X123" i="245"/>
  <c r="X124" i="245" s="1"/>
  <c r="W123" i="245"/>
  <c r="W124" i="245" s="1"/>
  <c r="V123" i="245"/>
  <c r="V124" i="245" s="1"/>
  <c r="U123" i="245"/>
  <c r="U124" i="245" s="1"/>
  <c r="T123" i="245"/>
  <c r="T124" i="245" s="1"/>
  <c r="S123" i="245"/>
  <c r="S124" i="245" s="1"/>
  <c r="R123" i="245"/>
  <c r="R124" i="245" s="1"/>
  <c r="Q123" i="245"/>
  <c r="Q124" i="245" s="1"/>
  <c r="P123" i="245"/>
  <c r="P124" i="245" s="1"/>
  <c r="O123" i="245"/>
  <c r="O124" i="245" s="1"/>
  <c r="N123" i="245"/>
  <c r="N124" i="245" s="1"/>
  <c r="M123" i="245"/>
  <c r="M124" i="245" s="1"/>
  <c r="L123" i="245"/>
  <c r="L124" i="245" s="1"/>
  <c r="K123" i="245"/>
  <c r="K124" i="245" s="1"/>
  <c r="J123" i="245"/>
  <c r="J124" i="245" s="1"/>
  <c r="I123" i="245"/>
  <c r="I124" i="245" s="1"/>
  <c r="H123" i="245"/>
  <c r="H124" i="245" s="1"/>
  <c r="G123" i="245"/>
  <c r="G124" i="245" s="1"/>
  <c r="AU122" i="245"/>
  <c r="AU172" i="245" s="1"/>
  <c r="AT122" i="245"/>
  <c r="AT172" i="245" s="1"/>
  <c r="AS122" i="245"/>
  <c r="AS172" i="245" s="1"/>
  <c r="AR122" i="245"/>
  <c r="AR172" i="245" s="1"/>
  <c r="AQ122" i="245"/>
  <c r="AQ172" i="245" s="1"/>
  <c r="AP122" i="245"/>
  <c r="AP172" i="245" s="1"/>
  <c r="AO122" i="245"/>
  <c r="AO172" i="245" s="1"/>
  <c r="AN122" i="245"/>
  <c r="AN172" i="245" s="1"/>
  <c r="AM122" i="245"/>
  <c r="AM172" i="245" s="1"/>
  <c r="AL122" i="245"/>
  <c r="AL172" i="245" s="1"/>
  <c r="AK122" i="245"/>
  <c r="AK172" i="245" s="1"/>
  <c r="AJ122" i="245"/>
  <c r="AJ172" i="245" s="1"/>
  <c r="AI122" i="245"/>
  <c r="AI172" i="245" s="1"/>
  <c r="AH122" i="245"/>
  <c r="AH172" i="245" s="1"/>
  <c r="AG122" i="245"/>
  <c r="AG172" i="245" s="1"/>
  <c r="AF122" i="245"/>
  <c r="AF172" i="245" s="1"/>
  <c r="AE122" i="245"/>
  <c r="AE172" i="245" s="1"/>
  <c r="AD122" i="245"/>
  <c r="AD172" i="245" s="1"/>
  <c r="AC122" i="245"/>
  <c r="AC172" i="245" s="1"/>
  <c r="AB122" i="245"/>
  <c r="AB172" i="245" s="1"/>
  <c r="AA122" i="245"/>
  <c r="AA172" i="245" s="1"/>
  <c r="Z122" i="245"/>
  <c r="Z172" i="245" s="1"/>
  <c r="Y122" i="245"/>
  <c r="Y172" i="245" s="1"/>
  <c r="X122" i="245"/>
  <c r="X172" i="245" s="1"/>
  <c r="W122" i="245"/>
  <c r="W172" i="245" s="1"/>
  <c r="V122" i="245"/>
  <c r="V172" i="245" s="1"/>
  <c r="U122" i="245"/>
  <c r="U172" i="245" s="1"/>
  <c r="T122" i="245"/>
  <c r="T172" i="245" s="1"/>
  <c r="S122" i="245"/>
  <c r="S172" i="245" s="1"/>
  <c r="R122" i="245"/>
  <c r="R172" i="245" s="1"/>
  <c r="Q122" i="245"/>
  <c r="Q172" i="245" s="1"/>
  <c r="P122" i="245"/>
  <c r="P172" i="245" s="1"/>
  <c r="O122" i="245"/>
  <c r="O172" i="245" s="1"/>
  <c r="N122" i="245"/>
  <c r="N172" i="245" s="1"/>
  <c r="M122" i="245"/>
  <c r="M172" i="245" s="1"/>
  <c r="L122" i="245"/>
  <c r="L172" i="245" s="1"/>
  <c r="K122" i="245"/>
  <c r="K172" i="245" s="1"/>
  <c r="J122" i="245"/>
  <c r="J172" i="245" s="1"/>
  <c r="I122" i="245"/>
  <c r="I172" i="245" s="1"/>
  <c r="H122" i="245"/>
  <c r="H172" i="245" s="1"/>
  <c r="G122" i="245"/>
  <c r="G172" i="245" s="1"/>
  <c r="X138" i="245" l="1"/>
  <c r="Y138" i="245"/>
  <c r="AE150" i="245"/>
  <c r="AI173" i="245"/>
  <c r="AJ173" i="245"/>
  <c r="L173" i="245"/>
  <c r="AS135" i="245"/>
  <c r="AS136" i="245" s="1"/>
  <c r="AS137" i="245" s="1"/>
  <c r="H54" i="237"/>
  <c r="H58" i="237" s="1"/>
  <c r="AR135" i="245"/>
  <c r="AR136" i="245" s="1"/>
  <c r="AR137" i="245" s="1"/>
  <c r="AN171" i="245"/>
  <c r="AT138" i="245"/>
  <c r="H150" i="245"/>
  <c r="AK173" i="245"/>
  <c r="V150" i="245"/>
  <c r="AI150" i="245"/>
  <c r="AJ150" i="245"/>
  <c r="AE142" i="245"/>
  <c r="Y142" i="245"/>
  <c r="R142" i="245"/>
  <c r="AM173" i="245"/>
  <c r="AT140" i="245"/>
  <c r="AT141" i="245" s="1"/>
  <c r="AN173" i="245"/>
  <c r="AL173" i="245"/>
  <c r="AO135" i="245"/>
  <c r="AO136" i="245" s="1"/>
  <c r="AO137" i="245" s="1"/>
  <c r="I138" i="245"/>
  <c r="AB144" i="245"/>
  <c r="AB145" i="245" s="1"/>
  <c r="AB146" i="245" s="1"/>
  <c r="AB147" i="245" s="1"/>
  <c r="AB148" i="245" s="1"/>
  <c r="AC144" i="245"/>
  <c r="AC149" i="245" s="1"/>
  <c r="AQ156" i="245"/>
  <c r="AS156" i="245"/>
  <c r="X157" i="245"/>
  <c r="Y157" i="245"/>
  <c r="AH159" i="245"/>
  <c r="AH160" i="245" s="1"/>
  <c r="AI159" i="245"/>
  <c r="AI160" i="245" s="1"/>
  <c r="V157" i="245"/>
  <c r="W142" i="245"/>
  <c r="AF144" i="245"/>
  <c r="AF145" i="245" s="1"/>
  <c r="AF146" i="245" s="1"/>
  <c r="AF147" i="245" s="1"/>
  <c r="AF148" i="245" s="1"/>
  <c r="AJ159" i="245"/>
  <c r="AJ160" i="245" s="1"/>
  <c r="X142" i="245"/>
  <c r="G150" i="245"/>
  <c r="G68" i="245" s="1"/>
  <c r="AK159" i="245"/>
  <c r="AK160" i="245" s="1"/>
  <c r="AL159" i="245"/>
  <c r="AL160" i="245" s="1"/>
  <c r="Z142" i="245"/>
  <c r="I150" i="245"/>
  <c r="AM159" i="245"/>
  <c r="AM160" i="245" s="1"/>
  <c r="J138" i="245"/>
  <c r="AA142" i="245"/>
  <c r="AB142" i="245"/>
  <c r="Z150" i="245"/>
  <c r="AC142" i="245"/>
  <c r="AB150" i="245"/>
  <c r="AO173" i="245"/>
  <c r="AB138" i="245"/>
  <c r="AC150" i="245"/>
  <c r="AR173" i="245"/>
  <c r="AL138" i="245"/>
  <c r="AG142" i="245"/>
  <c r="AD150" i="245"/>
  <c r="AF150" i="245"/>
  <c r="W157" i="245"/>
  <c r="Z157" i="245"/>
  <c r="AE166" i="245"/>
  <c r="AB157" i="245"/>
  <c r="AK166" i="245"/>
  <c r="AC157" i="245"/>
  <c r="G167" i="245"/>
  <c r="AD157" i="245"/>
  <c r="H167" i="245"/>
  <c r="Q158" i="245"/>
  <c r="AI167" i="245"/>
  <c r="R158" i="245"/>
  <c r="G135" i="245"/>
  <c r="G136" i="245" s="1"/>
  <c r="G137" i="245" s="1"/>
  <c r="S158" i="245"/>
  <c r="AE171" i="245"/>
  <c r="H135" i="245"/>
  <c r="H136" i="245" s="1"/>
  <c r="H137" i="245" s="1"/>
  <c r="T158" i="245"/>
  <c r="AF171" i="245"/>
  <c r="U158" i="245"/>
  <c r="AG171" i="245"/>
  <c r="AR158" i="245"/>
  <c r="AH171" i="245"/>
  <c r="AC135" i="245"/>
  <c r="AC136" i="245" s="1"/>
  <c r="AC137" i="245" s="1"/>
  <c r="G144" i="245"/>
  <c r="G145" i="245" s="1"/>
  <c r="G146" i="245" s="1"/>
  <c r="G147" i="245" s="1"/>
  <c r="G148" i="245" s="1"/>
  <c r="H159" i="245"/>
  <c r="H160" i="245" s="1"/>
  <c r="AI171" i="245"/>
  <c r="AH135" i="245"/>
  <c r="AH136" i="245" s="1"/>
  <c r="AH137" i="245" s="1"/>
  <c r="H144" i="245"/>
  <c r="H145" i="245" s="1"/>
  <c r="H146" i="245" s="1"/>
  <c r="H147" i="245" s="1"/>
  <c r="H148" i="245" s="1"/>
  <c r="I159" i="245"/>
  <c r="I160" i="245" s="1"/>
  <c r="AL171" i="245"/>
  <c r="AK135" i="245"/>
  <c r="AK136" i="245" s="1"/>
  <c r="AK137" i="245" s="1"/>
  <c r="I144" i="245"/>
  <c r="I145" i="245" s="1"/>
  <c r="I146" i="245" s="1"/>
  <c r="I147" i="245" s="1"/>
  <c r="I148" i="245" s="1"/>
  <c r="M159" i="245"/>
  <c r="M160" i="245" s="1"/>
  <c r="AM171" i="245"/>
  <c r="AO156" i="245"/>
  <c r="AR156" i="245"/>
  <c r="AP156" i="245"/>
  <c r="AN159" i="245"/>
  <c r="AN160" i="245" s="1"/>
  <c r="V158" i="245"/>
  <c r="AM158" i="245"/>
  <c r="AT155" i="245"/>
  <c r="AN158" i="245"/>
  <c r="G156" i="245"/>
  <c r="AO158" i="245"/>
  <c r="AP158" i="245"/>
  <c r="H156" i="245"/>
  <c r="I156" i="245"/>
  <c r="AQ158" i="245"/>
  <c r="AK156" i="245"/>
  <c r="AL156" i="245"/>
  <c r="AS158" i="245"/>
  <c r="AM156" i="245"/>
  <c r="AT158" i="245"/>
  <c r="AN156" i="245"/>
  <c r="G159" i="245"/>
  <c r="G160" i="245" s="1"/>
  <c r="AI140" i="245"/>
  <c r="AI141" i="245" s="1"/>
  <c r="AJ140" i="245"/>
  <c r="AJ141" i="245" s="1"/>
  <c r="AP166" i="245"/>
  <c r="AR166" i="245"/>
  <c r="G142" i="245"/>
  <c r="U150" i="245"/>
  <c r="AT166" i="245"/>
  <c r="H142" i="245"/>
  <c r="AU166" i="245"/>
  <c r="I167" i="245"/>
  <c r="AT173" i="245"/>
  <c r="R167" i="245"/>
  <c r="AU173" i="245"/>
  <c r="S144" i="245"/>
  <c r="S145" i="245" s="1"/>
  <c r="S146" i="245" s="1"/>
  <c r="S147" i="245" s="1"/>
  <c r="S148" i="245" s="1"/>
  <c r="X167" i="245"/>
  <c r="AH140" i="245"/>
  <c r="AH141" i="245" s="1"/>
  <c r="K138" i="245"/>
  <c r="X144" i="245"/>
  <c r="X145" i="245" s="1"/>
  <c r="X146" i="245" s="1"/>
  <c r="X147" i="245" s="1"/>
  <c r="X148" i="245" s="1"/>
  <c r="Y167" i="245"/>
  <c r="G173" i="245"/>
  <c r="Q138" i="245"/>
  <c r="Y144" i="245"/>
  <c r="Y145" i="245" s="1"/>
  <c r="Y146" i="245" s="1"/>
  <c r="Y147" i="245" s="1"/>
  <c r="Y148" i="245" s="1"/>
  <c r="AC167" i="245"/>
  <c r="H173" i="245"/>
  <c r="Z144" i="245"/>
  <c r="Z145" i="245" s="1"/>
  <c r="Z146" i="245" s="1"/>
  <c r="Z147" i="245" s="1"/>
  <c r="Z148" i="245" s="1"/>
  <c r="AD167" i="245"/>
  <c r="I173" i="245"/>
  <c r="R138" i="245"/>
  <c r="L135" i="245"/>
  <c r="L136" i="245" s="1"/>
  <c r="L137" i="245" s="1"/>
  <c r="V138" i="245"/>
  <c r="AD142" i="245"/>
  <c r="AA144" i="245"/>
  <c r="AA145" i="245" s="1"/>
  <c r="AA146" i="245" s="1"/>
  <c r="AA147" i="245" s="1"/>
  <c r="AA148" i="245" s="1"/>
  <c r="AK150" i="245"/>
  <c r="AU155" i="245"/>
  <c r="AA157" i="245"/>
  <c r="AU158" i="245"/>
  <c r="AE167" i="245"/>
  <c r="J173" i="245"/>
  <c r="M135" i="245"/>
  <c r="M136" i="245" s="1"/>
  <c r="M137" i="245" s="1"/>
  <c r="AF167" i="245"/>
  <c r="K173" i="245"/>
  <c r="Z138" i="245"/>
  <c r="AJ167" i="245"/>
  <c r="M173" i="245"/>
  <c r="P135" i="245"/>
  <c r="P136" i="245" s="1"/>
  <c r="P137" i="245" s="1"/>
  <c r="AD144" i="245"/>
  <c r="AD145" i="245" s="1"/>
  <c r="AD146" i="245" s="1"/>
  <c r="AD147" i="245" s="1"/>
  <c r="AD148" i="245" s="1"/>
  <c r="AA138" i="245"/>
  <c r="J156" i="245"/>
  <c r="AE157" i="245"/>
  <c r="J159" i="245"/>
  <c r="J160" i="245" s="1"/>
  <c r="AK167" i="245"/>
  <c r="P173" i="245"/>
  <c r="K156" i="245"/>
  <c r="AF157" i="245"/>
  <c r="K159" i="245"/>
  <c r="K160" i="245" s="1"/>
  <c r="AT167" i="245"/>
  <c r="R173" i="245"/>
  <c r="AD135" i="245"/>
  <c r="AD136" i="245" s="1"/>
  <c r="AD137" i="245" s="1"/>
  <c r="AH144" i="245"/>
  <c r="AH145" i="245" s="1"/>
  <c r="AH146" i="245" s="1"/>
  <c r="AH147" i="245" s="1"/>
  <c r="AH148" i="245" s="1"/>
  <c r="L156" i="245"/>
  <c r="AG157" i="245"/>
  <c r="S173" i="245"/>
  <c r="AE138" i="245"/>
  <c r="AI144" i="245"/>
  <c r="M156" i="245"/>
  <c r="J158" i="245"/>
  <c r="AA159" i="245"/>
  <c r="AA160" i="245" s="1"/>
  <c r="G171" i="245"/>
  <c r="Y173" i="245"/>
  <c r="AI135" i="245"/>
  <c r="AI136" i="245" s="1"/>
  <c r="AI137" i="245" s="1"/>
  <c r="AF138" i="245"/>
  <c r="AJ144" i="245"/>
  <c r="N156" i="245"/>
  <c r="K158" i="245"/>
  <c r="AB159" i="245"/>
  <c r="AB160" i="245" s="1"/>
  <c r="N166" i="245"/>
  <c r="J171" i="245"/>
  <c r="Z173" i="245"/>
  <c r="AJ135" i="245"/>
  <c r="AJ136" i="245" s="1"/>
  <c r="AJ137" i="245" s="1"/>
  <c r="O156" i="245"/>
  <c r="L158" i="245"/>
  <c r="AC159" i="245"/>
  <c r="AC160" i="245" s="1"/>
  <c r="P166" i="245"/>
  <c r="K171" i="245"/>
  <c r="AD173" i="245"/>
  <c r="AU144" i="245"/>
  <c r="AU145" i="245" s="1"/>
  <c r="AU146" i="245" s="1"/>
  <c r="AU147" i="245" s="1"/>
  <c r="AU148" i="245" s="1"/>
  <c r="P156" i="245"/>
  <c r="M158" i="245"/>
  <c r="AD159" i="245"/>
  <c r="AD160" i="245" s="1"/>
  <c r="R166" i="245"/>
  <c r="L171" i="245"/>
  <c r="AE173" i="245"/>
  <c r="AM138" i="245"/>
  <c r="AH156" i="245"/>
  <c r="N158" i="245"/>
  <c r="AE159" i="245"/>
  <c r="AE160" i="245" s="1"/>
  <c r="S166" i="245"/>
  <c r="X171" i="245"/>
  <c r="AF173" i="245"/>
  <c r="AN138" i="245"/>
  <c r="AI156" i="245"/>
  <c r="O158" i="245"/>
  <c r="AF159" i="245"/>
  <c r="AF160" i="245" s="1"/>
  <c r="X166" i="245"/>
  <c r="AB171" i="245"/>
  <c r="AG173" i="245"/>
  <c r="AJ156" i="245"/>
  <c r="P158" i="245"/>
  <c r="AG159" i="245"/>
  <c r="AG160" i="245" s="1"/>
  <c r="AD171" i="245"/>
  <c r="AH173" i="245"/>
  <c r="AI157" i="245"/>
  <c r="L155" i="245"/>
  <c r="AT156" i="245"/>
  <c r="M155" i="245"/>
  <c r="AU156" i="245"/>
  <c r="W158" i="245"/>
  <c r="Q155" i="245"/>
  <c r="S156" i="245"/>
  <c r="G157" i="245"/>
  <c r="AJ157" i="245"/>
  <c r="X158" i="245"/>
  <c r="L159" i="245"/>
  <c r="L160" i="245" s="1"/>
  <c r="AO159" i="245"/>
  <c r="AO160" i="245" s="1"/>
  <c r="Y158" i="245"/>
  <c r="AP159" i="245"/>
  <c r="AP160" i="245" s="1"/>
  <c r="S155" i="245"/>
  <c r="U156" i="245"/>
  <c r="I157" i="245"/>
  <c r="AL157" i="245"/>
  <c r="Z158" i="245"/>
  <c r="N159" i="245"/>
  <c r="N160" i="245" s="1"/>
  <c r="AQ159" i="245"/>
  <c r="AQ160" i="245" s="1"/>
  <c r="R156" i="245"/>
  <c r="V156" i="245"/>
  <c r="J157" i="245"/>
  <c r="AM157" i="245"/>
  <c r="AA158" i="245"/>
  <c r="O159" i="245"/>
  <c r="O160" i="245" s="1"/>
  <c r="AR159" i="245"/>
  <c r="AR160" i="245" s="1"/>
  <c r="AS159" i="245"/>
  <c r="AS160" i="245" s="1"/>
  <c r="Q159" i="245"/>
  <c r="Q160" i="245" s="1"/>
  <c r="Q156" i="245"/>
  <c r="AH157" i="245"/>
  <c r="AK157" i="245"/>
  <c r="T155" i="245"/>
  <c r="P159" i="245"/>
  <c r="P160" i="245" s="1"/>
  <c r="V155" i="245"/>
  <c r="X156" i="245"/>
  <c r="L157" i="245"/>
  <c r="AO157" i="245"/>
  <c r="AC158" i="245"/>
  <c r="AT159" i="245"/>
  <c r="AT160" i="245" s="1"/>
  <c r="W155" i="245"/>
  <c r="Y156" i="245"/>
  <c r="M157" i="245"/>
  <c r="AP157" i="245"/>
  <c r="AD158" i="245"/>
  <c r="R159" i="245"/>
  <c r="R160" i="245" s="1"/>
  <c r="AU159" i="245"/>
  <c r="AU160" i="245" s="1"/>
  <c r="T156" i="245"/>
  <c r="W156" i="245"/>
  <c r="X155" i="245"/>
  <c r="Z156" i="245"/>
  <c r="N157" i="245"/>
  <c r="AQ157" i="245"/>
  <c r="AE158" i="245"/>
  <c r="S159" i="245"/>
  <c r="S160" i="245" s="1"/>
  <c r="K157" i="245"/>
  <c r="AA155" i="245"/>
  <c r="AA156" i="245"/>
  <c r="O157" i="245"/>
  <c r="AR157" i="245"/>
  <c r="AF158" i="245"/>
  <c r="U159" i="245"/>
  <c r="U160" i="245" s="1"/>
  <c r="AG155" i="245"/>
  <c r="AB156" i="245"/>
  <c r="P157" i="245"/>
  <c r="AS157" i="245"/>
  <c r="AH158" i="245"/>
  <c r="V159" i="245"/>
  <c r="V160" i="245" s="1"/>
  <c r="AH155" i="245"/>
  <c r="AC156" i="245"/>
  <c r="Q157" i="245"/>
  <c r="AU157" i="245"/>
  <c r="AI158" i="245"/>
  <c r="W159" i="245"/>
  <c r="W160" i="245" s="1"/>
  <c r="H157" i="245"/>
  <c r="U155" i="245"/>
  <c r="AN155" i="245"/>
  <c r="AD156" i="245"/>
  <c r="G158" i="245"/>
  <c r="X159" i="245"/>
  <c r="X160" i="245" s="1"/>
  <c r="R155" i="245"/>
  <c r="AN157" i="245"/>
  <c r="S157" i="245"/>
  <c r="AO155" i="245"/>
  <c r="AF156" i="245"/>
  <c r="T157" i="245"/>
  <c r="H158" i="245"/>
  <c r="AK158" i="245"/>
  <c r="Y159" i="245"/>
  <c r="Y160" i="245" s="1"/>
  <c r="AB158" i="245"/>
  <c r="AJ158" i="245"/>
  <c r="AS155" i="245"/>
  <c r="AG156" i="245"/>
  <c r="U157" i="245"/>
  <c r="I158" i="245"/>
  <c r="AL158" i="245"/>
  <c r="Z159" i="245"/>
  <c r="Z160" i="245" s="1"/>
  <c r="N145" i="245"/>
  <c r="N146" i="245" s="1"/>
  <c r="N147" i="245" s="1"/>
  <c r="N148" i="245" s="1"/>
  <c r="N149" i="245"/>
  <c r="AQ145" i="245"/>
  <c r="AQ146" i="245" s="1"/>
  <c r="AQ147" i="245" s="1"/>
  <c r="AQ148" i="245" s="1"/>
  <c r="AQ149" i="245"/>
  <c r="J132" i="245"/>
  <c r="J133" i="245"/>
  <c r="P145" i="245"/>
  <c r="P146" i="245" s="1"/>
  <c r="P147" i="245" s="1"/>
  <c r="P148" i="245" s="1"/>
  <c r="P149" i="245"/>
  <c r="AR145" i="245"/>
  <c r="AR146" i="245" s="1"/>
  <c r="AR147" i="245" s="1"/>
  <c r="AR148" i="245" s="1"/>
  <c r="AR149" i="245"/>
  <c r="K132" i="245"/>
  <c r="K133" i="245"/>
  <c r="Q145" i="245"/>
  <c r="Q146" i="245" s="1"/>
  <c r="Q147" i="245" s="1"/>
  <c r="Q148" i="245" s="1"/>
  <c r="Q149" i="245"/>
  <c r="AS145" i="245"/>
  <c r="AS146" i="245" s="1"/>
  <c r="AS147" i="245" s="1"/>
  <c r="AS148" i="245" s="1"/>
  <c r="AS149" i="245"/>
  <c r="O132" i="245"/>
  <c r="O133" i="245"/>
  <c r="AT145" i="245"/>
  <c r="AT146" i="245" s="1"/>
  <c r="AT147" i="245" s="1"/>
  <c r="AT148" i="245" s="1"/>
  <c r="AT149" i="245"/>
  <c r="R145" i="245"/>
  <c r="R146" i="245" s="1"/>
  <c r="R147" i="245" s="1"/>
  <c r="R148" i="245" s="1"/>
  <c r="R149" i="245"/>
  <c r="W133" i="245"/>
  <c r="W132" i="245"/>
  <c r="P132" i="245"/>
  <c r="P133" i="245"/>
  <c r="T145" i="245"/>
  <c r="T146" i="245" s="1"/>
  <c r="T147" i="245" s="1"/>
  <c r="T148" i="245" s="1"/>
  <c r="T149" i="245"/>
  <c r="F146" i="245"/>
  <c r="F150" i="245"/>
  <c r="F68" i="245" s="1"/>
  <c r="U145" i="245"/>
  <c r="U146" i="245" s="1"/>
  <c r="U147" i="245" s="1"/>
  <c r="U148" i="245" s="1"/>
  <c r="U149" i="245"/>
  <c r="X133" i="245"/>
  <c r="X132" i="245"/>
  <c r="R133" i="245"/>
  <c r="R132" i="245"/>
  <c r="S133" i="245"/>
  <c r="S132" i="245"/>
  <c r="T133" i="245"/>
  <c r="T132" i="245"/>
  <c r="W145" i="245"/>
  <c r="W146" i="245" s="1"/>
  <c r="W147" i="245" s="1"/>
  <c r="W148" i="245" s="1"/>
  <c r="W149" i="245"/>
  <c r="V145" i="245"/>
  <c r="V146" i="245" s="1"/>
  <c r="V147" i="245" s="1"/>
  <c r="V148" i="245" s="1"/>
  <c r="V149" i="245"/>
  <c r="AP145" i="245"/>
  <c r="AP146" i="245" s="1"/>
  <c r="AP147" i="245" s="1"/>
  <c r="AP148" i="245" s="1"/>
  <c r="AP149" i="245"/>
  <c r="U132" i="245"/>
  <c r="U133" i="245"/>
  <c r="AC133" i="245"/>
  <c r="AC132" i="245"/>
  <c r="V133" i="245"/>
  <c r="V132" i="245"/>
  <c r="Q132" i="245"/>
  <c r="Q133" i="245"/>
  <c r="AD133" i="245"/>
  <c r="AD132" i="245"/>
  <c r="AB133" i="245"/>
  <c r="AB132" i="245"/>
  <c r="AE133" i="245"/>
  <c r="AE132" i="245"/>
  <c r="AA133" i="245"/>
  <c r="AA132" i="245"/>
  <c r="AF132" i="245"/>
  <c r="AF133" i="245"/>
  <c r="AG132" i="245"/>
  <c r="AG133" i="245"/>
  <c r="AL132" i="245"/>
  <c r="AL133" i="245"/>
  <c r="AH132" i="245"/>
  <c r="AH133" i="245"/>
  <c r="AM132" i="245"/>
  <c r="AM133" i="245"/>
  <c r="AQ132" i="245"/>
  <c r="AQ133" i="245"/>
  <c r="AJ132" i="245"/>
  <c r="AJ133" i="245"/>
  <c r="G132" i="245"/>
  <c r="G133" i="245"/>
  <c r="AI132" i="245"/>
  <c r="AI133" i="245"/>
  <c r="H132" i="245"/>
  <c r="H133" i="245"/>
  <c r="AR132" i="245"/>
  <c r="AR133" i="245"/>
  <c r="I132" i="245"/>
  <c r="I133" i="245"/>
  <c r="AK132" i="245"/>
  <c r="AK133" i="245"/>
  <c r="AS132" i="245"/>
  <c r="AS133" i="245"/>
  <c r="AT133" i="245"/>
  <c r="AT132" i="245"/>
  <c r="AN132" i="245"/>
  <c r="AN133" i="245"/>
  <c r="AU133" i="245"/>
  <c r="AU132" i="245"/>
  <c r="L132" i="245"/>
  <c r="L133" i="245"/>
  <c r="M132" i="245"/>
  <c r="M133" i="245"/>
  <c r="AO132" i="245"/>
  <c r="AO133" i="245"/>
  <c r="N132" i="245"/>
  <c r="N133" i="245"/>
  <c r="AP132" i="245"/>
  <c r="AP133" i="245"/>
  <c r="M170" i="245"/>
  <c r="AO170" i="245"/>
  <c r="W138" i="245"/>
  <c r="AA150" i="245"/>
  <c r="O166" i="245"/>
  <c r="AQ166" i="245"/>
  <c r="N170" i="245"/>
  <c r="AP170" i="245"/>
  <c r="AC171" i="245"/>
  <c r="O170" i="245"/>
  <c r="AQ170" i="245"/>
  <c r="Q166" i="245"/>
  <c r="AS166" i="245"/>
  <c r="P170" i="245"/>
  <c r="AR170" i="245"/>
  <c r="AG167" i="245"/>
  <c r="Q170" i="245"/>
  <c r="AS170" i="245"/>
  <c r="AH167" i="245"/>
  <c r="R170" i="245"/>
  <c r="AT170" i="245"/>
  <c r="T166" i="245"/>
  <c r="S170" i="245"/>
  <c r="AU170" i="245"/>
  <c r="AG150" i="245"/>
  <c r="U166" i="245"/>
  <c r="T170" i="245"/>
  <c r="Y132" i="245"/>
  <c r="N135" i="245"/>
  <c r="N136" i="245" s="1"/>
  <c r="N137" i="245" s="1"/>
  <c r="AP135" i="245"/>
  <c r="AP136" i="245" s="1"/>
  <c r="AP137" i="245" s="1"/>
  <c r="AH150" i="245"/>
  <c r="Y155" i="245"/>
  <c r="V166" i="245"/>
  <c r="U170" i="245"/>
  <c r="H171" i="245"/>
  <c r="AJ171" i="245"/>
  <c r="Z132" i="245"/>
  <c r="O135" i="245"/>
  <c r="O136" i="245" s="1"/>
  <c r="O137" i="245" s="1"/>
  <c r="AQ135" i="245"/>
  <c r="AQ136" i="245" s="1"/>
  <c r="AQ137" i="245" s="1"/>
  <c r="AF140" i="245"/>
  <c r="AF141" i="245" s="1"/>
  <c r="AG144" i="245"/>
  <c r="Z155" i="245"/>
  <c r="W166" i="245"/>
  <c r="J167" i="245"/>
  <c r="AL167" i="245"/>
  <c r="V170" i="245"/>
  <c r="I171" i="245"/>
  <c r="AK171" i="245"/>
  <c r="K167" i="245"/>
  <c r="AM167" i="245"/>
  <c r="W170" i="245"/>
  <c r="AG138" i="245"/>
  <c r="F142" i="245"/>
  <c r="AB155" i="245"/>
  <c r="Y166" i="245"/>
  <c r="L167" i="245"/>
  <c r="AN167" i="245"/>
  <c r="J150" i="245"/>
  <c r="AL150" i="245"/>
  <c r="AC155" i="245"/>
  <c r="Z166" i="245"/>
  <c r="M167" i="245"/>
  <c r="AO167" i="245"/>
  <c r="Y170" i="245"/>
  <c r="N173" i="245"/>
  <c r="AP173" i="245"/>
  <c r="S135" i="245"/>
  <c r="S136" i="245" s="1"/>
  <c r="S137" i="245" s="1"/>
  <c r="AU135" i="245"/>
  <c r="AU136" i="245" s="1"/>
  <c r="AU137" i="245" s="1"/>
  <c r="K150" i="245"/>
  <c r="AM150" i="245"/>
  <c r="AD155" i="245"/>
  <c r="AA166" i="245"/>
  <c r="N167" i="245"/>
  <c r="AP167" i="245"/>
  <c r="Z170" i="245"/>
  <c r="O173" i="245"/>
  <c r="AQ173" i="245"/>
  <c r="T135" i="245"/>
  <c r="T136" i="245" s="1"/>
  <c r="T137" i="245" s="1"/>
  <c r="I140" i="245"/>
  <c r="I141" i="245" s="1"/>
  <c r="AK140" i="245"/>
  <c r="AK141" i="245" s="1"/>
  <c r="J144" i="245"/>
  <c r="AL144" i="245"/>
  <c r="L150" i="245"/>
  <c r="AN150" i="245"/>
  <c r="AE155" i="245"/>
  <c r="AB166" i="245"/>
  <c r="O167" i="245"/>
  <c r="AQ167" i="245"/>
  <c r="AA170" i="245"/>
  <c r="U135" i="245"/>
  <c r="U136" i="245" s="1"/>
  <c r="U137" i="245" s="1"/>
  <c r="J140" i="245"/>
  <c r="J141" i="245" s="1"/>
  <c r="AL140" i="245"/>
  <c r="AL141" i="245" s="1"/>
  <c r="K144" i="245"/>
  <c r="AM144" i="245"/>
  <c r="M150" i="245"/>
  <c r="AO150" i="245"/>
  <c r="AF155" i="245"/>
  <c r="P167" i="245"/>
  <c r="AR167" i="245"/>
  <c r="Q173" i="245"/>
  <c r="AS173" i="245"/>
  <c r="K142" i="245"/>
  <c r="AM142" i="245"/>
  <c r="L144" i="245"/>
  <c r="AN144" i="245"/>
  <c r="N150" i="245"/>
  <c r="AP150" i="245"/>
  <c r="Q167" i="245"/>
  <c r="AS167" i="245"/>
  <c r="L142" i="245"/>
  <c r="AN140" i="245"/>
  <c r="AN141" i="245" s="1"/>
  <c r="AQ150" i="245"/>
  <c r="M140" i="245"/>
  <c r="M141" i="245" s="1"/>
  <c r="AO140" i="245"/>
  <c r="AO141" i="245" s="1"/>
  <c r="P150" i="245"/>
  <c r="AR150" i="245"/>
  <c r="G155" i="245"/>
  <c r="AI155" i="245"/>
  <c r="S167" i="245"/>
  <c r="AU167" i="245"/>
  <c r="T173" i="245"/>
  <c r="AO144" i="245"/>
  <c r="N140" i="245"/>
  <c r="N141" i="245" s="1"/>
  <c r="AP140" i="245"/>
  <c r="AP141" i="245" s="1"/>
  <c r="O144" i="245"/>
  <c r="AE149" i="245"/>
  <c r="Q150" i="245"/>
  <c r="AS150" i="245"/>
  <c r="H155" i="245"/>
  <c r="AJ155" i="245"/>
  <c r="T167" i="245"/>
  <c r="U173" i="245"/>
  <c r="O140" i="245"/>
  <c r="O141" i="245" s="1"/>
  <c r="AQ140" i="245"/>
  <c r="AQ141" i="245" s="1"/>
  <c r="R150" i="245"/>
  <c r="AT150" i="245"/>
  <c r="I155" i="245"/>
  <c r="AK155" i="245"/>
  <c r="U167" i="245"/>
  <c r="V173" i="245"/>
  <c r="M144" i="245"/>
  <c r="P140" i="245"/>
  <c r="P141" i="245" s="1"/>
  <c r="AR140" i="245"/>
  <c r="AR141" i="245" s="1"/>
  <c r="J155" i="245"/>
  <c r="AL155" i="245"/>
  <c r="V167" i="245"/>
  <c r="W173" i="245"/>
  <c r="Q140" i="245"/>
  <c r="Q141" i="245" s="1"/>
  <c r="AS140" i="245"/>
  <c r="AS141" i="245" s="1"/>
  <c r="F149" i="245"/>
  <c r="T150" i="245"/>
  <c r="K155" i="245"/>
  <c r="AM155" i="245"/>
  <c r="W167" i="245"/>
  <c r="X173" i="245"/>
  <c r="S142" i="245"/>
  <c r="AU142" i="245"/>
  <c r="T140" i="245"/>
  <c r="T141" i="245" s="1"/>
  <c r="AK149" i="245"/>
  <c r="W150" i="245"/>
  <c r="N155" i="245"/>
  <c r="AP155" i="245"/>
  <c r="AA173" i="245"/>
  <c r="U140" i="245"/>
  <c r="U141" i="245" s="1"/>
  <c r="O155" i="245"/>
  <c r="AQ155" i="245"/>
  <c r="AB173" i="245"/>
  <c r="V140" i="245"/>
  <c r="V141" i="245" s="1"/>
  <c r="P155" i="245"/>
  <c r="R157" i="245"/>
  <c r="E186" i="231"/>
  <c r="C186" i="231"/>
  <c r="AB149" i="245" l="1"/>
  <c r="AF149" i="245"/>
  <c r="AC145" i="245"/>
  <c r="AC146" i="245" s="1"/>
  <c r="AC147" i="245" s="1"/>
  <c r="AC148" i="245" s="1"/>
  <c r="AD149" i="245"/>
  <c r="AH149" i="245"/>
  <c r="Y149" i="245"/>
  <c r="AA149" i="245"/>
  <c r="H149" i="245"/>
  <c r="I149" i="245"/>
  <c r="G149" i="245"/>
  <c r="S149" i="245"/>
  <c r="AU149" i="245"/>
  <c r="AJ145" i="245"/>
  <c r="AJ146" i="245" s="1"/>
  <c r="AJ147" i="245" s="1"/>
  <c r="AJ148" i="245" s="1"/>
  <c r="AJ149" i="245"/>
  <c r="X149" i="245"/>
  <c r="Z149" i="245"/>
  <c r="AI145" i="245"/>
  <c r="AI146" i="245" s="1"/>
  <c r="AI147" i="245" s="1"/>
  <c r="AI148" i="245" s="1"/>
  <c r="AI149" i="245"/>
  <c r="AL149" i="245"/>
  <c r="AL145" i="245"/>
  <c r="AL146" i="245" s="1"/>
  <c r="AL147" i="245" s="1"/>
  <c r="AL148" i="245" s="1"/>
  <c r="AN145" i="245"/>
  <c r="AN146" i="245" s="1"/>
  <c r="AN147" i="245" s="1"/>
  <c r="AN148" i="245" s="1"/>
  <c r="AN149" i="245"/>
  <c r="L145" i="245"/>
  <c r="L146" i="245" s="1"/>
  <c r="L147" i="245" s="1"/>
  <c r="L148" i="245" s="1"/>
  <c r="L149" i="245"/>
  <c r="J149" i="245"/>
  <c r="J145" i="245"/>
  <c r="J146" i="245" s="1"/>
  <c r="J147" i="245" s="1"/>
  <c r="J148" i="245" s="1"/>
  <c r="AO145" i="245"/>
  <c r="AO146" i="245" s="1"/>
  <c r="AO147" i="245" s="1"/>
  <c r="AO148" i="245" s="1"/>
  <c r="AO149" i="245"/>
  <c r="O145" i="245"/>
  <c r="O146" i="245" s="1"/>
  <c r="O147" i="245" s="1"/>
  <c r="O148" i="245" s="1"/>
  <c r="O149" i="245"/>
  <c r="AG145" i="245"/>
  <c r="AG146" i="245" s="1"/>
  <c r="AG147" i="245" s="1"/>
  <c r="AG148" i="245" s="1"/>
  <c r="AG149" i="245"/>
  <c r="K149" i="245"/>
  <c r="K145" i="245"/>
  <c r="K146" i="245" s="1"/>
  <c r="K147" i="245" s="1"/>
  <c r="K148" i="245" s="1"/>
  <c r="AM149" i="245"/>
  <c r="AM145" i="245"/>
  <c r="AM146" i="245" s="1"/>
  <c r="AM147" i="245" s="1"/>
  <c r="AM148" i="245" s="1"/>
  <c r="M145" i="245"/>
  <c r="M146" i="245" s="1"/>
  <c r="M147" i="245" s="1"/>
  <c r="M148" i="245" s="1"/>
  <c r="M149" i="245"/>
  <c r="AN93" i="238"/>
  <c r="AO93" i="238"/>
  <c r="AP93" i="238"/>
  <c r="AQ93" i="238"/>
  <c r="AR93" i="238"/>
  <c r="AS93" i="238"/>
  <c r="AT93" i="238"/>
  <c r="AU93" i="238"/>
  <c r="AV93" i="238"/>
  <c r="AW93" i="238"/>
  <c r="AM93" i="238"/>
  <c r="AN89" i="238"/>
  <c r="AO89" i="238"/>
  <c r="AO92" i="238" s="1"/>
  <c r="AP89" i="238"/>
  <c r="AQ89" i="238"/>
  <c r="AR89" i="238"/>
  <c r="AS89" i="238"/>
  <c r="AT89" i="238"/>
  <c r="AU89" i="238"/>
  <c r="AV89" i="238"/>
  <c r="AW89" i="238"/>
  <c r="AN90" i="238"/>
  <c r="AO90" i="238"/>
  <c r="AP90" i="238"/>
  <c r="AQ90" i="238"/>
  <c r="AR90" i="238"/>
  <c r="AS90" i="238"/>
  <c r="AT90" i="238"/>
  <c r="AU90" i="238"/>
  <c r="AV90" i="238"/>
  <c r="AW90" i="238"/>
  <c r="AN91" i="238"/>
  <c r="AO91" i="238"/>
  <c r="AP91" i="238"/>
  <c r="AQ91" i="238"/>
  <c r="AR91" i="238"/>
  <c r="AS91" i="238"/>
  <c r="AS92" i="238" s="1"/>
  <c r="AT91" i="238"/>
  <c r="AT92" i="238" s="1"/>
  <c r="AU91" i="238"/>
  <c r="AU92" i="238" s="1"/>
  <c r="AV91" i="238"/>
  <c r="AV92" i="238" s="1"/>
  <c r="AW91" i="238"/>
  <c r="AW92" i="238" s="1"/>
  <c r="AN92" i="238"/>
  <c r="AP92" i="238"/>
  <c r="AM92" i="238"/>
  <c r="AM90" i="238"/>
  <c r="AM89" i="238"/>
  <c r="AM91" i="238"/>
  <c r="AR92" i="238" l="1"/>
  <c r="AQ92" i="238"/>
  <c r="Q38" i="246"/>
  <c r="P38" i="246"/>
  <c r="O38" i="246"/>
  <c r="N38" i="246"/>
  <c r="M38" i="246"/>
  <c r="D39" i="237" l="1"/>
  <c r="D40" i="237"/>
  <c r="D41" i="237"/>
  <c r="D42" i="237"/>
  <c r="D43" i="237"/>
  <c r="D44" i="237"/>
  <c r="D45" i="237"/>
  <c r="D46" i="237"/>
  <c r="D47" i="237"/>
  <c r="D48" i="237"/>
  <c r="D49" i="237"/>
  <c r="D50" i="237"/>
  <c r="D51" i="237"/>
  <c r="D52" i="237"/>
  <c r="D38" i="237"/>
  <c r="D83" i="231" l="1"/>
  <c r="D82" i="231"/>
  <c r="C31" i="246" l="1"/>
  <c r="B31" i="246"/>
  <c r="Q5" i="254" l="1"/>
  <c r="Q6" i="254"/>
  <c r="R6" i="254" s="1"/>
  <c r="Q7" i="254"/>
  <c r="Q8" i="254"/>
  <c r="R8" i="254" s="1"/>
  <c r="Q9" i="254"/>
  <c r="R12" i="254"/>
  <c r="U12" i="254"/>
  <c r="R11" i="254" s="1"/>
  <c r="Q13" i="254"/>
  <c r="R13" i="254" s="1"/>
  <c r="Q14" i="254"/>
  <c r="R14" i="254" s="1"/>
  <c r="AE18" i="254"/>
  <c r="AG18" i="254"/>
  <c r="AH18" i="254"/>
  <c r="AI18" i="254" s="1"/>
  <c r="AK18" i="254" s="1"/>
  <c r="AG19" i="254"/>
  <c r="AH19" i="254"/>
  <c r="AI19" i="254"/>
  <c r="AK19" i="254"/>
  <c r="G23" i="254"/>
  <c r="I23" i="254"/>
  <c r="K23" i="254"/>
  <c r="L23" i="254"/>
  <c r="M23" i="254"/>
  <c r="G25" i="254"/>
  <c r="K25" i="254"/>
  <c r="L25" i="254"/>
  <c r="M25" i="254"/>
  <c r="C27" i="254"/>
  <c r="K28" i="254"/>
  <c r="L28" i="254"/>
  <c r="M28" i="254"/>
  <c r="W30" i="254"/>
  <c r="Q10" i="254" s="1"/>
  <c r="X30" i="254"/>
  <c r="W31" i="254"/>
  <c r="X31" i="254"/>
  <c r="W32" i="254"/>
  <c r="X32" i="254"/>
  <c r="W33" i="254"/>
  <c r="X33" i="254"/>
  <c r="W34" i="254"/>
  <c r="X34" i="254"/>
  <c r="B42" i="254"/>
  <c r="C42" i="254"/>
  <c r="K42" i="254" s="1"/>
  <c r="K43" i="254" s="1"/>
  <c r="K44" i="254" s="1"/>
  <c r="K45" i="254" s="1"/>
  <c r="K46" i="254" s="1"/>
  <c r="K47" i="254" s="1"/>
  <c r="K48" i="254" s="1"/>
  <c r="K49" i="254" s="1"/>
  <c r="K50" i="254" s="1"/>
  <c r="K51" i="254" s="1"/>
  <c r="K52" i="254" s="1"/>
  <c r="K53" i="254" s="1"/>
  <c r="K54" i="254" s="1"/>
  <c r="K55" i="254" s="1"/>
  <c r="K56" i="254" s="1"/>
  <c r="K57" i="254" s="1"/>
  <c r="D42" i="254"/>
  <c r="L42" i="254" s="1"/>
  <c r="L43" i="254" s="1"/>
  <c r="L44" i="254" s="1"/>
  <c r="L45" i="254" s="1"/>
  <c r="L46" i="254" s="1"/>
  <c r="L47" i="254" s="1"/>
  <c r="L48" i="254" s="1"/>
  <c r="L49" i="254" s="1"/>
  <c r="L50" i="254" s="1"/>
  <c r="L51" i="254" s="1"/>
  <c r="L52" i="254" s="1"/>
  <c r="L53" i="254" s="1"/>
  <c r="L54" i="254" s="1"/>
  <c r="L55" i="254" s="1"/>
  <c r="L56" i="254" s="1"/>
  <c r="L57" i="254" s="1"/>
  <c r="E42" i="254"/>
  <c r="E43" i="254" s="1"/>
  <c r="E44" i="254" s="1"/>
  <c r="E45" i="254" s="1"/>
  <c r="E46" i="254" s="1"/>
  <c r="E47" i="254" s="1"/>
  <c r="E48" i="254" s="1"/>
  <c r="E49" i="254" s="1"/>
  <c r="E50" i="254" s="1"/>
  <c r="E51" i="254" s="1"/>
  <c r="E52" i="254" s="1"/>
  <c r="E53" i="254" s="1"/>
  <c r="E54" i="254" s="1"/>
  <c r="E55" i="254" s="1"/>
  <c r="E56" i="254" s="1"/>
  <c r="E57" i="254" s="1"/>
  <c r="H42" i="254"/>
  <c r="H43" i="254" s="1"/>
  <c r="H44" i="254" s="1"/>
  <c r="H45" i="254" s="1"/>
  <c r="H46" i="254" s="1"/>
  <c r="H47" i="254" s="1"/>
  <c r="H48" i="254" s="1"/>
  <c r="H49" i="254" s="1"/>
  <c r="H50" i="254" s="1"/>
  <c r="H51" i="254" s="1"/>
  <c r="H52" i="254" s="1"/>
  <c r="H53" i="254" s="1"/>
  <c r="H54" i="254" s="1"/>
  <c r="H55" i="254" s="1"/>
  <c r="H56" i="254" s="1"/>
  <c r="H57" i="254" s="1"/>
  <c r="M42" i="254"/>
  <c r="N42" i="254"/>
  <c r="N43" i="254" s="1"/>
  <c r="N44" i="254" s="1"/>
  <c r="N45" i="254" s="1"/>
  <c r="N46" i="254" s="1"/>
  <c r="N47" i="254" s="1"/>
  <c r="N48" i="254" s="1"/>
  <c r="N49" i="254" s="1"/>
  <c r="N50" i="254" s="1"/>
  <c r="N51" i="254" s="1"/>
  <c r="N52" i="254" s="1"/>
  <c r="N53" i="254" s="1"/>
  <c r="N54" i="254" s="1"/>
  <c r="N55" i="254" s="1"/>
  <c r="N56" i="254" s="1"/>
  <c r="N57" i="254" s="1"/>
  <c r="R42" i="254"/>
  <c r="R43" i="254" s="1"/>
  <c r="R44" i="254" s="1"/>
  <c r="R45" i="254" s="1"/>
  <c r="R46" i="254" s="1"/>
  <c r="R47" i="254" s="1"/>
  <c r="R48" i="254" s="1"/>
  <c r="R49" i="254" s="1"/>
  <c r="R50" i="254" s="1"/>
  <c r="R51" i="254" s="1"/>
  <c r="R52" i="254" s="1"/>
  <c r="R53" i="254" s="1"/>
  <c r="R54" i="254" s="1"/>
  <c r="R55" i="254" s="1"/>
  <c r="R56" i="254" s="1"/>
  <c r="R57" i="254" s="1"/>
  <c r="T42" i="254"/>
  <c r="T43" i="254" s="1"/>
  <c r="T44" i="254" s="1"/>
  <c r="T45" i="254" s="1"/>
  <c r="T46" i="254" s="1"/>
  <c r="T47" i="254" s="1"/>
  <c r="T48" i="254" s="1"/>
  <c r="T49" i="254" s="1"/>
  <c r="T50" i="254" s="1"/>
  <c r="T51" i="254" s="1"/>
  <c r="T52" i="254" s="1"/>
  <c r="T53" i="254" s="1"/>
  <c r="T54" i="254" s="1"/>
  <c r="T55" i="254" s="1"/>
  <c r="T56" i="254" s="1"/>
  <c r="T57" i="254" s="1"/>
  <c r="V42" i="254"/>
  <c r="V43" i="254" s="1"/>
  <c r="V44" i="254" s="1"/>
  <c r="V45" i="254" s="1"/>
  <c r="V46" i="254" s="1"/>
  <c r="V47" i="254" s="1"/>
  <c r="V48" i="254" s="1"/>
  <c r="V49" i="254" s="1"/>
  <c r="V50" i="254" s="1"/>
  <c r="V51" i="254" s="1"/>
  <c r="V52" i="254" s="1"/>
  <c r="V53" i="254" s="1"/>
  <c r="V54" i="254" s="1"/>
  <c r="V55" i="254" s="1"/>
  <c r="V56" i="254" s="1"/>
  <c r="V57" i="254" s="1"/>
  <c r="W42" i="254"/>
  <c r="W43" i="254" s="1"/>
  <c r="W44" i="254" s="1"/>
  <c r="W45" i="254" s="1"/>
  <c r="W46" i="254" s="1"/>
  <c r="W47" i="254" s="1"/>
  <c r="W48" i="254" s="1"/>
  <c r="W49" i="254" s="1"/>
  <c r="W50" i="254" s="1"/>
  <c r="W51" i="254" s="1"/>
  <c r="W52" i="254" s="1"/>
  <c r="W53" i="254" s="1"/>
  <c r="W54" i="254" s="1"/>
  <c r="W55" i="254" s="1"/>
  <c r="W56" i="254" s="1"/>
  <c r="W57" i="254" s="1"/>
  <c r="Y42" i="254"/>
  <c r="Y43" i="254" s="1"/>
  <c r="Y44" i="254" s="1"/>
  <c r="Y45" i="254" s="1"/>
  <c r="Y46" i="254" s="1"/>
  <c r="Y47" i="254" s="1"/>
  <c r="Y48" i="254" s="1"/>
  <c r="Y49" i="254" s="1"/>
  <c r="Y50" i="254" s="1"/>
  <c r="Y51" i="254" s="1"/>
  <c r="Y52" i="254" s="1"/>
  <c r="Y53" i="254" s="1"/>
  <c r="Y54" i="254" s="1"/>
  <c r="Y55" i="254" s="1"/>
  <c r="Y56" i="254" s="1"/>
  <c r="Y57" i="254" s="1"/>
  <c r="B43" i="254"/>
  <c r="B44" i="254" s="1"/>
  <c r="B45" i="254" s="1"/>
  <c r="B46" i="254" s="1"/>
  <c r="B47" i="254" s="1"/>
  <c r="B48" i="254" s="1"/>
  <c r="B49" i="254" s="1"/>
  <c r="B50" i="254" s="1"/>
  <c r="B51" i="254" s="1"/>
  <c r="B52" i="254" s="1"/>
  <c r="B53" i="254" s="1"/>
  <c r="B54" i="254" s="1"/>
  <c r="B55" i="254" s="1"/>
  <c r="B56" i="254" s="1"/>
  <c r="B57" i="254" s="1"/>
  <c r="C43" i="254"/>
  <c r="C44" i="254" s="1"/>
  <c r="C45" i="254" s="1"/>
  <c r="C46" i="254" s="1"/>
  <c r="C47" i="254" s="1"/>
  <c r="C48" i="254" s="1"/>
  <c r="C49" i="254" s="1"/>
  <c r="C50" i="254" s="1"/>
  <c r="C51" i="254" s="1"/>
  <c r="C52" i="254" s="1"/>
  <c r="C53" i="254" s="1"/>
  <c r="C54" i="254" s="1"/>
  <c r="C55" i="254" s="1"/>
  <c r="C56" i="254" s="1"/>
  <c r="C57" i="254" s="1"/>
  <c r="F43" i="254"/>
  <c r="G43" i="254"/>
  <c r="J43" i="254"/>
  <c r="O43" i="254"/>
  <c r="O44" i="254" s="1"/>
  <c r="O45" i="254" s="1"/>
  <c r="O46" i="254" s="1"/>
  <c r="O47" i="254" s="1"/>
  <c r="O48" i="254" s="1"/>
  <c r="O49" i="254" s="1"/>
  <c r="O50" i="254" s="1"/>
  <c r="O51" i="254" s="1"/>
  <c r="O52" i="254" s="1"/>
  <c r="O53" i="254" s="1"/>
  <c r="O54" i="254" s="1"/>
  <c r="O55" i="254" s="1"/>
  <c r="O56" i="254" s="1"/>
  <c r="O57" i="254" s="1"/>
  <c r="S43" i="254"/>
  <c r="U43" i="254"/>
  <c r="U44" i="254" s="1"/>
  <c r="U45" i="254" s="1"/>
  <c r="U46" i="254" s="1"/>
  <c r="U47" i="254" s="1"/>
  <c r="U48" i="254" s="1"/>
  <c r="U49" i="254" s="1"/>
  <c r="U50" i="254" s="1"/>
  <c r="U51" i="254" s="1"/>
  <c r="U52" i="254" s="1"/>
  <c r="U53" i="254" s="1"/>
  <c r="U54" i="254" s="1"/>
  <c r="U55" i="254" s="1"/>
  <c r="U56" i="254" s="1"/>
  <c r="U57" i="254" s="1"/>
  <c r="F44" i="254"/>
  <c r="F45" i="254" s="1"/>
  <c r="F46" i="254" s="1"/>
  <c r="F47" i="254" s="1"/>
  <c r="F48" i="254" s="1"/>
  <c r="F49" i="254" s="1"/>
  <c r="F50" i="254" s="1"/>
  <c r="F51" i="254" s="1"/>
  <c r="F52" i="254" s="1"/>
  <c r="F53" i="254" s="1"/>
  <c r="F54" i="254" s="1"/>
  <c r="F55" i="254" s="1"/>
  <c r="F56" i="254" s="1"/>
  <c r="F57" i="254" s="1"/>
  <c r="G44" i="254"/>
  <c r="G45" i="254" s="1"/>
  <c r="G46" i="254" s="1"/>
  <c r="G47" i="254" s="1"/>
  <c r="G48" i="254" s="1"/>
  <c r="G49" i="254" s="1"/>
  <c r="G50" i="254" s="1"/>
  <c r="G51" i="254" s="1"/>
  <c r="G52" i="254" s="1"/>
  <c r="G53" i="254" s="1"/>
  <c r="G54" i="254" s="1"/>
  <c r="G55" i="254" s="1"/>
  <c r="G56" i="254" s="1"/>
  <c r="G57" i="254" s="1"/>
  <c r="J44" i="254"/>
  <c r="S44" i="254"/>
  <c r="S45" i="254" s="1"/>
  <c r="S46" i="254" s="1"/>
  <c r="S47" i="254" s="1"/>
  <c r="S48" i="254" s="1"/>
  <c r="S49" i="254" s="1"/>
  <c r="S50" i="254" s="1"/>
  <c r="S51" i="254" s="1"/>
  <c r="S52" i="254" s="1"/>
  <c r="S53" i="254" s="1"/>
  <c r="S54" i="254" s="1"/>
  <c r="S55" i="254" s="1"/>
  <c r="S56" i="254" s="1"/>
  <c r="S57" i="254" s="1"/>
  <c r="J45" i="254"/>
  <c r="J46" i="254" s="1"/>
  <c r="J47" i="254" s="1"/>
  <c r="J48" i="254" s="1"/>
  <c r="J49" i="254" s="1"/>
  <c r="J50" i="254" s="1"/>
  <c r="J51" i="254" s="1"/>
  <c r="J52" i="254" s="1"/>
  <c r="J53" i="254" s="1"/>
  <c r="J54" i="254" s="1"/>
  <c r="J55" i="254" s="1"/>
  <c r="J56" i="254" s="1"/>
  <c r="J57" i="254" s="1"/>
  <c r="D91" i="254"/>
  <c r="AB136" i="254"/>
  <c r="AC136" i="254"/>
  <c r="AD136" i="254"/>
  <c r="AB137" i="254"/>
  <c r="AC137" i="254"/>
  <c r="AD137" i="254"/>
  <c r="AB138" i="254"/>
  <c r="AC138" i="254"/>
  <c r="AD138" i="254"/>
  <c r="AB139" i="254"/>
  <c r="AC139" i="254"/>
  <c r="AD139" i="254"/>
  <c r="F140" i="254"/>
  <c r="AB140" i="254"/>
  <c r="AC140" i="254"/>
  <c r="AD140" i="254"/>
  <c r="D141" i="254"/>
  <c r="D142" i="254" s="1"/>
  <c r="D143" i="254" s="1"/>
  <c r="D144" i="254" s="1"/>
  <c r="E141" i="254"/>
  <c r="AB141" i="254"/>
  <c r="AC141" i="254"/>
  <c r="AD141" i="254"/>
  <c r="E142" i="254"/>
  <c r="E143" i="254" s="1"/>
  <c r="E144" i="254" s="1"/>
  <c r="F142" i="254"/>
  <c r="F143" i="254" s="1"/>
  <c r="F144" i="254" s="1"/>
  <c r="G142" i="254"/>
  <c r="G143" i="254" s="1"/>
  <c r="G144" i="254" s="1"/>
  <c r="AB142" i="254"/>
  <c r="AC142" i="254"/>
  <c r="AD142" i="254"/>
  <c r="AB143" i="254"/>
  <c r="AC143" i="254"/>
  <c r="AD143" i="254"/>
  <c r="AB144" i="254"/>
  <c r="AC144" i="254"/>
  <c r="AD144" i="254"/>
  <c r="AB145" i="254"/>
  <c r="AC145" i="254"/>
  <c r="AD145" i="254"/>
  <c r="AB146" i="254"/>
  <c r="AC146" i="254"/>
  <c r="AD146" i="254"/>
  <c r="AB147" i="254"/>
  <c r="AC147" i="254"/>
  <c r="AD147" i="254"/>
  <c r="AB148" i="254"/>
  <c r="AC148" i="254"/>
  <c r="AD148" i="254"/>
  <c r="AB149" i="254"/>
  <c r="AC149" i="254"/>
  <c r="AD149" i="254"/>
  <c r="AB150" i="254"/>
  <c r="AC150" i="254"/>
  <c r="AD150" i="254"/>
  <c r="AB151" i="254"/>
  <c r="AC151" i="254"/>
  <c r="AD151" i="254"/>
  <c r="AB152" i="254"/>
  <c r="AC152" i="254"/>
  <c r="AD152" i="254"/>
  <c r="AB153" i="254"/>
  <c r="AC153" i="254"/>
  <c r="AD153" i="254"/>
  <c r="AB154" i="254"/>
  <c r="AC154" i="254"/>
  <c r="AD154" i="254"/>
  <c r="AB155" i="254"/>
  <c r="AC155" i="254"/>
  <c r="AD155" i="254"/>
  <c r="I14" i="253"/>
  <c r="J14" i="253"/>
  <c r="K14" i="253"/>
  <c r="L14" i="253"/>
  <c r="M14" i="253"/>
  <c r="I15" i="253"/>
  <c r="J15" i="253"/>
  <c r="K15" i="253"/>
  <c r="L15" i="253"/>
  <c r="M15" i="253"/>
  <c r="I16" i="253"/>
  <c r="J16" i="253"/>
  <c r="K16" i="253"/>
  <c r="L16" i="253"/>
  <c r="M16" i="253"/>
  <c r="I17" i="253"/>
  <c r="J17" i="253"/>
  <c r="K17" i="253"/>
  <c r="L17" i="253"/>
  <c r="M17" i="253"/>
  <c r="I18" i="253"/>
  <c r="J18" i="253"/>
  <c r="K18" i="253"/>
  <c r="L18" i="253"/>
  <c r="M18" i="253"/>
  <c r="I19" i="253"/>
  <c r="J19" i="253"/>
  <c r="K19" i="253"/>
  <c r="L19" i="253"/>
  <c r="M19" i="253"/>
  <c r="I20" i="253"/>
  <c r="J20" i="253"/>
  <c r="K20" i="253"/>
  <c r="L20" i="253"/>
  <c r="M20" i="253"/>
  <c r="I21" i="253"/>
  <c r="J21" i="253"/>
  <c r="K21" i="253"/>
  <c r="L21" i="253"/>
  <c r="M21" i="253"/>
  <c r="I22" i="253"/>
  <c r="J22" i="253"/>
  <c r="K22" i="253"/>
  <c r="L22" i="253"/>
  <c r="M22" i="253"/>
  <c r="I23" i="253"/>
  <c r="J23" i="253"/>
  <c r="K23" i="253"/>
  <c r="L23" i="253"/>
  <c r="M23" i="253"/>
  <c r="I24" i="253"/>
  <c r="J24" i="253"/>
  <c r="K24" i="253"/>
  <c r="L24" i="253"/>
  <c r="M24" i="253"/>
  <c r="I25" i="253"/>
  <c r="J25" i="253"/>
  <c r="K25" i="253"/>
  <c r="L25" i="253"/>
  <c r="M25" i="253"/>
  <c r="I26" i="253"/>
  <c r="J26" i="253"/>
  <c r="K26" i="253"/>
  <c r="L26" i="253"/>
  <c r="M26" i="253"/>
  <c r="I27" i="253"/>
  <c r="J27" i="253"/>
  <c r="K27" i="253"/>
  <c r="L27" i="253"/>
  <c r="M27" i="253"/>
  <c r="I28" i="253"/>
  <c r="J28" i="253"/>
  <c r="K28" i="253"/>
  <c r="L28" i="253"/>
  <c r="M28" i="253"/>
  <c r="I29" i="253"/>
  <c r="J29" i="253"/>
  <c r="K29" i="253"/>
  <c r="L29" i="253"/>
  <c r="M29" i="253"/>
  <c r="I30" i="253"/>
  <c r="J30" i="253"/>
  <c r="K30" i="253"/>
  <c r="L30" i="253"/>
  <c r="M30" i="253"/>
  <c r="I31" i="253"/>
  <c r="J31" i="253"/>
  <c r="K31" i="253"/>
  <c r="L31" i="253"/>
  <c r="M31" i="253"/>
  <c r="I32" i="253"/>
  <c r="J32" i="253"/>
  <c r="K32" i="253"/>
  <c r="L32" i="253"/>
  <c r="M32" i="253"/>
  <c r="I33" i="253"/>
  <c r="J33" i="253"/>
  <c r="K33" i="253"/>
  <c r="L33" i="253"/>
  <c r="M33" i="253"/>
  <c r="I34" i="253"/>
  <c r="J34" i="253"/>
  <c r="K34" i="253"/>
  <c r="L34" i="253"/>
  <c r="M34" i="253"/>
  <c r="I35" i="253"/>
  <c r="J35" i="253"/>
  <c r="K35" i="253"/>
  <c r="L35" i="253"/>
  <c r="M35" i="253"/>
  <c r="I36" i="253"/>
  <c r="J36" i="253"/>
  <c r="K36" i="253"/>
  <c r="L36" i="253"/>
  <c r="M36" i="253"/>
  <c r="I37" i="253"/>
  <c r="J37" i="253"/>
  <c r="K37" i="253"/>
  <c r="L37" i="253"/>
  <c r="M37" i="253"/>
  <c r="I38" i="253"/>
  <c r="J38" i="253"/>
  <c r="K38" i="253"/>
  <c r="L38" i="253"/>
  <c r="M38" i="253"/>
  <c r="I39" i="253"/>
  <c r="J39" i="253"/>
  <c r="K39" i="253"/>
  <c r="L39" i="253"/>
  <c r="M39" i="253"/>
  <c r="I40" i="253"/>
  <c r="J40" i="253"/>
  <c r="K40" i="253"/>
  <c r="L40" i="253"/>
  <c r="M40" i="253"/>
  <c r="I41" i="253"/>
  <c r="J41" i="253"/>
  <c r="K41" i="253"/>
  <c r="L41" i="253"/>
  <c r="M41" i="253"/>
  <c r="I52" i="253"/>
  <c r="J52" i="253"/>
  <c r="K52" i="253"/>
  <c r="L52" i="253"/>
  <c r="M52" i="253"/>
  <c r="I53" i="253"/>
  <c r="J53" i="253"/>
  <c r="K53" i="253"/>
  <c r="L53" i="253"/>
  <c r="M53" i="253"/>
  <c r="I54" i="253"/>
  <c r="J54" i="253"/>
  <c r="K54" i="253"/>
  <c r="L54" i="253"/>
  <c r="M54" i="253"/>
  <c r="I55" i="253"/>
  <c r="J55" i="253"/>
  <c r="K55" i="253"/>
  <c r="L55" i="253"/>
  <c r="M55" i="253"/>
  <c r="I56" i="253"/>
  <c r="J56" i="253"/>
  <c r="K56" i="253"/>
  <c r="L56" i="253"/>
  <c r="M56" i="253"/>
  <c r="I57" i="253"/>
  <c r="J57" i="253"/>
  <c r="K57" i="253"/>
  <c r="L57" i="253"/>
  <c r="M57" i="253"/>
  <c r="I58" i="253"/>
  <c r="J58" i="253"/>
  <c r="K58" i="253"/>
  <c r="L58" i="253"/>
  <c r="M58" i="253"/>
  <c r="I59" i="253"/>
  <c r="J59" i="253"/>
  <c r="K59" i="253"/>
  <c r="L59" i="253"/>
  <c r="M59" i="253"/>
  <c r="I60" i="253"/>
  <c r="J60" i="253"/>
  <c r="K60" i="253"/>
  <c r="L60" i="253"/>
  <c r="M60" i="253"/>
  <c r="I61" i="253"/>
  <c r="J61" i="253"/>
  <c r="K61" i="253"/>
  <c r="L61" i="253"/>
  <c r="M61" i="253"/>
  <c r="I62" i="253"/>
  <c r="J62" i="253"/>
  <c r="K62" i="253"/>
  <c r="L62" i="253"/>
  <c r="M62" i="253"/>
  <c r="I63" i="253"/>
  <c r="J63" i="253"/>
  <c r="K63" i="253"/>
  <c r="L63" i="253"/>
  <c r="M63" i="253"/>
  <c r="I64" i="253"/>
  <c r="J64" i="253"/>
  <c r="K64" i="253"/>
  <c r="L64" i="253"/>
  <c r="M64" i="253"/>
  <c r="I65" i="253"/>
  <c r="J65" i="253"/>
  <c r="K65" i="253"/>
  <c r="L65" i="253"/>
  <c r="M65" i="253"/>
  <c r="I66" i="253"/>
  <c r="J66" i="253"/>
  <c r="K66" i="253"/>
  <c r="L66" i="253"/>
  <c r="M66" i="253"/>
  <c r="I67" i="253"/>
  <c r="J67" i="253"/>
  <c r="K67" i="253"/>
  <c r="L67" i="253"/>
  <c r="M67" i="253"/>
  <c r="I68" i="253"/>
  <c r="J68" i="253"/>
  <c r="K68" i="253"/>
  <c r="L68" i="253"/>
  <c r="M68" i="253"/>
  <c r="I69" i="253"/>
  <c r="J69" i="253"/>
  <c r="K69" i="253"/>
  <c r="L69" i="253"/>
  <c r="M69" i="253"/>
  <c r="I70" i="253"/>
  <c r="J70" i="253"/>
  <c r="K70" i="253"/>
  <c r="L70" i="253"/>
  <c r="M70" i="253"/>
  <c r="I71" i="253"/>
  <c r="J71" i="253"/>
  <c r="K71" i="253"/>
  <c r="L71" i="253"/>
  <c r="M71" i="253"/>
  <c r="I72" i="253"/>
  <c r="J72" i="253"/>
  <c r="K72" i="253"/>
  <c r="L72" i="253"/>
  <c r="M72" i="253"/>
  <c r="I73" i="253"/>
  <c r="J73" i="253"/>
  <c r="K73" i="253"/>
  <c r="L73" i="253"/>
  <c r="M73" i="253"/>
  <c r="I74" i="253"/>
  <c r="J74" i="253"/>
  <c r="K74" i="253"/>
  <c r="L74" i="253"/>
  <c r="M74" i="253"/>
  <c r="I75" i="253"/>
  <c r="J75" i="253"/>
  <c r="K75" i="253"/>
  <c r="L75" i="253"/>
  <c r="M75" i="253"/>
  <c r="I76" i="253"/>
  <c r="J76" i="253"/>
  <c r="K76" i="253"/>
  <c r="L76" i="253"/>
  <c r="M76" i="253"/>
  <c r="I77" i="253"/>
  <c r="J77" i="253"/>
  <c r="K77" i="253"/>
  <c r="L77" i="253"/>
  <c r="M77" i="253"/>
  <c r="I78" i="253"/>
  <c r="J78" i="253"/>
  <c r="K78" i="253"/>
  <c r="L78" i="253"/>
  <c r="M78" i="253"/>
  <c r="I79" i="253"/>
  <c r="J79" i="253"/>
  <c r="K79" i="253"/>
  <c r="L79" i="253"/>
  <c r="M79" i="253"/>
  <c r="D23" i="247"/>
  <c r="D24" i="247"/>
  <c r="D28" i="247"/>
  <c r="D29" i="247"/>
  <c r="D30" i="247"/>
  <c r="D36" i="247"/>
  <c r="E36" i="247"/>
  <c r="F36" i="247"/>
  <c r="F37" i="247"/>
  <c r="D38" i="247"/>
  <c r="E38" i="247"/>
  <c r="F38" i="247"/>
  <c r="G60" i="246"/>
  <c r="AH37" i="246" s="1"/>
  <c r="G59" i="246"/>
  <c r="G58" i="246"/>
  <c r="AH35" i="246" s="1"/>
  <c r="G57" i="246"/>
  <c r="AH34" i="246" s="1"/>
  <c r="G56" i="246"/>
  <c r="AH33" i="246" s="1"/>
  <c r="G55" i="246"/>
  <c r="D40" i="246"/>
  <c r="D39" i="246"/>
  <c r="L37" i="246"/>
  <c r="K37" i="246"/>
  <c r="J37" i="246"/>
  <c r="I37" i="246"/>
  <c r="H37" i="246"/>
  <c r="F37" i="246"/>
  <c r="AH36" i="246"/>
  <c r="L36" i="246"/>
  <c r="K36" i="246"/>
  <c r="J36" i="246"/>
  <c r="I36" i="246"/>
  <c r="H36" i="246"/>
  <c r="F36" i="246"/>
  <c r="L35" i="246"/>
  <c r="K35" i="246"/>
  <c r="J35" i="246"/>
  <c r="I35" i="246"/>
  <c r="H35" i="246"/>
  <c r="F35" i="246"/>
  <c r="L34" i="246"/>
  <c r="K34" i="246"/>
  <c r="J34" i="246"/>
  <c r="I34" i="246"/>
  <c r="H34" i="246"/>
  <c r="F34" i="246"/>
  <c r="L33" i="246"/>
  <c r="K33" i="246"/>
  <c r="J33" i="246"/>
  <c r="I33" i="246"/>
  <c r="H33" i="246"/>
  <c r="F33" i="246"/>
  <c r="AH32" i="246"/>
  <c r="L32" i="246"/>
  <c r="K32" i="246"/>
  <c r="J32" i="246"/>
  <c r="I32" i="246"/>
  <c r="H32" i="246"/>
  <c r="F32" i="246"/>
  <c r="AW31" i="246"/>
  <c r="AD31" i="246" s="1"/>
  <c r="AV31" i="246"/>
  <c r="AA31" i="246" s="1"/>
  <c r="AF31" i="246"/>
  <c r="E31" i="246"/>
  <c r="AE31" i="246" l="1"/>
  <c r="AL34" i="246"/>
  <c r="W31" i="246"/>
  <c r="Z31" i="246"/>
  <c r="X31" i="246"/>
  <c r="Y31" i="246"/>
  <c r="AO31" i="246" s="1"/>
  <c r="AC31" i="246"/>
  <c r="AB31" i="246"/>
  <c r="AP31" i="246" s="1"/>
  <c r="AL37" i="246"/>
  <c r="Q42" i="254"/>
  <c r="Q43" i="254" s="1"/>
  <c r="Q44" i="254" s="1"/>
  <c r="Q45" i="254" s="1"/>
  <c r="Q46" i="254" s="1"/>
  <c r="Q47" i="254" s="1"/>
  <c r="Q48" i="254" s="1"/>
  <c r="Q49" i="254" s="1"/>
  <c r="Q50" i="254" s="1"/>
  <c r="Q51" i="254" s="1"/>
  <c r="Q52" i="254" s="1"/>
  <c r="Q53" i="254" s="1"/>
  <c r="Q54" i="254" s="1"/>
  <c r="Q55" i="254" s="1"/>
  <c r="Q56" i="254" s="1"/>
  <c r="Q57" i="254" s="1"/>
  <c r="I42" i="254"/>
  <c r="G22" i="247"/>
  <c r="R9" i="254"/>
  <c r="R10" i="254"/>
  <c r="R7" i="254"/>
  <c r="R5" i="254"/>
  <c r="E24" i="247"/>
  <c r="E23" i="247"/>
  <c r="D32" i="247" s="1"/>
  <c r="X42" i="254"/>
  <c r="X43" i="254" s="1"/>
  <c r="X44" i="254" s="1"/>
  <c r="X45" i="254" s="1"/>
  <c r="X46" i="254" s="1"/>
  <c r="X47" i="254" s="1"/>
  <c r="X48" i="254" s="1"/>
  <c r="X49" i="254" s="1"/>
  <c r="X50" i="254" s="1"/>
  <c r="X51" i="254" s="1"/>
  <c r="X52" i="254" s="1"/>
  <c r="X53" i="254" s="1"/>
  <c r="X54" i="254" s="1"/>
  <c r="X55" i="254" s="1"/>
  <c r="X56" i="254" s="1"/>
  <c r="X57" i="254" s="1"/>
  <c r="I43" i="254"/>
  <c r="I44" i="254" s="1"/>
  <c r="I45" i="254" s="1"/>
  <c r="I46" i="254" s="1"/>
  <c r="I47" i="254" s="1"/>
  <c r="I48" i="254" s="1"/>
  <c r="I49" i="254" s="1"/>
  <c r="I50" i="254" s="1"/>
  <c r="I51" i="254" s="1"/>
  <c r="I52" i="254" s="1"/>
  <c r="I53" i="254" s="1"/>
  <c r="I54" i="254" s="1"/>
  <c r="I55" i="254" s="1"/>
  <c r="I56" i="254" s="1"/>
  <c r="I57" i="254" s="1"/>
  <c r="G152" i="254"/>
  <c r="G173" i="254" s="1"/>
  <c r="G153" i="254"/>
  <c r="G150" i="254"/>
  <c r="G156" i="254" s="1"/>
  <c r="G151" i="254"/>
  <c r="G163" i="254" s="1"/>
  <c r="F153" i="254"/>
  <c r="F150" i="254"/>
  <c r="F156" i="254" s="1"/>
  <c r="F157" i="254" s="1"/>
  <c r="F151" i="254"/>
  <c r="F163" i="254" s="1"/>
  <c r="F152" i="254"/>
  <c r="F173" i="254" s="1"/>
  <c r="E150" i="254"/>
  <c r="E156" i="254" s="1"/>
  <c r="E151" i="254"/>
  <c r="E163" i="254" s="1"/>
  <c r="E153" i="254"/>
  <c r="E152" i="254"/>
  <c r="E173" i="254" s="1"/>
  <c r="D150" i="254"/>
  <c r="D156" i="254" s="1"/>
  <c r="D151" i="254"/>
  <c r="D163" i="254" s="1"/>
  <c r="D153" i="254"/>
  <c r="D152" i="254"/>
  <c r="D173" i="254" s="1"/>
  <c r="AL35" i="246"/>
  <c r="M43" i="254"/>
  <c r="M44" i="254" s="1"/>
  <c r="M45" i="254" s="1"/>
  <c r="M46" i="254" s="1"/>
  <c r="M47" i="254" s="1"/>
  <c r="M48" i="254" s="1"/>
  <c r="M49" i="254" s="1"/>
  <c r="M50" i="254" s="1"/>
  <c r="M51" i="254" s="1"/>
  <c r="M52" i="254" s="1"/>
  <c r="M53" i="254" s="1"/>
  <c r="M54" i="254" s="1"/>
  <c r="M55" i="254" s="1"/>
  <c r="M56" i="254" s="1"/>
  <c r="M57" i="254" s="1"/>
  <c r="I43" i="246"/>
  <c r="J43" i="246"/>
  <c r="AK36" i="246"/>
  <c r="D43" i="254"/>
  <c r="D44" i="254" s="1"/>
  <c r="D45" i="254" s="1"/>
  <c r="D46" i="254" s="1"/>
  <c r="D47" i="254" s="1"/>
  <c r="D48" i="254" s="1"/>
  <c r="D49" i="254" s="1"/>
  <c r="D50" i="254" s="1"/>
  <c r="D51" i="254" s="1"/>
  <c r="D52" i="254" s="1"/>
  <c r="D53" i="254" s="1"/>
  <c r="D54" i="254" s="1"/>
  <c r="D55" i="254" s="1"/>
  <c r="D56" i="254" s="1"/>
  <c r="D57" i="254" s="1"/>
  <c r="AL32" i="246"/>
  <c r="K43" i="246"/>
  <c r="L43" i="246"/>
  <c r="AK37" i="246"/>
  <c r="AL33" i="246"/>
  <c r="P42" i="254"/>
  <c r="P43" i="254" s="1"/>
  <c r="P44" i="254" s="1"/>
  <c r="P45" i="254" s="1"/>
  <c r="P46" i="254" s="1"/>
  <c r="P47" i="254" s="1"/>
  <c r="P48" i="254" s="1"/>
  <c r="P49" i="254" s="1"/>
  <c r="P50" i="254" s="1"/>
  <c r="P51" i="254" s="1"/>
  <c r="P52" i="254" s="1"/>
  <c r="P53" i="254" s="1"/>
  <c r="P54" i="254" s="1"/>
  <c r="P55" i="254" s="1"/>
  <c r="P56" i="254" s="1"/>
  <c r="P57" i="254" s="1"/>
  <c r="AL36" i="246"/>
  <c r="H43" i="246"/>
  <c r="AK34" i="246"/>
  <c r="AK35" i="246"/>
  <c r="AK32" i="246"/>
  <c r="AK33" i="246"/>
  <c r="E157" i="254" l="1"/>
  <c r="E158" i="254" s="1"/>
  <c r="E159" i="254" s="1"/>
  <c r="F159" i="254"/>
  <c r="F164" i="254"/>
  <c r="D157" i="254"/>
  <c r="D158" i="254" s="1"/>
  <c r="D159" i="254" s="1"/>
  <c r="E164" i="254"/>
  <c r="G159" i="254"/>
  <c r="G164" i="254"/>
  <c r="D164" i="254"/>
  <c r="J159" i="254"/>
  <c r="E160" i="254"/>
  <c r="I164" i="254" l="1"/>
  <c r="D165" i="254"/>
  <c r="D160" i="254"/>
  <c r="I159" i="254"/>
  <c r="J164" i="254"/>
  <c r="E165" i="254"/>
  <c r="J160" i="254"/>
  <c r="E161" i="254"/>
  <c r="K164" i="254"/>
  <c r="F165" i="254"/>
  <c r="L159" i="254"/>
  <c r="G160" i="254"/>
  <c r="L164" i="254"/>
  <c r="G165" i="254"/>
  <c r="F160" i="254"/>
  <c r="K159" i="254"/>
  <c r="F166" i="254" l="1"/>
  <c r="K165" i="254"/>
  <c r="G166" i="254"/>
  <c r="L165" i="254"/>
  <c r="E166" i="254"/>
  <c r="J165" i="254"/>
  <c r="L160" i="254"/>
  <c r="G161" i="254"/>
  <c r="I160" i="254"/>
  <c r="D161" i="254"/>
  <c r="K160" i="254"/>
  <c r="F161" i="254"/>
  <c r="I165" i="254"/>
  <c r="D166" i="254"/>
  <c r="J161" i="254"/>
  <c r="E162" i="254"/>
  <c r="J162" i="254" l="1"/>
  <c r="J163" i="254"/>
  <c r="I166" i="254"/>
  <c r="D167" i="254"/>
  <c r="L161" i="254"/>
  <c r="G162" i="254"/>
  <c r="K161" i="254"/>
  <c r="F162" i="254"/>
  <c r="I161" i="254"/>
  <c r="D162" i="254"/>
  <c r="J166" i="254"/>
  <c r="E167" i="254"/>
  <c r="L166" i="254"/>
  <c r="G167" i="254"/>
  <c r="F167" i="254"/>
  <c r="K166" i="254"/>
  <c r="K167" i="254" l="1"/>
  <c r="F168" i="254"/>
  <c r="L167" i="254"/>
  <c r="G168" i="254"/>
  <c r="K162" i="254"/>
  <c r="K163" i="254"/>
  <c r="I167" i="254"/>
  <c r="D168" i="254"/>
  <c r="J167" i="254"/>
  <c r="E168" i="254"/>
  <c r="I162" i="254"/>
  <c r="I163" i="254"/>
  <c r="L162" i="254"/>
  <c r="L163" i="254"/>
  <c r="I168" i="254" l="1"/>
  <c r="D169" i="254"/>
  <c r="L168" i="254"/>
  <c r="G169" i="254"/>
  <c r="K168" i="254"/>
  <c r="F169" i="254"/>
  <c r="J168" i="254"/>
  <c r="E169" i="254"/>
  <c r="E170" i="254" l="1"/>
  <c r="J169" i="254"/>
  <c r="D170" i="254"/>
  <c r="I169" i="254"/>
  <c r="K169" i="254"/>
  <c r="F170" i="254"/>
  <c r="L169" i="254"/>
  <c r="G170" i="254"/>
  <c r="L170" i="254" l="1"/>
  <c r="G171" i="254"/>
  <c r="I170" i="254"/>
  <c r="D171" i="254"/>
  <c r="K170" i="254"/>
  <c r="F171" i="254"/>
  <c r="J170" i="254"/>
  <c r="E171" i="254"/>
  <c r="K171" i="254" l="1"/>
  <c r="F172" i="254"/>
  <c r="L171" i="254"/>
  <c r="G172" i="254"/>
  <c r="J171" i="254"/>
  <c r="E172" i="254"/>
  <c r="I171" i="254"/>
  <c r="D172" i="254"/>
  <c r="J172" i="254" l="1"/>
  <c r="J173" i="254"/>
  <c r="I172" i="254"/>
  <c r="I173" i="254"/>
  <c r="K172" i="254"/>
  <c r="K173" i="254"/>
  <c r="L172" i="254"/>
  <c r="L173" i="254"/>
  <c r="B53" i="237" l="1"/>
  <c r="B57" i="237"/>
  <c r="E181" i="231"/>
  <c r="E185" i="231" s="1"/>
  <c r="E180" i="231"/>
  <c r="E184" i="231" s="1"/>
  <c r="F7" i="237"/>
  <c r="F8" i="237"/>
  <c r="F6" i="237"/>
  <c r="E145" i="231"/>
  <c r="B8" i="237"/>
  <c r="E144" i="231"/>
  <c r="B7" i="237"/>
  <c r="E143" i="231"/>
  <c r="B6" i="237"/>
  <c r="AJ11" i="242"/>
  <c r="AK11" i="242" s="1"/>
  <c r="AL11" i="242" s="1"/>
  <c r="AM11" i="242" s="1"/>
  <c r="AN11" i="242" s="1"/>
  <c r="AO11" i="242" s="1"/>
  <c r="AP11" i="242" s="1"/>
  <c r="AQ11" i="242" s="1"/>
  <c r="AR11" i="242" s="1"/>
  <c r="AS11" i="242" s="1"/>
  <c r="AK24" i="242"/>
  <c r="AL24" i="242" s="1"/>
  <c r="AM24" i="242" s="1"/>
  <c r="AN24" i="242" s="1"/>
  <c r="AO24" i="242" s="1"/>
  <c r="AP24" i="242" s="1"/>
  <c r="AQ24" i="242" s="1"/>
  <c r="AR24" i="242" s="1"/>
  <c r="AS24" i="242" s="1"/>
  <c r="AJ24" i="242"/>
  <c r="H27" i="245" l="1"/>
  <c r="I27" i="245"/>
  <c r="J27" i="245"/>
  <c r="K27" i="245"/>
  <c r="L27" i="245"/>
  <c r="M27" i="245"/>
  <c r="N27" i="245"/>
  <c r="O27" i="245"/>
  <c r="P27" i="245"/>
  <c r="Q27" i="245"/>
  <c r="R27" i="245"/>
  <c r="S27" i="245"/>
  <c r="T27" i="245"/>
  <c r="U27" i="245"/>
  <c r="V27" i="245"/>
  <c r="W27" i="245"/>
  <c r="X27" i="245"/>
  <c r="Y27" i="245"/>
  <c r="Z27" i="245"/>
  <c r="AA27" i="245"/>
  <c r="AB27" i="245"/>
  <c r="AC27" i="245"/>
  <c r="AD27" i="245"/>
  <c r="AE27" i="245"/>
  <c r="AF27" i="245"/>
  <c r="AG27" i="245"/>
  <c r="AH27" i="245"/>
  <c r="AI27" i="245"/>
  <c r="AJ27" i="245"/>
  <c r="AK27" i="245"/>
  <c r="AL27" i="245"/>
  <c r="AM27" i="245"/>
  <c r="AN27" i="245"/>
  <c r="AO27" i="245"/>
  <c r="AP27" i="245"/>
  <c r="AQ27" i="245"/>
  <c r="AR27" i="245"/>
  <c r="AS27" i="245"/>
  <c r="AT27" i="245"/>
  <c r="AU27" i="245"/>
  <c r="E72" i="231"/>
  <c r="C58" i="245" s="1"/>
  <c r="E73" i="231"/>
  <c r="C59" i="245" s="1"/>
  <c r="E74" i="231"/>
  <c r="C60" i="245" s="1"/>
  <c r="E75" i="231"/>
  <c r="C61" i="245" s="1"/>
  <c r="E76" i="231"/>
  <c r="C62" i="245" s="1"/>
  <c r="E77" i="231"/>
  <c r="C63" i="245" s="1"/>
  <c r="E78" i="231"/>
  <c r="C64" i="245" s="1"/>
  <c r="E79" i="231"/>
  <c r="C65" i="245" s="1"/>
  <c r="E80" i="231"/>
  <c r="C66" i="245" s="1"/>
  <c r="E81" i="231"/>
  <c r="C67" i="245" s="1"/>
  <c r="E82" i="231"/>
  <c r="C68" i="245" s="1"/>
  <c r="E83" i="231"/>
  <c r="C69" i="245" s="1"/>
  <c r="E84" i="231"/>
  <c r="C70" i="245" s="1"/>
  <c r="E85" i="231"/>
  <c r="C71" i="245" s="1"/>
  <c r="E86" i="231"/>
  <c r="C72" i="245" s="1"/>
  <c r="E87" i="231"/>
  <c r="C73" i="245" s="1"/>
  <c r="E88" i="231"/>
  <c r="C74" i="245" s="1"/>
  <c r="E89" i="231"/>
  <c r="C75" i="245" s="1"/>
  <c r="E71" i="231"/>
  <c r="C57" i="245" s="1"/>
  <c r="D71" i="231"/>
  <c r="B57" i="245" s="1"/>
  <c r="E57" i="245" s="1"/>
  <c r="D123" i="231"/>
  <c r="B109" i="245" s="1"/>
  <c r="D109" i="245" s="1"/>
  <c r="F109" i="245" s="1"/>
  <c r="E123" i="231"/>
  <c r="C109" i="245" s="1"/>
  <c r="D124" i="231"/>
  <c r="B110" i="245" s="1"/>
  <c r="D110" i="245" s="1"/>
  <c r="E124" i="231"/>
  <c r="C110" i="245" s="1"/>
  <c r="D125" i="231"/>
  <c r="B111" i="245" s="1"/>
  <c r="D111" i="245" s="1"/>
  <c r="F111" i="245" s="1"/>
  <c r="E125" i="231"/>
  <c r="C111" i="245" s="1"/>
  <c r="D126" i="231"/>
  <c r="E126" i="231"/>
  <c r="C112" i="245" s="1"/>
  <c r="D99" i="231"/>
  <c r="B85" i="245" s="1"/>
  <c r="E99" i="231"/>
  <c r="C85" i="245" s="1"/>
  <c r="D100" i="231"/>
  <c r="B86" i="245" s="1"/>
  <c r="D86" i="245" s="1"/>
  <c r="F86" i="245" s="1"/>
  <c r="E100" i="231"/>
  <c r="C86" i="245" s="1"/>
  <c r="D101" i="231"/>
  <c r="B87" i="245" s="1"/>
  <c r="D87" i="245" s="1"/>
  <c r="F87" i="245" s="1"/>
  <c r="E101" i="231"/>
  <c r="C87" i="245" s="1"/>
  <c r="D102" i="231"/>
  <c r="B88" i="245" s="1"/>
  <c r="D88" i="245" s="1"/>
  <c r="F88" i="245" s="1"/>
  <c r="E102" i="231"/>
  <c r="C88" i="245" s="1"/>
  <c r="D103" i="231"/>
  <c r="B89" i="245" s="1"/>
  <c r="D89" i="245" s="1"/>
  <c r="E103" i="231"/>
  <c r="C89" i="245" s="1"/>
  <c r="D104" i="231"/>
  <c r="B90" i="245" s="1"/>
  <c r="D90" i="245" s="1"/>
  <c r="F90" i="245" s="1"/>
  <c r="E104" i="231"/>
  <c r="C90" i="245" s="1"/>
  <c r="D105" i="231"/>
  <c r="B91" i="245" s="1"/>
  <c r="D91" i="245" s="1"/>
  <c r="F91" i="245" s="1"/>
  <c r="E105" i="231"/>
  <c r="C91" i="245" s="1"/>
  <c r="D106" i="231"/>
  <c r="B92" i="245" s="1"/>
  <c r="D92" i="245" s="1"/>
  <c r="F92" i="245" s="1"/>
  <c r="E106" i="231"/>
  <c r="C92" i="245" s="1"/>
  <c r="D107" i="231"/>
  <c r="B93" i="245" s="1"/>
  <c r="D93" i="245" s="1"/>
  <c r="F93" i="245" s="1"/>
  <c r="E107" i="231"/>
  <c r="C93" i="245" s="1"/>
  <c r="D108" i="231"/>
  <c r="B94" i="245" s="1"/>
  <c r="D94" i="245" s="1"/>
  <c r="F94" i="245" s="1"/>
  <c r="E108" i="231"/>
  <c r="C94" i="245" s="1"/>
  <c r="D109" i="231"/>
  <c r="B95" i="245" s="1"/>
  <c r="D95" i="245" s="1"/>
  <c r="F95" i="245" s="1"/>
  <c r="E109" i="231"/>
  <c r="C95" i="245" s="1"/>
  <c r="D110" i="231"/>
  <c r="B96" i="245" s="1"/>
  <c r="D96" i="245" s="1"/>
  <c r="F96" i="245" s="1"/>
  <c r="E110" i="231"/>
  <c r="C96" i="245" s="1"/>
  <c r="D111" i="231"/>
  <c r="B97" i="245" s="1"/>
  <c r="D97" i="245" s="1"/>
  <c r="F97" i="245" s="1"/>
  <c r="E111" i="231"/>
  <c r="C97" i="245" s="1"/>
  <c r="D112" i="231"/>
  <c r="B98" i="245" s="1"/>
  <c r="D98" i="245" s="1"/>
  <c r="F98" i="245" s="1"/>
  <c r="E112" i="231"/>
  <c r="C98" i="245" s="1"/>
  <c r="D113" i="231"/>
  <c r="B99" i="245" s="1"/>
  <c r="D99" i="245" s="1"/>
  <c r="F99" i="245" s="1"/>
  <c r="E113" i="231"/>
  <c r="C99" i="245" s="1"/>
  <c r="D114" i="231"/>
  <c r="B100" i="245" s="1"/>
  <c r="D100" i="245" s="1"/>
  <c r="F100" i="245" s="1"/>
  <c r="E114" i="231"/>
  <c r="C100" i="245" s="1"/>
  <c r="D115" i="231"/>
  <c r="B101" i="245" s="1"/>
  <c r="D101" i="245" s="1"/>
  <c r="F101" i="245" s="1"/>
  <c r="E115" i="231"/>
  <c r="C101" i="245" s="1"/>
  <c r="D116" i="231"/>
  <c r="B102" i="245" s="1"/>
  <c r="D102" i="245" s="1"/>
  <c r="F102" i="245" s="1"/>
  <c r="E116" i="231"/>
  <c r="C102" i="245" s="1"/>
  <c r="D117" i="231"/>
  <c r="B103" i="245" s="1"/>
  <c r="D103" i="245" s="1"/>
  <c r="F103" i="245" s="1"/>
  <c r="E117" i="231"/>
  <c r="C103" i="245" s="1"/>
  <c r="D118" i="231"/>
  <c r="B104" i="245" s="1"/>
  <c r="D104" i="245" s="1"/>
  <c r="F104" i="245" s="1"/>
  <c r="E118" i="231"/>
  <c r="C104" i="245" s="1"/>
  <c r="D119" i="231"/>
  <c r="B105" i="245" s="1"/>
  <c r="D105" i="245" s="1"/>
  <c r="F105" i="245" s="1"/>
  <c r="E119" i="231"/>
  <c r="C105" i="245" s="1"/>
  <c r="D120" i="231"/>
  <c r="B106" i="245" s="1"/>
  <c r="D106" i="245" s="1"/>
  <c r="F106" i="245" s="1"/>
  <c r="E120" i="231"/>
  <c r="C106" i="245" s="1"/>
  <c r="D121" i="231"/>
  <c r="B107" i="245" s="1"/>
  <c r="D107" i="245" s="1"/>
  <c r="F107" i="245" s="1"/>
  <c r="E121" i="231"/>
  <c r="C107" i="245" s="1"/>
  <c r="D122" i="231"/>
  <c r="B108" i="245" s="1"/>
  <c r="D108" i="245" s="1"/>
  <c r="F108" i="245" s="1"/>
  <c r="E122" i="231"/>
  <c r="C108" i="245" s="1"/>
  <c r="E91" i="231"/>
  <c r="C77" i="245" s="1"/>
  <c r="E92" i="231"/>
  <c r="C78" i="245" s="1"/>
  <c r="E93" i="231"/>
  <c r="C79" i="245" s="1"/>
  <c r="E94" i="231"/>
  <c r="C80" i="245" s="1"/>
  <c r="E95" i="231"/>
  <c r="C81" i="245" s="1"/>
  <c r="E96" i="231"/>
  <c r="C82" i="245" s="1"/>
  <c r="E97" i="231"/>
  <c r="C83" i="245" s="1"/>
  <c r="E98" i="231"/>
  <c r="C84" i="245" s="1"/>
  <c r="E90" i="231"/>
  <c r="C76" i="245" s="1"/>
  <c r="D90" i="231"/>
  <c r="B76" i="245" s="1"/>
  <c r="D76" i="245" s="1"/>
  <c r="G76" i="245" s="1"/>
  <c r="D91" i="231"/>
  <c r="B77" i="245" s="1"/>
  <c r="D92" i="231"/>
  <c r="B78" i="245" s="1"/>
  <c r="D93" i="231"/>
  <c r="B79" i="245" s="1"/>
  <c r="D79" i="245" s="1"/>
  <c r="D94" i="231"/>
  <c r="B80" i="245" s="1"/>
  <c r="D80" i="245" s="1"/>
  <c r="D95" i="231"/>
  <c r="B81" i="245" s="1"/>
  <c r="D96" i="231"/>
  <c r="B82" i="245" s="1"/>
  <c r="D97" i="231"/>
  <c r="B83" i="245" s="1"/>
  <c r="D98" i="231"/>
  <c r="B84" i="245" s="1"/>
  <c r="D84" i="245" s="1"/>
  <c r="D72" i="231"/>
  <c r="B58" i="245" s="1"/>
  <c r="E58" i="245" s="1"/>
  <c r="D73" i="231"/>
  <c r="B59" i="245" s="1"/>
  <c r="E59" i="245" s="1"/>
  <c r="D74" i="231"/>
  <c r="B60" i="245" s="1"/>
  <c r="E60" i="245" s="1"/>
  <c r="D75" i="231"/>
  <c r="B61" i="245" s="1"/>
  <c r="E61" i="245" s="1"/>
  <c r="D76" i="231"/>
  <c r="B62" i="245" s="1"/>
  <c r="E62" i="245" s="1"/>
  <c r="D77" i="231"/>
  <c r="B63" i="245" s="1"/>
  <c r="E63" i="245" s="1"/>
  <c r="D78" i="231"/>
  <c r="B64" i="245" s="1"/>
  <c r="E64" i="245" s="1"/>
  <c r="D79" i="231"/>
  <c r="B65" i="245" s="1"/>
  <c r="E65" i="245" s="1"/>
  <c r="D80" i="231"/>
  <c r="B66" i="245" s="1"/>
  <c r="E66" i="245" s="1"/>
  <c r="D81" i="231"/>
  <c r="B67" i="245" s="1"/>
  <c r="E67" i="245" s="1"/>
  <c r="B68" i="245"/>
  <c r="B69" i="245"/>
  <c r="D84" i="231"/>
  <c r="B70" i="245" s="1"/>
  <c r="E70" i="245" s="1"/>
  <c r="F70" i="245" s="1"/>
  <c r="D85" i="231"/>
  <c r="B71" i="245" s="1"/>
  <c r="E71" i="245" s="1"/>
  <c r="F71" i="245" s="1"/>
  <c r="D86" i="231"/>
  <c r="B72" i="245" s="1"/>
  <c r="E72" i="245" s="1"/>
  <c r="F72" i="245" s="1"/>
  <c r="D87" i="231"/>
  <c r="B73" i="245" s="1"/>
  <c r="E73" i="245" s="1"/>
  <c r="D88" i="231"/>
  <c r="B74" i="245" s="1"/>
  <c r="E74" i="245" s="1"/>
  <c r="D89" i="231"/>
  <c r="B75" i="245" s="1"/>
  <c r="E75" i="245" s="1"/>
  <c r="D40" i="231"/>
  <c r="B41" i="245" s="1"/>
  <c r="E41" i="245" s="1"/>
  <c r="F41" i="245" s="1"/>
  <c r="E40" i="231"/>
  <c r="C41" i="245" s="1"/>
  <c r="D41" i="231"/>
  <c r="B42" i="245" s="1"/>
  <c r="E42" i="245" s="1"/>
  <c r="E41" i="231"/>
  <c r="C42" i="245" s="1"/>
  <c r="D42" i="231"/>
  <c r="B43" i="245" s="1"/>
  <c r="E43" i="245" s="1"/>
  <c r="F43" i="245" s="1"/>
  <c r="E42" i="231"/>
  <c r="C43" i="245" s="1"/>
  <c r="D43" i="231"/>
  <c r="B44" i="245" s="1"/>
  <c r="E44" i="245" s="1"/>
  <c r="F44" i="245" s="1"/>
  <c r="E43" i="231"/>
  <c r="C44" i="245" s="1"/>
  <c r="D44" i="231"/>
  <c r="B45" i="245" s="1"/>
  <c r="E45" i="245" s="1"/>
  <c r="F45" i="245" s="1"/>
  <c r="E44" i="231"/>
  <c r="C45" i="245" s="1"/>
  <c r="D45" i="231"/>
  <c r="B46" i="245" s="1"/>
  <c r="E46" i="245" s="1"/>
  <c r="E45" i="231"/>
  <c r="C46" i="245" s="1"/>
  <c r="D46" i="231"/>
  <c r="B47" i="245" s="1"/>
  <c r="E47" i="245" s="1"/>
  <c r="E46" i="231"/>
  <c r="C47" i="245" s="1"/>
  <c r="D47" i="231"/>
  <c r="B48" i="245" s="1"/>
  <c r="E48" i="245" s="1"/>
  <c r="F48" i="245" s="1"/>
  <c r="E47" i="231"/>
  <c r="C48" i="245" s="1"/>
  <c r="D48" i="231"/>
  <c r="B49" i="245" s="1"/>
  <c r="E49" i="245" s="1"/>
  <c r="F49" i="245" s="1"/>
  <c r="E48" i="231"/>
  <c r="C49" i="245" s="1"/>
  <c r="D49" i="231"/>
  <c r="B50" i="245" s="1"/>
  <c r="E50" i="245" s="1"/>
  <c r="F50" i="245" s="1"/>
  <c r="E49" i="231"/>
  <c r="C50" i="245" s="1"/>
  <c r="D50" i="231"/>
  <c r="B51" i="245" s="1"/>
  <c r="E51" i="245" s="1"/>
  <c r="F51" i="245" s="1"/>
  <c r="E50" i="231"/>
  <c r="C51" i="245" s="1"/>
  <c r="D51" i="231"/>
  <c r="B52" i="245" s="1"/>
  <c r="E52" i="245" s="1"/>
  <c r="F52" i="245" s="1"/>
  <c r="E51" i="231"/>
  <c r="C52" i="245" s="1"/>
  <c r="D52" i="231"/>
  <c r="B53" i="245" s="1"/>
  <c r="E53" i="245" s="1"/>
  <c r="F53" i="245" s="1"/>
  <c r="E52" i="231"/>
  <c r="C53" i="245" s="1"/>
  <c r="D53" i="231"/>
  <c r="B54" i="245" s="1"/>
  <c r="E54" i="245" s="1"/>
  <c r="F54" i="245" s="1"/>
  <c r="E53" i="231"/>
  <c r="C54" i="245" s="1"/>
  <c r="D54" i="231"/>
  <c r="B55" i="245" s="1"/>
  <c r="E55" i="245" s="1"/>
  <c r="E54" i="231"/>
  <c r="C55" i="245" s="1"/>
  <c r="D55" i="231"/>
  <c r="B56" i="245" s="1"/>
  <c r="E56" i="245" s="1"/>
  <c r="F56" i="245" s="1"/>
  <c r="E55" i="231"/>
  <c r="C56" i="245" s="1"/>
  <c r="D7" i="231"/>
  <c r="B8" i="245" s="1"/>
  <c r="E8" i="245" s="1"/>
  <c r="G8" i="245" s="1"/>
  <c r="E7" i="231"/>
  <c r="C8" i="245" s="1"/>
  <c r="D8" i="231"/>
  <c r="B9" i="245" s="1"/>
  <c r="E9" i="245" s="1"/>
  <c r="K9" i="245" s="1"/>
  <c r="E8" i="231"/>
  <c r="C9" i="245" s="1"/>
  <c r="D9" i="231"/>
  <c r="B10" i="245" s="1"/>
  <c r="E10" i="245" s="1"/>
  <c r="K10" i="245" s="1"/>
  <c r="E9" i="231"/>
  <c r="C10" i="245" s="1"/>
  <c r="D10" i="231"/>
  <c r="B11" i="245" s="1"/>
  <c r="E11" i="245" s="1"/>
  <c r="G11" i="245" s="1"/>
  <c r="E10" i="231"/>
  <c r="C11" i="245" s="1"/>
  <c r="D11" i="231"/>
  <c r="B12" i="245" s="1"/>
  <c r="E12" i="245" s="1"/>
  <c r="AS12" i="245" s="1"/>
  <c r="E11" i="231"/>
  <c r="C12" i="245" s="1"/>
  <c r="D12" i="231"/>
  <c r="B13" i="245" s="1"/>
  <c r="E13" i="245" s="1"/>
  <c r="E12" i="231"/>
  <c r="C13" i="245" s="1"/>
  <c r="D13" i="231"/>
  <c r="B14" i="245" s="1"/>
  <c r="E14" i="245" s="1"/>
  <c r="E13" i="231"/>
  <c r="C14" i="245" s="1"/>
  <c r="D14" i="231"/>
  <c r="B15" i="245" s="1"/>
  <c r="E15" i="245" s="1"/>
  <c r="F15" i="245" s="1"/>
  <c r="E14" i="231"/>
  <c r="C15" i="245" s="1"/>
  <c r="D15" i="231"/>
  <c r="B16" i="245" s="1"/>
  <c r="E16" i="245" s="1"/>
  <c r="F16" i="245" s="1"/>
  <c r="E15" i="231"/>
  <c r="C16" i="245" s="1"/>
  <c r="D16" i="231"/>
  <c r="B17" i="245" s="1"/>
  <c r="E17" i="245" s="1"/>
  <c r="E16" i="231"/>
  <c r="C17" i="245" s="1"/>
  <c r="D17" i="231"/>
  <c r="B18" i="245" s="1"/>
  <c r="E18" i="245" s="1"/>
  <c r="F18" i="245" s="1"/>
  <c r="E17" i="231"/>
  <c r="C18" i="245" s="1"/>
  <c r="D18" i="231"/>
  <c r="B19" i="245" s="1"/>
  <c r="E19" i="245" s="1"/>
  <c r="E18" i="231"/>
  <c r="C19" i="245" s="1"/>
  <c r="D19" i="231"/>
  <c r="B20" i="245" s="1"/>
  <c r="E20" i="245" s="1"/>
  <c r="E19" i="231"/>
  <c r="C20" i="245" s="1"/>
  <c r="D20" i="231"/>
  <c r="B21" i="245" s="1"/>
  <c r="E21" i="245" s="1"/>
  <c r="F21" i="245" s="1"/>
  <c r="E20" i="231"/>
  <c r="C21" i="245" s="1"/>
  <c r="D21" i="231"/>
  <c r="B22" i="245" s="1"/>
  <c r="E22" i="245" s="1"/>
  <c r="E21" i="231"/>
  <c r="C22" i="245" s="1"/>
  <c r="D22" i="231"/>
  <c r="B23" i="245" s="1"/>
  <c r="E23" i="245" s="1"/>
  <c r="E22" i="231"/>
  <c r="C23" i="245" s="1"/>
  <c r="D23" i="231"/>
  <c r="B24" i="245" s="1"/>
  <c r="E24" i="245" s="1"/>
  <c r="E23" i="231"/>
  <c r="C24" i="245" s="1"/>
  <c r="D24" i="231"/>
  <c r="B25" i="245" s="1"/>
  <c r="E25" i="245" s="1"/>
  <c r="E24" i="231"/>
  <c r="C25" i="245" s="1"/>
  <c r="D25" i="231"/>
  <c r="B26" i="245" s="1"/>
  <c r="E26" i="245" s="1"/>
  <c r="F26" i="245" s="1"/>
  <c r="E25" i="231"/>
  <c r="C26" i="245" s="1"/>
  <c r="D26" i="231"/>
  <c r="B27" i="245" s="1"/>
  <c r="E26" i="231"/>
  <c r="C27" i="245" s="1"/>
  <c r="D27" i="231"/>
  <c r="B28" i="245" s="1"/>
  <c r="E28" i="245" s="1"/>
  <c r="E27" i="231"/>
  <c r="C28" i="245" s="1"/>
  <c r="D28" i="231"/>
  <c r="B29" i="245" s="1"/>
  <c r="E29" i="245" s="1"/>
  <c r="E28" i="231"/>
  <c r="C29" i="245" s="1"/>
  <c r="D29" i="231"/>
  <c r="B30" i="245" s="1"/>
  <c r="E30" i="245" s="1"/>
  <c r="E29" i="231"/>
  <c r="C30" i="245" s="1"/>
  <c r="D30" i="231"/>
  <c r="B31" i="245" s="1"/>
  <c r="E31" i="245" s="1"/>
  <c r="E30" i="231"/>
  <c r="C31" i="245" s="1"/>
  <c r="D31" i="231"/>
  <c r="B32" i="245" s="1"/>
  <c r="E32" i="245" s="1"/>
  <c r="E31" i="231"/>
  <c r="C32" i="245" s="1"/>
  <c r="D32" i="231"/>
  <c r="B33" i="245" s="1"/>
  <c r="E33" i="245" s="1"/>
  <c r="E32" i="231"/>
  <c r="C33" i="245" s="1"/>
  <c r="D33" i="231"/>
  <c r="B34" i="245" s="1"/>
  <c r="E34" i="245" s="1"/>
  <c r="E33" i="231"/>
  <c r="C34" i="245" s="1"/>
  <c r="D34" i="231"/>
  <c r="B35" i="245" s="1"/>
  <c r="E35" i="245" s="1"/>
  <c r="E34" i="231"/>
  <c r="C35" i="245" s="1"/>
  <c r="D35" i="231"/>
  <c r="B36" i="245" s="1"/>
  <c r="E36" i="245" s="1"/>
  <c r="E35" i="231"/>
  <c r="C36" i="245" s="1"/>
  <c r="D36" i="231"/>
  <c r="B37" i="245" s="1"/>
  <c r="E37" i="245" s="1"/>
  <c r="E36" i="231"/>
  <c r="C37" i="245" s="1"/>
  <c r="D37" i="231"/>
  <c r="B38" i="245" s="1"/>
  <c r="E38" i="245" s="1"/>
  <c r="E37" i="231"/>
  <c r="C38" i="245" s="1"/>
  <c r="D38" i="231"/>
  <c r="B39" i="245" s="1"/>
  <c r="E39" i="245" s="1"/>
  <c r="E38" i="231"/>
  <c r="C39" i="245" s="1"/>
  <c r="D39" i="231"/>
  <c r="B40" i="245" s="1"/>
  <c r="E40" i="245" s="1"/>
  <c r="F40" i="245" s="1"/>
  <c r="E39" i="231"/>
  <c r="C40" i="245" s="1"/>
  <c r="E6" i="231"/>
  <c r="C7" i="245" s="1"/>
  <c r="D6" i="231"/>
  <c r="B7" i="245" s="1"/>
  <c r="E7" i="245" s="1"/>
  <c r="F67" i="245" l="1"/>
  <c r="J67" i="245"/>
  <c r="N67" i="245"/>
  <c r="R67" i="245"/>
  <c r="V67" i="245"/>
  <c r="Z67" i="245"/>
  <c r="AD67" i="245"/>
  <c r="AH67" i="245"/>
  <c r="AL67" i="245"/>
  <c r="AP67" i="245"/>
  <c r="AT67" i="245"/>
  <c r="L67" i="245"/>
  <c r="Q67" i="245"/>
  <c r="W67" i="245"/>
  <c r="AB67" i="245"/>
  <c r="AG67" i="245"/>
  <c r="AM67" i="245"/>
  <c r="AR67" i="245"/>
  <c r="H67" i="245"/>
  <c r="M67" i="245"/>
  <c r="S67" i="245"/>
  <c r="X67" i="245"/>
  <c r="AC67" i="245"/>
  <c r="AI67" i="245"/>
  <c r="AN67" i="245"/>
  <c r="AS67" i="245"/>
  <c r="I67" i="245"/>
  <c r="O67" i="245"/>
  <c r="T67" i="245"/>
  <c r="Y67" i="245"/>
  <c r="AE67" i="245"/>
  <c r="AJ67" i="245"/>
  <c r="AO67" i="245"/>
  <c r="AU67" i="245"/>
  <c r="K67" i="245"/>
  <c r="P67" i="245"/>
  <c r="U67" i="245"/>
  <c r="AA67" i="245"/>
  <c r="AF67" i="245"/>
  <c r="AK67" i="245"/>
  <c r="AQ67" i="245"/>
  <c r="G67" i="245"/>
  <c r="F63" i="245"/>
  <c r="AR63" i="245"/>
  <c r="S63" i="245"/>
  <c r="W63" i="245"/>
  <c r="AC63" i="245"/>
  <c r="AK63" i="245"/>
  <c r="Z63" i="245"/>
  <c r="N63" i="245"/>
  <c r="H63" i="245"/>
  <c r="AS63" i="245"/>
  <c r="AA63" i="245"/>
  <c r="Q63" i="245"/>
  <c r="AJ63" i="245"/>
  <c r="AM63" i="245"/>
  <c r="AO63" i="245"/>
  <c r="V63" i="245"/>
  <c r="Y63" i="245"/>
  <c r="AI63" i="245"/>
  <c r="AL63" i="245"/>
  <c r="U63" i="245"/>
  <c r="AD63" i="245"/>
  <c r="AH63" i="245"/>
  <c r="K63" i="245"/>
  <c r="AB63" i="245"/>
  <c r="I63" i="245"/>
  <c r="J63" i="245"/>
  <c r="AG63" i="245"/>
  <c r="R63" i="245"/>
  <c r="AU63" i="245"/>
  <c r="G63" i="245"/>
  <c r="M63" i="245"/>
  <c r="AN63" i="245"/>
  <c r="T63" i="245"/>
  <c r="AQ63" i="245"/>
  <c r="P63" i="245"/>
  <c r="AF63" i="245"/>
  <c r="X63" i="245"/>
  <c r="AT63" i="245"/>
  <c r="AP63" i="245"/>
  <c r="O63" i="245"/>
  <c r="AE63" i="245"/>
  <c r="L63" i="245"/>
  <c r="F59" i="245"/>
  <c r="J59" i="245"/>
  <c r="N59" i="245"/>
  <c r="R59" i="245"/>
  <c r="V59" i="245"/>
  <c r="Z59" i="245"/>
  <c r="AD59" i="245"/>
  <c r="AH59" i="245"/>
  <c r="AL59" i="245"/>
  <c r="AP59" i="245"/>
  <c r="AT59" i="245"/>
  <c r="K59" i="245"/>
  <c r="O59" i="245"/>
  <c r="M59" i="245"/>
  <c r="T59" i="245"/>
  <c r="Y59" i="245"/>
  <c r="AE59" i="245"/>
  <c r="AJ59" i="245"/>
  <c r="AO59" i="245"/>
  <c r="AU59" i="245"/>
  <c r="H59" i="245"/>
  <c r="P59" i="245"/>
  <c r="U59" i="245"/>
  <c r="AA59" i="245"/>
  <c r="AF59" i="245"/>
  <c r="AK59" i="245"/>
  <c r="AQ59" i="245"/>
  <c r="I59" i="245"/>
  <c r="Q59" i="245"/>
  <c r="W59" i="245"/>
  <c r="AB59" i="245"/>
  <c r="AG59" i="245"/>
  <c r="AM59" i="245"/>
  <c r="AR59" i="245"/>
  <c r="L59" i="245"/>
  <c r="S59" i="245"/>
  <c r="X59" i="245"/>
  <c r="AC59" i="245"/>
  <c r="AI59" i="245"/>
  <c r="AN59" i="245"/>
  <c r="AS59" i="245"/>
  <c r="G59" i="245"/>
  <c r="F60" i="245"/>
  <c r="J60" i="245"/>
  <c r="N60" i="245"/>
  <c r="R60" i="245"/>
  <c r="V60" i="245"/>
  <c r="Z60" i="245"/>
  <c r="AD60" i="245"/>
  <c r="AH60" i="245"/>
  <c r="AL60" i="245"/>
  <c r="AP60" i="245"/>
  <c r="AT60" i="245"/>
  <c r="L60" i="245"/>
  <c r="Q60" i="245"/>
  <c r="W60" i="245"/>
  <c r="AB60" i="245"/>
  <c r="AG60" i="245"/>
  <c r="AM60" i="245"/>
  <c r="AR60" i="245"/>
  <c r="H60" i="245"/>
  <c r="M60" i="245"/>
  <c r="S60" i="245"/>
  <c r="X60" i="245"/>
  <c r="AC60" i="245"/>
  <c r="AI60" i="245"/>
  <c r="AN60" i="245"/>
  <c r="AS60" i="245"/>
  <c r="I60" i="245"/>
  <c r="O60" i="245"/>
  <c r="T60" i="245"/>
  <c r="Y60" i="245"/>
  <c r="AE60" i="245"/>
  <c r="AJ60" i="245"/>
  <c r="AO60" i="245"/>
  <c r="AU60" i="245"/>
  <c r="G60" i="245"/>
  <c r="K60" i="245"/>
  <c r="P60" i="245"/>
  <c r="U60" i="245"/>
  <c r="AA60" i="245"/>
  <c r="AF60" i="245"/>
  <c r="AK60" i="245"/>
  <c r="AQ60" i="245"/>
  <c r="F66" i="245"/>
  <c r="J66" i="245"/>
  <c r="N66" i="245"/>
  <c r="R66" i="245"/>
  <c r="V66" i="245"/>
  <c r="Z66" i="245"/>
  <c r="AD66" i="245"/>
  <c r="AH66" i="245"/>
  <c r="AL66" i="245"/>
  <c r="AP66" i="245"/>
  <c r="AT66" i="245"/>
  <c r="I66" i="245"/>
  <c r="O66" i="245"/>
  <c r="T66" i="245"/>
  <c r="Y66" i="245"/>
  <c r="AE66" i="245"/>
  <c r="AJ66" i="245"/>
  <c r="AO66" i="245"/>
  <c r="AU66" i="245"/>
  <c r="G66" i="245"/>
  <c r="K66" i="245"/>
  <c r="P66" i="245"/>
  <c r="U66" i="245"/>
  <c r="AA66" i="245"/>
  <c r="AF66" i="245"/>
  <c r="AK66" i="245"/>
  <c r="AQ66" i="245"/>
  <c r="L66" i="245"/>
  <c r="Q66" i="245"/>
  <c r="W66" i="245"/>
  <c r="AB66" i="245"/>
  <c r="AG66" i="245"/>
  <c r="AM66" i="245"/>
  <c r="AR66" i="245"/>
  <c r="H66" i="245"/>
  <c r="M66" i="245"/>
  <c r="S66" i="245"/>
  <c r="X66" i="245"/>
  <c r="AC66" i="245"/>
  <c r="AI66" i="245"/>
  <c r="AN66" i="245"/>
  <c r="AS66" i="245"/>
  <c r="F62" i="245"/>
  <c r="J62" i="245"/>
  <c r="N62" i="245"/>
  <c r="R62" i="245"/>
  <c r="V62" i="245"/>
  <c r="Z62" i="245"/>
  <c r="AD62" i="245"/>
  <c r="AH62" i="245"/>
  <c r="AL62" i="245"/>
  <c r="AP62" i="245"/>
  <c r="AT62" i="245"/>
  <c r="G62" i="245"/>
  <c r="L62" i="245"/>
  <c r="Q62" i="245"/>
  <c r="W62" i="245"/>
  <c r="AB62" i="245"/>
  <c r="AG62" i="245"/>
  <c r="AM62" i="245"/>
  <c r="AR62" i="245"/>
  <c r="H62" i="245"/>
  <c r="M62" i="245"/>
  <c r="S62" i="245"/>
  <c r="X62" i="245"/>
  <c r="AC62" i="245"/>
  <c r="AI62" i="245"/>
  <c r="AN62" i="245"/>
  <c r="AS62" i="245"/>
  <c r="I62" i="245"/>
  <c r="O62" i="245"/>
  <c r="T62" i="245"/>
  <c r="Y62" i="245"/>
  <c r="AJ62" i="245"/>
  <c r="AO62" i="245"/>
  <c r="AE62" i="245"/>
  <c r="AU62" i="245"/>
  <c r="K62" i="245"/>
  <c r="P62" i="245"/>
  <c r="U62" i="245"/>
  <c r="AA62" i="245"/>
  <c r="AF62" i="245"/>
  <c r="AK62" i="245"/>
  <c r="AQ62" i="245"/>
  <c r="F58" i="245"/>
  <c r="J58" i="245"/>
  <c r="N58" i="245"/>
  <c r="R58" i="245"/>
  <c r="V58" i="245"/>
  <c r="Z58" i="245"/>
  <c r="AD58" i="245"/>
  <c r="AH58" i="245"/>
  <c r="AL58" i="245"/>
  <c r="AP58" i="245"/>
  <c r="AT58" i="245"/>
  <c r="G58" i="245"/>
  <c r="K58" i="245"/>
  <c r="O58" i="245"/>
  <c r="S58" i="245"/>
  <c r="W58" i="245"/>
  <c r="AA58" i="245"/>
  <c r="AE58" i="245"/>
  <c r="AI58" i="245"/>
  <c r="AM58" i="245"/>
  <c r="AQ58" i="245"/>
  <c r="AU58" i="245"/>
  <c r="M58" i="245"/>
  <c r="U58" i="245"/>
  <c r="AC58" i="245"/>
  <c r="AK58" i="245"/>
  <c r="AS58" i="245"/>
  <c r="H58" i="245"/>
  <c r="P58" i="245"/>
  <c r="X58" i="245"/>
  <c r="AF58" i="245"/>
  <c r="AN58" i="245"/>
  <c r="I58" i="245"/>
  <c r="Y58" i="245"/>
  <c r="AG58" i="245"/>
  <c r="AO58" i="245"/>
  <c r="Q58" i="245"/>
  <c r="L58" i="245"/>
  <c r="T58" i="245"/>
  <c r="AB58" i="245"/>
  <c r="AJ58" i="245"/>
  <c r="AR58" i="245"/>
  <c r="F47" i="245"/>
  <c r="G47" i="245"/>
  <c r="F64" i="245"/>
  <c r="AE64" i="245"/>
  <c r="J64" i="245"/>
  <c r="AS64" i="245"/>
  <c r="AC64" i="245"/>
  <c r="Y64" i="245"/>
  <c r="P64" i="245"/>
  <c r="H64" i="245"/>
  <c r="AF64" i="245"/>
  <c r="AP64" i="245"/>
  <c r="AB64" i="245"/>
  <c r="T64" i="245"/>
  <c r="AI64" i="245"/>
  <c r="K64" i="245"/>
  <c r="U64" i="245"/>
  <c r="S64" i="245"/>
  <c r="N64" i="245"/>
  <c r="AU64" i="245"/>
  <c r="Q64" i="245"/>
  <c r="AN64" i="245"/>
  <c r="AT64" i="245"/>
  <c r="X64" i="245"/>
  <c r="M64" i="245"/>
  <c r="V64" i="245"/>
  <c r="AL64" i="245"/>
  <c r="R64" i="245"/>
  <c r="AH64" i="245"/>
  <c r="I64" i="245"/>
  <c r="AG64" i="245"/>
  <c r="O64" i="245"/>
  <c r="G64" i="245"/>
  <c r="Z64" i="245"/>
  <c r="AA64" i="245"/>
  <c r="AK64" i="245"/>
  <c r="AM64" i="245"/>
  <c r="AD64" i="245"/>
  <c r="AJ64" i="245"/>
  <c r="AQ64" i="245"/>
  <c r="W64" i="245"/>
  <c r="AR64" i="245"/>
  <c r="L64" i="245"/>
  <c r="AO64" i="245"/>
  <c r="F65" i="245"/>
  <c r="AT65" i="245"/>
  <c r="Q65" i="245"/>
  <c r="G65" i="245"/>
  <c r="H65" i="245"/>
  <c r="AH65" i="245"/>
  <c r="U65" i="245"/>
  <c r="P65" i="245"/>
  <c r="AL65" i="245"/>
  <c r="AF65" i="245"/>
  <c r="AM65" i="245"/>
  <c r="AD65" i="245"/>
  <c r="AC65" i="245"/>
  <c r="W65" i="245"/>
  <c r="AP65" i="245"/>
  <c r="AN65" i="245"/>
  <c r="AQ65" i="245"/>
  <c r="Y65" i="245"/>
  <c r="V65" i="245"/>
  <c r="AU65" i="245"/>
  <c r="AK65" i="245"/>
  <c r="AG65" i="245"/>
  <c r="X65" i="245"/>
  <c r="O65" i="245"/>
  <c r="AI65" i="245"/>
  <c r="T65" i="245"/>
  <c r="AS65" i="245"/>
  <c r="AO65" i="245"/>
  <c r="AA65" i="245"/>
  <c r="L65" i="245"/>
  <c r="R65" i="245"/>
  <c r="AR65" i="245"/>
  <c r="I65" i="245"/>
  <c r="AE65" i="245"/>
  <c r="AB65" i="245"/>
  <c r="Z65" i="245"/>
  <c r="K65" i="245"/>
  <c r="AJ65" i="245"/>
  <c r="N65" i="245"/>
  <c r="J65" i="245"/>
  <c r="S65" i="245"/>
  <c r="M65" i="245"/>
  <c r="J61" i="245"/>
  <c r="N61" i="245"/>
  <c r="R61" i="245"/>
  <c r="V61" i="245"/>
  <c r="Z61" i="245"/>
  <c r="AD61" i="245"/>
  <c r="AH61" i="245"/>
  <c r="AL61" i="245"/>
  <c r="AP61" i="245"/>
  <c r="AT61" i="245"/>
  <c r="I61" i="245"/>
  <c r="O61" i="245"/>
  <c r="T61" i="245"/>
  <c r="Y61" i="245"/>
  <c r="AE61" i="245"/>
  <c r="AJ61" i="245"/>
  <c r="AO61" i="245"/>
  <c r="AU61" i="245"/>
  <c r="K61" i="245"/>
  <c r="P61" i="245"/>
  <c r="U61" i="245"/>
  <c r="AA61" i="245"/>
  <c r="AF61" i="245"/>
  <c r="AK61" i="245"/>
  <c r="AQ61" i="245"/>
  <c r="G61" i="245"/>
  <c r="L61" i="245"/>
  <c r="Q61" i="245"/>
  <c r="W61" i="245"/>
  <c r="AB61" i="245"/>
  <c r="AG61" i="245"/>
  <c r="AM61" i="245"/>
  <c r="AR61" i="245"/>
  <c r="H61" i="245"/>
  <c r="M61" i="245"/>
  <c r="S61" i="245"/>
  <c r="X61" i="245"/>
  <c r="AC61" i="245"/>
  <c r="AI61" i="245"/>
  <c r="AN61" i="245"/>
  <c r="AS61" i="245"/>
  <c r="F61" i="245"/>
  <c r="D78" i="245"/>
  <c r="AG78" i="245" s="1"/>
  <c r="AW78" i="245"/>
  <c r="AY78" i="245"/>
  <c r="AX78" i="245"/>
  <c r="D77" i="245"/>
  <c r="AX77" i="245"/>
  <c r="AW77" i="245"/>
  <c r="AY77" i="245"/>
  <c r="D83" i="245"/>
  <c r="AE83" i="245" s="1"/>
  <c r="AY83" i="245"/>
  <c r="AX83" i="245"/>
  <c r="AW83" i="245"/>
  <c r="D85" i="245"/>
  <c r="Y85" i="245" s="1"/>
  <c r="AY85" i="245"/>
  <c r="AX85" i="245"/>
  <c r="AW85" i="245"/>
  <c r="D82" i="245"/>
  <c r="AN82" i="245" s="1"/>
  <c r="AY82" i="245"/>
  <c r="AW82" i="245"/>
  <c r="AX82" i="245"/>
  <c r="D81" i="245"/>
  <c r="V81" i="245" s="1"/>
  <c r="AY81" i="245"/>
  <c r="AX81" i="245"/>
  <c r="AW81" i="245"/>
  <c r="F84" i="245"/>
  <c r="N84" i="245"/>
  <c r="N88" i="245" s="1"/>
  <c r="AP84" i="245"/>
  <c r="AP88" i="245" s="1"/>
  <c r="O84" i="245"/>
  <c r="O88" i="245" s="1"/>
  <c r="AQ84" i="245"/>
  <c r="AQ88" i="245" s="1"/>
  <c r="P84" i="245"/>
  <c r="P88" i="245" s="1"/>
  <c r="AR84" i="245"/>
  <c r="AR88" i="245" s="1"/>
  <c r="Q84" i="245"/>
  <c r="Q88" i="245" s="1"/>
  <c r="AS84" i="245"/>
  <c r="AS88" i="245" s="1"/>
  <c r="R84" i="245"/>
  <c r="R88" i="245" s="1"/>
  <c r="AT84" i="245"/>
  <c r="AT88" i="245" s="1"/>
  <c r="AO84" i="245"/>
  <c r="AO88" i="245" s="1"/>
  <c r="S84" i="245"/>
  <c r="S88" i="245" s="1"/>
  <c r="AU84" i="245"/>
  <c r="AU88" i="245" s="1"/>
  <c r="T84" i="245"/>
  <c r="T88" i="245" s="1"/>
  <c r="U84" i="245"/>
  <c r="U88" i="245" s="1"/>
  <c r="AK84" i="245"/>
  <c r="AK88" i="245" s="1"/>
  <c r="K84" i="245"/>
  <c r="K88" i="245" s="1"/>
  <c r="V84" i="245"/>
  <c r="V88" i="245" s="1"/>
  <c r="W84" i="245"/>
  <c r="W88" i="245" s="1"/>
  <c r="AM84" i="245"/>
  <c r="AM88" i="245" s="1"/>
  <c r="AN84" i="245"/>
  <c r="AN88" i="245" s="1"/>
  <c r="X84" i="245"/>
  <c r="X88" i="245" s="1"/>
  <c r="Y84" i="245"/>
  <c r="Y88" i="245" s="1"/>
  <c r="Z84" i="245"/>
  <c r="Z88" i="245" s="1"/>
  <c r="AA84" i="245"/>
  <c r="AA88" i="245" s="1"/>
  <c r="AB84" i="245"/>
  <c r="AB88" i="245" s="1"/>
  <c r="AC84" i="245"/>
  <c r="AC88" i="245" s="1"/>
  <c r="AD84" i="245"/>
  <c r="AD88" i="245" s="1"/>
  <c r="AE84" i="245"/>
  <c r="AE88" i="245" s="1"/>
  <c r="M84" i="245"/>
  <c r="M88" i="245" s="1"/>
  <c r="AF84" i="245"/>
  <c r="AF88" i="245" s="1"/>
  <c r="AG84" i="245"/>
  <c r="AG88" i="245" s="1"/>
  <c r="AH84" i="245"/>
  <c r="AH88" i="245" s="1"/>
  <c r="I84" i="245"/>
  <c r="I88" i="245" s="1"/>
  <c r="AI84" i="245"/>
  <c r="AI88" i="245" s="1"/>
  <c r="H84" i="245"/>
  <c r="H88" i="245" s="1"/>
  <c r="AJ84" i="245"/>
  <c r="AJ88" i="245" s="1"/>
  <c r="AL84" i="245"/>
  <c r="AL88" i="245" s="1"/>
  <c r="L84" i="245"/>
  <c r="L88" i="245" s="1"/>
  <c r="J84" i="245"/>
  <c r="J88" i="245" s="1"/>
  <c r="F89" i="245"/>
  <c r="L89" i="245"/>
  <c r="AN89" i="245"/>
  <c r="M89" i="245"/>
  <c r="AO89" i="245"/>
  <c r="N89" i="245"/>
  <c r="AP89" i="245"/>
  <c r="O89" i="245"/>
  <c r="AQ89" i="245"/>
  <c r="P89" i="245"/>
  <c r="AR89" i="245"/>
  <c r="Q89" i="245"/>
  <c r="AS89" i="245"/>
  <c r="AJ89" i="245"/>
  <c r="R89" i="245"/>
  <c r="AT89" i="245"/>
  <c r="AK89" i="245"/>
  <c r="S89" i="245"/>
  <c r="AU89" i="245"/>
  <c r="T89" i="245"/>
  <c r="U89" i="245"/>
  <c r="G89" i="245"/>
  <c r="AL89" i="245"/>
  <c r="V89" i="245"/>
  <c r="W89" i="245"/>
  <c r="AI89" i="245"/>
  <c r="X89" i="245"/>
  <c r="Y89" i="245"/>
  <c r="Z89" i="245"/>
  <c r="AA89" i="245"/>
  <c r="H89" i="245"/>
  <c r="AB89" i="245"/>
  <c r="AC89" i="245"/>
  <c r="AD89" i="245"/>
  <c r="AE89" i="245"/>
  <c r="AF89" i="245"/>
  <c r="AG89" i="245"/>
  <c r="AH89" i="245"/>
  <c r="I89" i="245"/>
  <c r="J89" i="245"/>
  <c r="AM89" i="245"/>
  <c r="K89" i="245"/>
  <c r="F80" i="245"/>
  <c r="AH80" i="245"/>
  <c r="AI80" i="245"/>
  <c r="H80" i="245"/>
  <c r="AJ80" i="245"/>
  <c r="I80" i="245"/>
  <c r="AK80" i="245"/>
  <c r="J80" i="245"/>
  <c r="AL80" i="245"/>
  <c r="K80" i="245"/>
  <c r="AM80" i="245"/>
  <c r="L80" i="245"/>
  <c r="AN80" i="245"/>
  <c r="M80" i="245"/>
  <c r="AO80" i="245"/>
  <c r="N80" i="245"/>
  <c r="AP80" i="245"/>
  <c r="O80" i="245"/>
  <c r="AQ80" i="245"/>
  <c r="P80" i="245"/>
  <c r="AR80" i="245"/>
  <c r="AE80" i="245"/>
  <c r="Q80" i="245"/>
  <c r="AS80" i="245"/>
  <c r="R80" i="245"/>
  <c r="AT80" i="245"/>
  <c r="S80" i="245"/>
  <c r="AU80" i="245"/>
  <c r="AC80" i="245"/>
  <c r="T80" i="245"/>
  <c r="U80" i="245"/>
  <c r="V80" i="245"/>
  <c r="AG80" i="245"/>
  <c r="W80" i="245"/>
  <c r="X80" i="245"/>
  <c r="Y80" i="245"/>
  <c r="Z80" i="245"/>
  <c r="AA80" i="245"/>
  <c r="AB80" i="245"/>
  <c r="AF80" i="245"/>
  <c r="AD80" i="245"/>
  <c r="F76" i="245"/>
  <c r="Z76" i="245"/>
  <c r="AA76" i="245"/>
  <c r="AB76" i="245"/>
  <c r="AC76" i="245"/>
  <c r="W76" i="245"/>
  <c r="AD76" i="245"/>
  <c r="AE76" i="245"/>
  <c r="AF76" i="245"/>
  <c r="AG76" i="245"/>
  <c r="AH76" i="245"/>
  <c r="AI76" i="245"/>
  <c r="H76" i="245"/>
  <c r="AJ76" i="245"/>
  <c r="I76" i="245"/>
  <c r="AK76" i="245"/>
  <c r="J76" i="245"/>
  <c r="AL76" i="245"/>
  <c r="K76" i="245"/>
  <c r="AM76" i="245"/>
  <c r="L76" i="245"/>
  <c r="AN76" i="245"/>
  <c r="M76" i="245"/>
  <c r="AO76" i="245"/>
  <c r="N76" i="245"/>
  <c r="AP76" i="245"/>
  <c r="O76" i="245"/>
  <c r="AQ76" i="245"/>
  <c r="P76" i="245"/>
  <c r="AR76" i="245"/>
  <c r="Q76" i="245"/>
  <c r="AS76" i="245"/>
  <c r="R76" i="245"/>
  <c r="AT76" i="245"/>
  <c r="S76" i="245"/>
  <c r="AU76" i="245"/>
  <c r="T76" i="245"/>
  <c r="U76" i="245"/>
  <c r="X76" i="245"/>
  <c r="Y76" i="245"/>
  <c r="V76" i="245"/>
  <c r="F79" i="245"/>
  <c r="R79" i="245"/>
  <c r="R109" i="245" s="1"/>
  <c r="AT79" i="245"/>
  <c r="AT109" i="245" s="1"/>
  <c r="S79" i="245"/>
  <c r="S109" i="245" s="1"/>
  <c r="AU79" i="245"/>
  <c r="AU109" i="245" s="1"/>
  <c r="AO79" i="245"/>
  <c r="AO109" i="245" s="1"/>
  <c r="AR79" i="245"/>
  <c r="AR109" i="245" s="1"/>
  <c r="T79" i="245"/>
  <c r="T109" i="245" s="1"/>
  <c r="U79" i="245"/>
  <c r="U109" i="245" s="1"/>
  <c r="V79" i="245"/>
  <c r="V109" i="245" s="1"/>
  <c r="AQ79" i="245"/>
  <c r="AQ109" i="245" s="1"/>
  <c r="W79" i="245"/>
  <c r="W109" i="245" s="1"/>
  <c r="X79" i="245"/>
  <c r="X109" i="245" s="1"/>
  <c r="Y79" i="245"/>
  <c r="Y109" i="245" s="1"/>
  <c r="Z79" i="245"/>
  <c r="Z109" i="245" s="1"/>
  <c r="AA79" i="245"/>
  <c r="AA109" i="245" s="1"/>
  <c r="AB79" i="245"/>
  <c r="AB109" i="245" s="1"/>
  <c r="AC79" i="245"/>
  <c r="AC109" i="245" s="1"/>
  <c r="Q79" i="245"/>
  <c r="Q109" i="245" s="1"/>
  <c r="AD79" i="245"/>
  <c r="AD109" i="245" s="1"/>
  <c r="P79" i="245"/>
  <c r="P109" i="245" s="1"/>
  <c r="AE79" i="245"/>
  <c r="AE109" i="245" s="1"/>
  <c r="AF79" i="245"/>
  <c r="AF109" i="245" s="1"/>
  <c r="AG79" i="245"/>
  <c r="AG109" i="245" s="1"/>
  <c r="AH79" i="245"/>
  <c r="AH109" i="245" s="1"/>
  <c r="O79" i="245"/>
  <c r="O109" i="245" s="1"/>
  <c r="AI79" i="245"/>
  <c r="AI109" i="245" s="1"/>
  <c r="H79" i="245"/>
  <c r="H109" i="245" s="1"/>
  <c r="AJ79" i="245"/>
  <c r="AJ109" i="245" s="1"/>
  <c r="AS79" i="245"/>
  <c r="AS109" i="245" s="1"/>
  <c r="I79" i="245"/>
  <c r="I109" i="245" s="1"/>
  <c r="AK79" i="245"/>
  <c r="AK109" i="245" s="1"/>
  <c r="J79" i="245"/>
  <c r="J109" i="245" s="1"/>
  <c r="AL79" i="245"/>
  <c r="AL109" i="245" s="1"/>
  <c r="K79" i="245"/>
  <c r="K109" i="245" s="1"/>
  <c r="AM79" i="245"/>
  <c r="AM109" i="245" s="1"/>
  <c r="L79" i="245"/>
  <c r="L109" i="245" s="1"/>
  <c r="AN79" i="245"/>
  <c r="AN109" i="245" s="1"/>
  <c r="M79" i="245"/>
  <c r="M109" i="245" s="1"/>
  <c r="N79" i="245"/>
  <c r="N109" i="245" s="1"/>
  <c r="AP79" i="245"/>
  <c r="AP109" i="245" s="1"/>
  <c r="F110" i="245"/>
  <c r="G110" i="245"/>
  <c r="J34" i="245"/>
  <c r="F34" i="245"/>
  <c r="AI32" i="245"/>
  <c r="F32" i="245"/>
  <c r="AB31" i="245"/>
  <c r="F31" i="245"/>
  <c r="AH30" i="245"/>
  <c r="F30" i="245"/>
  <c r="X29" i="245"/>
  <c r="F29" i="245"/>
  <c r="AS28" i="245"/>
  <c r="F28" i="245"/>
  <c r="AJ14" i="245"/>
  <c r="F14" i="245"/>
  <c r="H13" i="245"/>
  <c r="F13" i="245"/>
  <c r="AN46" i="245"/>
  <c r="F46" i="245"/>
  <c r="AA42" i="245"/>
  <c r="F42" i="245"/>
  <c r="AC25" i="245"/>
  <c r="F25" i="245"/>
  <c r="AC36" i="245"/>
  <c r="F36" i="245"/>
  <c r="AM75" i="245"/>
  <c r="F75" i="245"/>
  <c r="AN23" i="245"/>
  <c r="F23" i="245"/>
  <c r="AL33" i="245"/>
  <c r="F33" i="245"/>
  <c r="AB19" i="245"/>
  <c r="F19" i="245"/>
  <c r="Z74" i="245"/>
  <c r="F74" i="245"/>
  <c r="AH37" i="245"/>
  <c r="F37" i="245"/>
  <c r="K73" i="245"/>
  <c r="F73" i="245"/>
  <c r="H24" i="245"/>
  <c r="F24" i="245"/>
  <c r="N22" i="245"/>
  <c r="F22" i="245"/>
  <c r="AL55" i="245"/>
  <c r="F55" i="245"/>
  <c r="H17" i="245"/>
  <c r="F17" i="245"/>
  <c r="K35" i="245"/>
  <c r="F35" i="245"/>
  <c r="G57" i="245"/>
  <c r="F57" i="245"/>
  <c r="AJ20" i="245"/>
  <c r="F20" i="245"/>
  <c r="K38" i="245"/>
  <c r="F38" i="245"/>
  <c r="J39" i="245"/>
  <c r="F39" i="245"/>
  <c r="U50" i="245"/>
  <c r="U51" i="245" s="1"/>
  <c r="AH18" i="245"/>
  <c r="AN16" i="245"/>
  <c r="L16" i="245"/>
  <c r="AS48" i="245"/>
  <c r="P40" i="245"/>
  <c r="AT47" i="245"/>
  <c r="L7" i="245"/>
  <c r="T7" i="245"/>
  <c r="AJ7" i="245"/>
  <c r="X7" i="245"/>
  <c r="S41" i="245"/>
  <c r="G30" i="245"/>
  <c r="G80" i="245"/>
  <c r="B112" i="245"/>
  <c r="D112" i="245" s="1"/>
  <c r="V112" i="245" s="1"/>
  <c r="G79" i="245"/>
  <c r="G109" i="245" s="1"/>
  <c r="P111" i="245"/>
  <c r="AR111" i="245"/>
  <c r="Q111" i="245"/>
  <c r="AS111" i="245"/>
  <c r="AT111" i="245"/>
  <c r="R111" i="245"/>
  <c r="S111" i="245"/>
  <c r="AU111" i="245"/>
  <c r="T111" i="245"/>
  <c r="U111" i="245"/>
  <c r="AA111" i="245"/>
  <c r="AB111" i="245"/>
  <c r="AC111" i="245"/>
  <c r="Z111" i="245"/>
  <c r="AD111" i="245"/>
  <c r="AE111" i="245"/>
  <c r="AF111" i="245"/>
  <c r="J111" i="245"/>
  <c r="AL111" i="245"/>
  <c r="O111" i="245"/>
  <c r="V111" i="245"/>
  <c r="Y111" i="245"/>
  <c r="AG111" i="245"/>
  <c r="AO111" i="245"/>
  <c r="N111" i="245"/>
  <c r="X111" i="245"/>
  <c r="AH111" i="245"/>
  <c r="AI111" i="245"/>
  <c r="AK111" i="245"/>
  <c r="AP111" i="245"/>
  <c r="H111" i="245"/>
  <c r="AJ111" i="245"/>
  <c r="W111" i="245"/>
  <c r="I111" i="245"/>
  <c r="K111" i="245"/>
  <c r="AM111" i="245"/>
  <c r="AN111" i="245"/>
  <c r="M111" i="245"/>
  <c r="AQ111" i="245"/>
  <c r="G111" i="245"/>
  <c r="L111" i="245"/>
  <c r="AB110" i="245"/>
  <c r="AC110" i="245"/>
  <c r="AD110" i="245"/>
  <c r="AG110" i="245"/>
  <c r="I110" i="245"/>
  <c r="J110" i="245"/>
  <c r="AE110" i="245"/>
  <c r="AF110" i="245"/>
  <c r="AL110" i="245"/>
  <c r="AK110" i="245"/>
  <c r="L110" i="245"/>
  <c r="AN110" i="245"/>
  <c r="M110" i="245"/>
  <c r="AO110" i="245"/>
  <c r="N110" i="245"/>
  <c r="AP110" i="245"/>
  <c r="O110" i="245"/>
  <c r="AQ110" i="245"/>
  <c r="AM110" i="245"/>
  <c r="P110" i="245"/>
  <c r="AR110" i="245"/>
  <c r="AU110" i="245"/>
  <c r="V110" i="245"/>
  <c r="Y110" i="245"/>
  <c r="AI110" i="245"/>
  <c r="AJ110" i="245"/>
  <c r="Q110" i="245"/>
  <c r="AS110" i="245"/>
  <c r="S110" i="245"/>
  <c r="R110" i="245"/>
  <c r="AT110" i="245"/>
  <c r="AH110" i="245"/>
  <c r="K110" i="245"/>
  <c r="T110" i="245"/>
  <c r="U110" i="245"/>
  <c r="W110" i="245"/>
  <c r="X110" i="245"/>
  <c r="Z110" i="245"/>
  <c r="AA110" i="245"/>
  <c r="H110" i="245"/>
  <c r="G84" i="245"/>
  <c r="G88" i="245" s="1"/>
  <c r="G45" i="245"/>
  <c r="G34" i="245"/>
  <c r="H26" i="245"/>
  <c r="H53" i="245"/>
  <c r="H21" i="245"/>
  <c r="L49" i="245"/>
  <c r="G15" i="245"/>
  <c r="AT55" i="245"/>
  <c r="I55" i="245"/>
  <c r="AU29" i="245"/>
  <c r="AN29" i="245"/>
  <c r="AM29" i="245"/>
  <c r="AF29" i="245"/>
  <c r="I29" i="245"/>
  <c r="AD49" i="245"/>
  <c r="AC15" i="245"/>
  <c r="V49" i="245"/>
  <c r="X15" i="245"/>
  <c r="U49" i="245"/>
  <c r="N49" i="245"/>
  <c r="M49" i="245"/>
  <c r="S46" i="245"/>
  <c r="L50" i="245"/>
  <c r="L51" i="245" s="1"/>
  <c r="AP36" i="245"/>
  <c r="AT15" i="245"/>
  <c r="R15" i="245"/>
  <c r="AJ36" i="245"/>
  <c r="AI36" i="245"/>
  <c r="AA36" i="245"/>
  <c r="AM43" i="245"/>
  <c r="Y36" i="245"/>
  <c r="AP15" i="245"/>
  <c r="AG43" i="245"/>
  <c r="U36" i="245"/>
  <c r="AN22" i="245"/>
  <c r="AR34" i="245"/>
  <c r="V17" i="245"/>
  <c r="J43" i="245"/>
  <c r="AQ34" i="245"/>
  <c r="AB8" i="245"/>
  <c r="AH34" i="245"/>
  <c r="P15" i="245"/>
  <c r="AR54" i="245"/>
  <c r="AC34" i="245"/>
  <c r="U54" i="245"/>
  <c r="S34" i="245"/>
  <c r="S54" i="245"/>
  <c r="O34" i="245"/>
  <c r="AT69" i="245"/>
  <c r="R69" i="245"/>
  <c r="I34" i="245"/>
  <c r="U30" i="245"/>
  <c r="P69" i="245"/>
  <c r="R30" i="245"/>
  <c r="H30" i="245"/>
  <c r="AT26" i="245"/>
  <c r="AO12" i="245"/>
  <c r="AK15" i="245"/>
  <c r="M40" i="245"/>
  <c r="T36" i="245"/>
  <c r="H34" i="245"/>
  <c r="AE29" i="245"/>
  <c r="AS26" i="245"/>
  <c r="AL22" i="245"/>
  <c r="AN12" i="245"/>
  <c r="Y8" i="245"/>
  <c r="AP41" i="245"/>
  <c r="L40" i="245"/>
  <c r="S36" i="245"/>
  <c r="AQ31" i="245"/>
  <c r="AC29" i="245"/>
  <c r="AR26" i="245"/>
  <c r="AK22" i="245"/>
  <c r="AK12" i="245"/>
  <c r="X8" i="245"/>
  <c r="AU40" i="245"/>
  <c r="K40" i="245"/>
  <c r="R36" i="245"/>
  <c r="AU30" i="245"/>
  <c r="AB29" i="245"/>
  <c r="AQ26" i="245"/>
  <c r="AG22" i="245"/>
  <c r="AJ12" i="245"/>
  <c r="V8" i="245"/>
  <c r="G40" i="245"/>
  <c r="O40" i="245"/>
  <c r="G26" i="245"/>
  <c r="AT40" i="245"/>
  <c r="J40" i="245"/>
  <c r="Q36" i="245"/>
  <c r="AR30" i="245"/>
  <c r="AA29" i="245"/>
  <c r="AN26" i="245"/>
  <c r="AF22" i="245"/>
  <c r="AF12" i="245"/>
  <c r="U8" i="245"/>
  <c r="G20" i="245"/>
  <c r="AS40" i="245"/>
  <c r="I40" i="245"/>
  <c r="P36" i="245"/>
  <c r="AM30" i="245"/>
  <c r="W29" i="245"/>
  <c r="AF26" i="245"/>
  <c r="AC22" i="245"/>
  <c r="AE12" i="245"/>
  <c r="T8" i="245"/>
  <c r="AF15" i="245"/>
  <c r="G16" i="245"/>
  <c r="AR40" i="245"/>
  <c r="H40" i="245"/>
  <c r="O36" i="245"/>
  <c r="AK30" i="245"/>
  <c r="V29" i="245"/>
  <c r="AE26" i="245"/>
  <c r="AB22" i="245"/>
  <c r="AD12" i="245"/>
  <c r="S8" i="245"/>
  <c r="AQ40" i="245"/>
  <c r="AO39" i="245"/>
  <c r="N36" i="245"/>
  <c r="AJ30" i="245"/>
  <c r="T29" i="245"/>
  <c r="AB26" i="245"/>
  <c r="X22" i="245"/>
  <c r="AB12" i="245"/>
  <c r="R8" i="245"/>
  <c r="W22" i="245"/>
  <c r="P8" i="245"/>
  <c r="AA26" i="245"/>
  <c r="AN55" i="245"/>
  <c r="AN40" i="245"/>
  <c r="AC37" i="245"/>
  <c r="K36" i="245"/>
  <c r="AC30" i="245"/>
  <c r="R29" i="245"/>
  <c r="Z26" i="245"/>
  <c r="V22" i="245"/>
  <c r="W12" i="245"/>
  <c r="I8" i="245"/>
  <c r="AO40" i="245"/>
  <c r="AH38" i="245"/>
  <c r="L36" i="245"/>
  <c r="AD30" i="245"/>
  <c r="S29" i="245"/>
  <c r="X12" i="245"/>
  <c r="J49" i="245"/>
  <c r="AB15" i="245"/>
  <c r="Z43" i="245"/>
  <c r="AM55" i="245"/>
  <c r="AM40" i="245"/>
  <c r="AU36" i="245"/>
  <c r="J36" i="245"/>
  <c r="Z30" i="245"/>
  <c r="Q29" i="245"/>
  <c r="Y26" i="245"/>
  <c r="T22" i="245"/>
  <c r="T12" i="245"/>
  <c r="H8" i="245"/>
  <c r="AL40" i="245"/>
  <c r="AT36" i="245"/>
  <c r="I36" i="245"/>
  <c r="Y30" i="245"/>
  <c r="P29" i="245"/>
  <c r="X26" i="245"/>
  <c r="P22" i="245"/>
  <c r="R12" i="245"/>
  <c r="AK40" i="245"/>
  <c r="AS36" i="245"/>
  <c r="H36" i="245"/>
  <c r="X30" i="245"/>
  <c r="N29" i="245"/>
  <c r="V26" i="245"/>
  <c r="O22" i="245"/>
  <c r="Q12" i="245"/>
  <c r="L43" i="245"/>
  <c r="AJ40" i="245"/>
  <c r="AR36" i="245"/>
  <c r="AT34" i="245"/>
  <c r="W30" i="245"/>
  <c r="J29" i="245"/>
  <c r="U26" i="245"/>
  <c r="L22" i="245"/>
  <c r="P12" i="245"/>
  <c r="AI40" i="245"/>
  <c r="T26" i="245"/>
  <c r="J22" i="245"/>
  <c r="O12" i="245"/>
  <c r="AF40" i="245"/>
  <c r="AO36" i="245"/>
  <c r="V28" i="245"/>
  <c r="P26" i="245"/>
  <c r="I22" i="245"/>
  <c r="L12" i="245"/>
  <c r="V15" i="245"/>
  <c r="O50" i="245"/>
  <c r="O51" i="245" s="1"/>
  <c r="AE40" i="245"/>
  <c r="AN36" i="245"/>
  <c r="AN34" i="245"/>
  <c r="Q30" i="245"/>
  <c r="O26" i="245"/>
  <c r="H22" i="245"/>
  <c r="K12" i="245"/>
  <c r="U15" i="245"/>
  <c r="AM49" i="245"/>
  <c r="AD40" i="245"/>
  <c r="AM36" i="245"/>
  <c r="AM34" i="245"/>
  <c r="L30" i="245"/>
  <c r="L26" i="245"/>
  <c r="AK20" i="245"/>
  <c r="I12" i="245"/>
  <c r="T15" i="245"/>
  <c r="AJ49" i="245"/>
  <c r="AC40" i="245"/>
  <c r="AL36" i="245"/>
  <c r="AI34" i="245"/>
  <c r="J30" i="245"/>
  <c r="K26" i="245"/>
  <c r="V9" i="245"/>
  <c r="AB40" i="245"/>
  <c r="I26" i="245"/>
  <c r="AT8" i="245"/>
  <c r="Z40" i="245"/>
  <c r="AN15" i="245"/>
  <c r="AS8" i="245"/>
  <c r="AS15" i="245"/>
  <c r="AM45" i="245"/>
  <c r="Y40" i="245"/>
  <c r="AE36" i="245"/>
  <c r="AB34" i="245"/>
  <c r="AT29" i="245"/>
  <c r="K25" i="245"/>
  <c r="AI15" i="245"/>
  <c r="AO8" i="245"/>
  <c r="AJ53" i="245"/>
  <c r="X40" i="245"/>
  <c r="AD36" i="245"/>
  <c r="AA34" i="245"/>
  <c r="AR29" i="245"/>
  <c r="AH23" i="245"/>
  <c r="S15" i="245"/>
  <c r="AN8" i="245"/>
  <c r="V40" i="245"/>
  <c r="AT22" i="245"/>
  <c r="L15" i="245"/>
  <c r="AM8" i="245"/>
  <c r="AS22" i="245"/>
  <c r="J15" i="245"/>
  <c r="AK8" i="245"/>
  <c r="U40" i="245"/>
  <c r="AO15" i="245"/>
  <c r="K53" i="245"/>
  <c r="V48" i="245"/>
  <c r="R40" i="245"/>
  <c r="X36" i="245"/>
  <c r="N34" i="245"/>
  <c r="AJ29" i="245"/>
  <c r="AR22" i="245"/>
  <c r="AJ13" i="245"/>
  <c r="AJ8" i="245"/>
  <c r="G46" i="245"/>
  <c r="W47" i="245"/>
  <c r="Q40" i="245"/>
  <c r="W36" i="245"/>
  <c r="L34" i="245"/>
  <c r="AI29" i="245"/>
  <c r="AQ22" i="245"/>
  <c r="AT12" i="245"/>
  <c r="AG8" i="245"/>
  <c r="G43" i="245"/>
  <c r="G42" i="245"/>
  <c r="R47" i="245"/>
  <c r="V36" i="245"/>
  <c r="AG29" i="245"/>
  <c r="AP22" i="245"/>
  <c r="AF8" i="245"/>
  <c r="U56" i="245"/>
  <c r="V56" i="245"/>
  <c r="W56" i="245"/>
  <c r="X56" i="245"/>
  <c r="Y56" i="245"/>
  <c r="AI56" i="245"/>
  <c r="H56" i="245"/>
  <c r="AJ56" i="245"/>
  <c r="I56" i="245"/>
  <c r="AK56" i="245"/>
  <c r="J56" i="245"/>
  <c r="AL56" i="245"/>
  <c r="K56" i="245"/>
  <c r="AM56" i="245"/>
  <c r="L56" i="245"/>
  <c r="AN56" i="245"/>
  <c r="M56" i="245"/>
  <c r="AO56" i="245"/>
  <c r="N56" i="245"/>
  <c r="AP56" i="245"/>
  <c r="R56" i="245"/>
  <c r="AT56" i="245"/>
  <c r="AQ56" i="245"/>
  <c r="AR56" i="245"/>
  <c r="AS56" i="245"/>
  <c r="AU56" i="245"/>
  <c r="O56" i="245"/>
  <c r="P56" i="245"/>
  <c r="Q56" i="245"/>
  <c r="S56" i="245"/>
  <c r="G56" i="245"/>
  <c r="T56" i="245"/>
  <c r="Z56" i="245"/>
  <c r="AA56" i="245"/>
  <c r="AB56" i="245"/>
  <c r="AC56" i="245"/>
  <c r="AD56" i="245"/>
  <c r="AE56" i="245"/>
  <c r="AF56" i="245"/>
  <c r="AG56" i="245"/>
  <c r="I19" i="245"/>
  <c r="AC7" i="245"/>
  <c r="M55" i="245"/>
  <c r="AO55" i="245"/>
  <c r="P55" i="245"/>
  <c r="AR55" i="245"/>
  <c r="AA55" i="245"/>
  <c r="AB55" i="245"/>
  <c r="AE55" i="245"/>
  <c r="AF55" i="245"/>
  <c r="AI55" i="245"/>
  <c r="AS55" i="245"/>
  <c r="H55" i="245"/>
  <c r="S50" i="245"/>
  <c r="S51" i="245" s="1"/>
  <c r="T48" i="245"/>
  <c r="V47" i="245"/>
  <c r="Q46" i="245"/>
  <c r="AO41" i="245"/>
  <c r="AN39" i="245"/>
  <c r="AG38" i="245"/>
  <c r="AB37" i="245"/>
  <c r="V35" i="245"/>
  <c r="I33" i="245"/>
  <c r="AP31" i="245"/>
  <c r="Q28" i="245"/>
  <c r="J25" i="245"/>
  <c r="AG23" i="245"/>
  <c r="AR18" i="245"/>
  <c r="S17" i="245"/>
  <c r="AG13" i="245"/>
  <c r="T9" i="245"/>
  <c r="U7" i="245"/>
  <c r="V34" i="245"/>
  <c r="AD34" i="245"/>
  <c r="AG34" i="245"/>
  <c r="AJ34" i="245"/>
  <c r="AK34" i="245"/>
  <c r="K34" i="245"/>
  <c r="AO34" i="245"/>
  <c r="Q34" i="245"/>
  <c r="AU34" i="245"/>
  <c r="R34" i="245"/>
  <c r="U34" i="245"/>
  <c r="W34" i="245"/>
  <c r="X34" i="245"/>
  <c r="Z34" i="245"/>
  <c r="AI20" i="245"/>
  <c r="U20" i="245"/>
  <c r="V20" i="245"/>
  <c r="W20" i="245"/>
  <c r="Z20" i="245"/>
  <c r="AD20" i="245"/>
  <c r="AM20" i="245"/>
  <c r="H20" i="245"/>
  <c r="AP20" i="245"/>
  <c r="I20" i="245"/>
  <c r="AQ20" i="245"/>
  <c r="K20" i="245"/>
  <c r="AS20" i="245"/>
  <c r="M20" i="245"/>
  <c r="AU20" i="245"/>
  <c r="O20" i="245"/>
  <c r="S20" i="245"/>
  <c r="X20" i="245"/>
  <c r="T20" i="245"/>
  <c r="AA20" i="245"/>
  <c r="AB20" i="245"/>
  <c r="AC20" i="245"/>
  <c r="AF20" i="245"/>
  <c r="AF53" i="245"/>
  <c r="AQ55" i="245"/>
  <c r="R50" i="245"/>
  <c r="R51" i="245" s="1"/>
  <c r="R49" i="245"/>
  <c r="S48" i="245"/>
  <c r="U47" i="245"/>
  <c r="P46" i="245"/>
  <c r="AU42" i="245"/>
  <c r="AL41" i="245"/>
  <c r="AM39" i="245"/>
  <c r="AE38" i="245"/>
  <c r="Z37" i="245"/>
  <c r="U35" i="245"/>
  <c r="M34" i="245"/>
  <c r="H33" i="245"/>
  <c r="AN31" i="245"/>
  <c r="P28" i="245"/>
  <c r="H25" i="245"/>
  <c r="AF23" i="245"/>
  <c r="AH20" i="245"/>
  <c r="AQ18" i="245"/>
  <c r="R17" i="245"/>
  <c r="AF13" i="245"/>
  <c r="AR11" i="245"/>
  <c r="O9" i="245"/>
  <c r="AT54" i="245"/>
  <c r="W53" i="245"/>
  <c r="AP55" i="245"/>
  <c r="P50" i="245"/>
  <c r="P51" i="245" s="1"/>
  <c r="Q49" i="245"/>
  <c r="R48" i="245"/>
  <c r="T47" i="245"/>
  <c r="O46" i="245"/>
  <c r="AS42" i="245"/>
  <c r="AK41" i="245"/>
  <c r="AL39" i="245"/>
  <c r="AC38" i="245"/>
  <c r="U37" i="245"/>
  <c r="T35" i="245"/>
  <c r="AU32" i="245"/>
  <c r="AM31" i="245"/>
  <c r="M28" i="245"/>
  <c r="AR24" i="245"/>
  <c r="AC23" i="245"/>
  <c r="AG20" i="245"/>
  <c r="AP18" i="245"/>
  <c r="P17" i="245"/>
  <c r="AE13" i="245"/>
  <c r="AQ11" i="245"/>
  <c r="N9" i="245"/>
  <c r="Q48" i="245"/>
  <c r="N46" i="245"/>
  <c r="AQ42" i="245"/>
  <c r="AJ41" i="245"/>
  <c r="AJ39" i="245"/>
  <c r="AB38" i="245"/>
  <c r="T37" i="245"/>
  <c r="S35" i="245"/>
  <c r="AR32" i="245"/>
  <c r="AK31" i="245"/>
  <c r="L28" i="245"/>
  <c r="AP24" i="245"/>
  <c r="AB23" i="245"/>
  <c r="AE20" i="245"/>
  <c r="AO18" i="245"/>
  <c r="N17" i="245"/>
  <c r="AC13" i="245"/>
  <c r="AO11" i="245"/>
  <c r="M9" i="245"/>
  <c r="G41" i="245"/>
  <c r="N50" i="245"/>
  <c r="N51" i="245" s="1"/>
  <c r="O48" i="245"/>
  <c r="Q47" i="245"/>
  <c r="L46" i="245"/>
  <c r="AP42" i="245"/>
  <c r="AI41" i="245"/>
  <c r="AF39" i="245"/>
  <c r="Y38" i="245"/>
  <c r="Q37" i="245"/>
  <c r="Q35" i="245"/>
  <c r="AN32" i="245"/>
  <c r="AH31" i="245"/>
  <c r="H28" i="245"/>
  <c r="AM24" i="245"/>
  <c r="Y23" i="245"/>
  <c r="Y20" i="245"/>
  <c r="AN18" i="245"/>
  <c r="M17" i="245"/>
  <c r="AB13" i="245"/>
  <c r="AN11" i="245"/>
  <c r="L9" i="245"/>
  <c r="AN75" i="245"/>
  <c r="M50" i="245"/>
  <c r="M51" i="245" s="1"/>
  <c r="N48" i="245"/>
  <c r="M47" i="245"/>
  <c r="K46" i="245"/>
  <c r="AO42" i="245"/>
  <c r="AH41" i="245"/>
  <c r="AE39" i="245"/>
  <c r="X38" i="245"/>
  <c r="P37" i="245"/>
  <c r="O35" i="245"/>
  <c r="AM32" i="245"/>
  <c r="AG31" i="245"/>
  <c r="AK24" i="245"/>
  <c r="X23" i="245"/>
  <c r="R20" i="245"/>
  <c r="AL18" i="245"/>
  <c r="L17" i="245"/>
  <c r="R13" i="245"/>
  <c r="AM11" i="245"/>
  <c r="AL54" i="245"/>
  <c r="J53" i="245"/>
  <c r="G39" i="245"/>
  <c r="AK55" i="245"/>
  <c r="K49" i="245"/>
  <c r="L48" i="245"/>
  <c r="L47" i="245"/>
  <c r="J46" i="245"/>
  <c r="AN42" i="245"/>
  <c r="AF41" i="245"/>
  <c r="AB39" i="245"/>
  <c r="V38" i="245"/>
  <c r="O37" i="245"/>
  <c r="AS33" i="245"/>
  <c r="AJ32" i="245"/>
  <c r="AE31" i="245"/>
  <c r="AJ24" i="245"/>
  <c r="W23" i="245"/>
  <c r="AU21" i="245"/>
  <c r="Q20" i="245"/>
  <c r="K17" i="245"/>
  <c r="L13" i="245"/>
  <c r="AL11" i="245"/>
  <c r="AA74" i="245"/>
  <c r="J35" i="245"/>
  <c r="AL35" i="245"/>
  <c r="R35" i="245"/>
  <c r="AT35" i="245"/>
  <c r="W35" i="245"/>
  <c r="Z35" i="245"/>
  <c r="AA35" i="245"/>
  <c r="AE35" i="245"/>
  <c r="AK35" i="245"/>
  <c r="H35" i="245"/>
  <c r="AM35" i="245"/>
  <c r="L35" i="245"/>
  <c r="AP35" i="245"/>
  <c r="M35" i="245"/>
  <c r="AQ35" i="245"/>
  <c r="N35" i="245"/>
  <c r="AR35" i="245"/>
  <c r="P35" i="245"/>
  <c r="AU35" i="245"/>
  <c r="AE18" i="245"/>
  <c r="Q18" i="245"/>
  <c r="AS18" i="245"/>
  <c r="R18" i="245"/>
  <c r="AT18" i="245"/>
  <c r="S18" i="245"/>
  <c r="AU18" i="245"/>
  <c r="V18" i="245"/>
  <c r="Z18" i="245"/>
  <c r="K18" i="245"/>
  <c r="N18" i="245"/>
  <c r="O18" i="245"/>
  <c r="T18" i="245"/>
  <c r="W18" i="245"/>
  <c r="Y18" i="245"/>
  <c r="AD18" i="245"/>
  <c r="AG18" i="245"/>
  <c r="AF18" i="245"/>
  <c r="AI18" i="245"/>
  <c r="AJ18" i="245"/>
  <c r="AK18" i="245"/>
  <c r="AM18" i="245"/>
  <c r="Q50" i="245"/>
  <c r="Q51" i="245" s="1"/>
  <c r="AS50" i="245"/>
  <c r="AS51" i="245" s="1"/>
  <c r="T50" i="245"/>
  <c r="T51" i="245" s="1"/>
  <c r="Y50" i="245"/>
  <c r="Y51" i="245" s="1"/>
  <c r="AE50" i="245"/>
  <c r="AE51" i="245" s="1"/>
  <c r="AF50" i="245"/>
  <c r="AF51" i="245" s="1"/>
  <c r="G50" i="245"/>
  <c r="G51" i="245" s="1"/>
  <c r="AI50" i="245"/>
  <c r="AI51" i="245" s="1"/>
  <c r="H50" i="245"/>
  <c r="H51" i="245" s="1"/>
  <c r="AJ50" i="245"/>
  <c r="AJ51" i="245" s="1"/>
  <c r="K50" i="245"/>
  <c r="K51" i="245" s="1"/>
  <c r="AM50" i="245"/>
  <c r="AM51" i="245" s="1"/>
  <c r="AP43" i="245"/>
  <c r="I53" i="245"/>
  <c r="G37" i="245"/>
  <c r="AJ55" i="245"/>
  <c r="J50" i="245"/>
  <c r="J51" i="245" s="1"/>
  <c r="K48" i="245"/>
  <c r="I47" i="245"/>
  <c r="I46" i="245"/>
  <c r="AM42" i="245"/>
  <c r="AE41" i="245"/>
  <c r="AA39" i="245"/>
  <c r="U38" i="245"/>
  <c r="M37" i="245"/>
  <c r="I35" i="245"/>
  <c r="AR33" i="245"/>
  <c r="AC31" i="245"/>
  <c r="AI24" i="245"/>
  <c r="U23" i="245"/>
  <c r="AR21" i="245"/>
  <c r="P20" i="245"/>
  <c r="AC18" i="245"/>
  <c r="J13" i="245"/>
  <c r="AK11" i="245"/>
  <c r="R32" i="245"/>
  <c r="AT32" i="245"/>
  <c r="Z32" i="245"/>
  <c r="V32" i="245"/>
  <c r="Y32" i="245"/>
  <c r="AA32" i="245"/>
  <c r="AE32" i="245"/>
  <c r="AK32" i="245"/>
  <c r="H32" i="245"/>
  <c r="AL32" i="245"/>
  <c r="K32" i="245"/>
  <c r="AO32" i="245"/>
  <c r="L32" i="245"/>
  <c r="AP32" i="245"/>
  <c r="M32" i="245"/>
  <c r="AQ32" i="245"/>
  <c r="O32" i="245"/>
  <c r="AS32" i="245"/>
  <c r="AA54" i="245"/>
  <c r="AB54" i="245"/>
  <c r="AI54" i="245"/>
  <c r="AJ54" i="245"/>
  <c r="AP54" i="245"/>
  <c r="J72" i="245"/>
  <c r="AL72" i="245"/>
  <c r="K72" i="245"/>
  <c r="AM72" i="245"/>
  <c r="L72" i="245"/>
  <c r="AN72" i="245"/>
  <c r="M72" i="245"/>
  <c r="AO72" i="245"/>
  <c r="N72" i="245"/>
  <c r="AP72" i="245"/>
  <c r="X72" i="245"/>
  <c r="Y72" i="245"/>
  <c r="Z72" i="245"/>
  <c r="AA72" i="245"/>
  <c r="AB72" i="245"/>
  <c r="AC72" i="245"/>
  <c r="AD72" i="245"/>
  <c r="AE72" i="245"/>
  <c r="AI72" i="245"/>
  <c r="H72" i="245"/>
  <c r="I72" i="245"/>
  <c r="O72" i="245"/>
  <c r="P72" i="245"/>
  <c r="Q72" i="245"/>
  <c r="R72" i="245"/>
  <c r="S72" i="245"/>
  <c r="T72" i="245"/>
  <c r="U72" i="245"/>
  <c r="V72" i="245"/>
  <c r="W72" i="245"/>
  <c r="G72" i="245"/>
  <c r="AF72" i="245"/>
  <c r="AG72" i="245"/>
  <c r="AH72" i="245"/>
  <c r="AJ72" i="245"/>
  <c r="AK72" i="245"/>
  <c r="AQ72" i="245"/>
  <c r="AR72" i="245"/>
  <c r="AS72" i="245"/>
  <c r="AT72" i="245"/>
  <c r="AU72" i="245"/>
  <c r="AC49" i="245"/>
  <c r="AF49" i="245"/>
  <c r="I49" i="245"/>
  <c r="AK49" i="245"/>
  <c r="O49" i="245"/>
  <c r="AQ49" i="245"/>
  <c r="G49" i="245"/>
  <c r="P49" i="245"/>
  <c r="AR49" i="245"/>
  <c r="S49" i="245"/>
  <c r="AU49" i="245"/>
  <c r="T49" i="245"/>
  <c r="W49" i="245"/>
  <c r="AH55" i="245"/>
  <c r="H49" i="245"/>
  <c r="Y39" i="245"/>
  <c r="T38" i="245"/>
  <c r="L37" i="245"/>
  <c r="AO33" i="245"/>
  <c r="AH32" i="245"/>
  <c r="AG24" i="245"/>
  <c r="T23" i="245"/>
  <c r="AO21" i="245"/>
  <c r="N20" i="245"/>
  <c r="AB18" i="245"/>
  <c r="Q11" i="245"/>
  <c r="J33" i="245"/>
  <c r="W52" i="245"/>
  <c r="P52" i="245"/>
  <c r="N74" i="245"/>
  <c r="AP74" i="245"/>
  <c r="O74" i="245"/>
  <c r="AQ74" i="245"/>
  <c r="P74" i="245"/>
  <c r="AR74" i="245"/>
  <c r="Q74" i="245"/>
  <c r="AS74" i="245"/>
  <c r="R74" i="245"/>
  <c r="AT74" i="245"/>
  <c r="AB74" i="245"/>
  <c r="AC74" i="245"/>
  <c r="AD74" i="245"/>
  <c r="AE74" i="245"/>
  <c r="AF74" i="245"/>
  <c r="AG74" i="245"/>
  <c r="AH74" i="245"/>
  <c r="AI74" i="245"/>
  <c r="K74" i="245"/>
  <c r="AM74" i="245"/>
  <c r="AJ74" i="245"/>
  <c r="AK74" i="245"/>
  <c r="AL74" i="245"/>
  <c r="AN74" i="245"/>
  <c r="AO74" i="245"/>
  <c r="AU74" i="245"/>
  <c r="H74" i="245"/>
  <c r="I74" i="245"/>
  <c r="G74" i="245"/>
  <c r="J74" i="245"/>
  <c r="L74" i="245"/>
  <c r="M74" i="245"/>
  <c r="S74" i="245"/>
  <c r="T74" i="245"/>
  <c r="U74" i="245"/>
  <c r="V74" i="245"/>
  <c r="W74" i="245"/>
  <c r="X74" i="245"/>
  <c r="Y74" i="245"/>
  <c r="T53" i="245"/>
  <c r="V53" i="245"/>
  <c r="AK53" i="245"/>
  <c r="Z73" i="245"/>
  <c r="AA73" i="245"/>
  <c r="AB73" i="245"/>
  <c r="AC73" i="245"/>
  <c r="AD73" i="245"/>
  <c r="L73" i="245"/>
  <c r="AN73" i="245"/>
  <c r="M73" i="245"/>
  <c r="AO73" i="245"/>
  <c r="N73" i="245"/>
  <c r="AP73" i="245"/>
  <c r="O73" i="245"/>
  <c r="AQ73" i="245"/>
  <c r="P73" i="245"/>
  <c r="AR73" i="245"/>
  <c r="Q73" i="245"/>
  <c r="AS73" i="245"/>
  <c r="R73" i="245"/>
  <c r="AT73" i="245"/>
  <c r="S73" i="245"/>
  <c r="AU73" i="245"/>
  <c r="W73" i="245"/>
  <c r="T73" i="245"/>
  <c r="U73" i="245"/>
  <c r="V73" i="245"/>
  <c r="X73" i="245"/>
  <c r="Y73" i="245"/>
  <c r="AE73" i="245"/>
  <c r="AF73" i="245"/>
  <c r="AG73" i="245"/>
  <c r="AH73" i="245"/>
  <c r="AI73" i="245"/>
  <c r="AJ73" i="245"/>
  <c r="AK73" i="245"/>
  <c r="AL73" i="245"/>
  <c r="AM73" i="245"/>
  <c r="G73" i="245"/>
  <c r="H73" i="245"/>
  <c r="I73" i="245"/>
  <c r="AD31" i="245"/>
  <c r="J31" i="245"/>
  <c r="AL31" i="245"/>
  <c r="AF31" i="245"/>
  <c r="AI31" i="245"/>
  <c r="AJ31" i="245"/>
  <c r="K31" i="245"/>
  <c r="AO31" i="245"/>
  <c r="Q31" i="245"/>
  <c r="AU31" i="245"/>
  <c r="R31" i="245"/>
  <c r="U31" i="245"/>
  <c r="V31" i="245"/>
  <c r="W31" i="245"/>
  <c r="Y31" i="245"/>
  <c r="O17" i="245"/>
  <c r="AQ17" i="245"/>
  <c r="AC17" i="245"/>
  <c r="AD17" i="245"/>
  <c r="AE17" i="245"/>
  <c r="AH17" i="245"/>
  <c r="J17" i="245"/>
  <c r="AL17" i="245"/>
  <c r="Q17" i="245"/>
  <c r="T17" i="245"/>
  <c r="U17" i="245"/>
  <c r="W17" i="245"/>
  <c r="Y17" i="245"/>
  <c r="AA17" i="245"/>
  <c r="AI17" i="245"/>
  <c r="AK17" i="245"/>
  <c r="AJ17" i="245"/>
  <c r="AN17" i="245"/>
  <c r="AO17" i="245"/>
  <c r="AP17" i="245"/>
  <c r="I17" i="245"/>
  <c r="AS17" i="245"/>
  <c r="I43" i="245"/>
  <c r="AR43" i="245"/>
  <c r="AD43" i="245"/>
  <c r="AE43" i="245"/>
  <c r="AH43" i="245"/>
  <c r="AI43" i="245"/>
  <c r="AL43" i="245"/>
  <c r="V71" i="245"/>
  <c r="W71" i="245"/>
  <c r="X71" i="245"/>
  <c r="Y71" i="245"/>
  <c r="Z71" i="245"/>
  <c r="H71" i="245"/>
  <c r="AJ71" i="245"/>
  <c r="I71" i="245"/>
  <c r="AK71" i="245"/>
  <c r="J71" i="245"/>
  <c r="AL71" i="245"/>
  <c r="K71" i="245"/>
  <c r="AM71" i="245"/>
  <c r="L71" i="245"/>
  <c r="AN71" i="245"/>
  <c r="M71" i="245"/>
  <c r="AO71" i="245"/>
  <c r="N71" i="245"/>
  <c r="AP71" i="245"/>
  <c r="O71" i="245"/>
  <c r="AQ71" i="245"/>
  <c r="S71" i="245"/>
  <c r="AU71" i="245"/>
  <c r="AR71" i="245"/>
  <c r="AS71" i="245"/>
  <c r="AT71" i="245"/>
  <c r="G71" i="245"/>
  <c r="P71" i="245"/>
  <c r="Q71" i="245"/>
  <c r="R71" i="245"/>
  <c r="T71" i="245"/>
  <c r="U71" i="245"/>
  <c r="AA71" i="245"/>
  <c r="AB71" i="245"/>
  <c r="AC71" i="245"/>
  <c r="AD71" i="245"/>
  <c r="AE71" i="245"/>
  <c r="AF71" i="245"/>
  <c r="AG71" i="245"/>
  <c r="AG54" i="245"/>
  <c r="AU50" i="245"/>
  <c r="AU51" i="245" s="1"/>
  <c r="I50" i="245"/>
  <c r="I51" i="245" s="1"/>
  <c r="J48" i="245"/>
  <c r="H47" i="245"/>
  <c r="AJ42" i="245"/>
  <c r="AC41" i="245"/>
  <c r="G44" i="245"/>
  <c r="AL45" i="245"/>
  <c r="N30" i="245"/>
  <c r="AP30" i="245"/>
  <c r="V30" i="245"/>
  <c r="K30" i="245"/>
  <c r="AO30" i="245"/>
  <c r="O30" i="245"/>
  <c r="AS30" i="245"/>
  <c r="P30" i="245"/>
  <c r="AT30" i="245"/>
  <c r="T30" i="245"/>
  <c r="AA30" i="245"/>
  <c r="AB30" i="245"/>
  <c r="AE30" i="245"/>
  <c r="AF30" i="245"/>
  <c r="AG30" i="245"/>
  <c r="AI30" i="245"/>
  <c r="AA16" i="245"/>
  <c r="M16" i="245"/>
  <c r="AO16" i="245"/>
  <c r="N16" i="245"/>
  <c r="AP16" i="245"/>
  <c r="O16" i="245"/>
  <c r="AQ16" i="245"/>
  <c r="R16" i="245"/>
  <c r="AT16" i="245"/>
  <c r="V16" i="245"/>
  <c r="U16" i="245"/>
  <c r="Y16" i="245"/>
  <c r="Z16" i="245"/>
  <c r="AC16" i="245"/>
  <c r="AE16" i="245"/>
  <c r="AG16" i="245"/>
  <c r="AK16" i="245"/>
  <c r="AM16" i="245"/>
  <c r="AL16" i="245"/>
  <c r="AR16" i="245"/>
  <c r="H16" i="245"/>
  <c r="AS16" i="245"/>
  <c r="I16" i="245"/>
  <c r="AU16" i="245"/>
  <c r="K16" i="245"/>
  <c r="AH70" i="245"/>
  <c r="AI70" i="245"/>
  <c r="H70" i="245"/>
  <c r="AJ70" i="245"/>
  <c r="G70" i="245"/>
  <c r="I70" i="245"/>
  <c r="AK70" i="245"/>
  <c r="J70" i="245"/>
  <c r="AL70" i="245"/>
  <c r="T70" i="245"/>
  <c r="U70" i="245"/>
  <c r="V70" i="245"/>
  <c r="W70" i="245"/>
  <c r="X70" i="245"/>
  <c r="Y70" i="245"/>
  <c r="Z70" i="245"/>
  <c r="AA70" i="245"/>
  <c r="AE70" i="245"/>
  <c r="AB70" i="245"/>
  <c r="AC70" i="245"/>
  <c r="AD70" i="245"/>
  <c r="AF70" i="245"/>
  <c r="AG70" i="245"/>
  <c r="AM70" i="245"/>
  <c r="AN70" i="245"/>
  <c r="AO70" i="245"/>
  <c r="AP70" i="245"/>
  <c r="AQ70" i="245"/>
  <c r="AR70" i="245"/>
  <c r="AS70" i="245"/>
  <c r="AT70" i="245"/>
  <c r="AU70" i="245"/>
  <c r="K70" i="245"/>
  <c r="L70" i="245"/>
  <c r="M70" i="245"/>
  <c r="N70" i="245"/>
  <c r="O70" i="245"/>
  <c r="P70" i="245"/>
  <c r="Q70" i="245"/>
  <c r="AN43" i="245"/>
  <c r="AT52" i="245"/>
  <c r="AG55" i="245"/>
  <c r="AH54" i="245"/>
  <c r="AT50" i="245"/>
  <c r="AT51" i="245" s="1"/>
  <c r="AT49" i="245"/>
  <c r="AU48" i="245"/>
  <c r="I48" i="245"/>
  <c r="AU46" i="245"/>
  <c r="AO43" i="245"/>
  <c r="AF42" i="245"/>
  <c r="Z41" i="245"/>
  <c r="X39" i="245"/>
  <c r="S38" i="245"/>
  <c r="J37" i="245"/>
  <c r="AS34" i="245"/>
  <c r="AN33" i="245"/>
  <c r="AG32" i="245"/>
  <c r="AA31" i="245"/>
  <c r="S30" i="245"/>
  <c r="AB24" i="245"/>
  <c r="Q23" i="245"/>
  <c r="AI21" i="245"/>
  <c r="L20" i="245"/>
  <c r="AA18" i="245"/>
  <c r="AJ16" i="245"/>
  <c r="M11" i="245"/>
  <c r="J73" i="245"/>
  <c r="AF69" i="245"/>
  <c r="AU69" i="245"/>
  <c r="G69" i="245"/>
  <c r="V69" i="245"/>
  <c r="W69" i="245"/>
  <c r="X69" i="245"/>
  <c r="Y69" i="245"/>
  <c r="Z69" i="245"/>
  <c r="AA69" i="245"/>
  <c r="AB69" i="245"/>
  <c r="AC69" i="245"/>
  <c r="AH69" i="245"/>
  <c r="H69" i="245"/>
  <c r="M69" i="245"/>
  <c r="S69" i="245"/>
  <c r="U69" i="245"/>
  <c r="AD69" i="245"/>
  <c r="AE69" i="245"/>
  <c r="AG69" i="245"/>
  <c r="AJ69" i="245"/>
  <c r="AO69" i="245"/>
  <c r="AS52" i="245"/>
  <c r="G33" i="245"/>
  <c r="AD55" i="245"/>
  <c r="AR50" i="245"/>
  <c r="AR51" i="245" s="1"/>
  <c r="AS49" i="245"/>
  <c r="AT48" i="245"/>
  <c r="H48" i="245"/>
  <c r="AS46" i="245"/>
  <c r="AE42" i="245"/>
  <c r="Y41" i="245"/>
  <c r="W39" i="245"/>
  <c r="R38" i="245"/>
  <c r="I37" i="245"/>
  <c r="AM33" i="245"/>
  <c r="AF32" i="245"/>
  <c r="Z31" i="245"/>
  <c r="AR25" i="245"/>
  <c r="AA24" i="245"/>
  <c r="J23" i="245"/>
  <c r="AH21" i="245"/>
  <c r="J20" i="245"/>
  <c r="X18" i="245"/>
  <c r="AI16" i="245"/>
  <c r="AR14" i="245"/>
  <c r="J11" i="245"/>
  <c r="AI71" i="245"/>
  <c r="X35" i="245"/>
  <c r="AE75" i="245"/>
  <c r="AF75" i="245"/>
  <c r="P75" i="245"/>
  <c r="Q75" i="245"/>
  <c r="AS75" i="245"/>
  <c r="R75" i="245"/>
  <c r="AT75" i="245"/>
  <c r="S75" i="245"/>
  <c r="AU75" i="245"/>
  <c r="T75" i="245"/>
  <c r="U75" i="245"/>
  <c r="V75" i="245"/>
  <c r="W75" i="245"/>
  <c r="AA75" i="245"/>
  <c r="AO75" i="245"/>
  <c r="AP75" i="245"/>
  <c r="AQ75" i="245"/>
  <c r="AR75" i="245"/>
  <c r="H75" i="245"/>
  <c r="I75" i="245"/>
  <c r="J75" i="245"/>
  <c r="K75" i="245"/>
  <c r="L75" i="245"/>
  <c r="M75" i="245"/>
  <c r="N75" i="245"/>
  <c r="O75" i="245"/>
  <c r="X75" i="245"/>
  <c r="Y75" i="245"/>
  <c r="Z75" i="245"/>
  <c r="G75" i="245"/>
  <c r="AB75" i="245"/>
  <c r="AC75" i="245"/>
  <c r="AD75" i="245"/>
  <c r="AG75" i="245"/>
  <c r="AH75" i="245"/>
  <c r="AI75" i="245"/>
  <c r="AJ75" i="245"/>
  <c r="AK75" i="245"/>
  <c r="AL75" i="245"/>
  <c r="AL68" i="245"/>
  <c r="AF68" i="245"/>
  <c r="AH68" i="245"/>
  <c r="AI68" i="245"/>
  <c r="AJ68" i="245"/>
  <c r="AK68" i="245"/>
  <c r="H68" i="245"/>
  <c r="I68" i="245"/>
  <c r="J68" i="245"/>
  <c r="Y68" i="245"/>
  <c r="K68" i="245"/>
  <c r="L68" i="245"/>
  <c r="M68" i="245"/>
  <c r="Z68" i="245"/>
  <c r="AD68" i="245"/>
  <c r="AN68" i="245"/>
  <c r="AO68" i="245"/>
  <c r="AP68" i="245"/>
  <c r="AT68" i="245"/>
  <c r="AK43" i="245"/>
  <c r="AR52" i="245"/>
  <c r="G32" i="245"/>
  <c r="AC55" i="245"/>
  <c r="AQ50" i="245"/>
  <c r="AQ51" i="245" s="1"/>
  <c r="AP49" i="245"/>
  <c r="AR46" i="245"/>
  <c r="AB42" i="245"/>
  <c r="W41" i="245"/>
  <c r="U39" i="245"/>
  <c r="P38" i="245"/>
  <c r="H37" i="245"/>
  <c r="AD32" i="245"/>
  <c r="X31" i="245"/>
  <c r="AP25" i="245"/>
  <c r="Z24" i="245"/>
  <c r="I23" i="245"/>
  <c r="AF21" i="245"/>
  <c r="AT19" i="245"/>
  <c r="U18" i="245"/>
  <c r="AH16" i="245"/>
  <c r="AO14" i="245"/>
  <c r="I11" i="245"/>
  <c r="AH71" i="245"/>
  <c r="AH33" i="245"/>
  <c r="N33" i="245"/>
  <c r="AP33" i="245"/>
  <c r="L33" i="245"/>
  <c r="AQ33" i="245"/>
  <c r="P33" i="245"/>
  <c r="AT33" i="245"/>
  <c r="Q33" i="245"/>
  <c r="AU33" i="245"/>
  <c r="U33" i="245"/>
  <c r="AA33" i="245"/>
  <c r="AB33" i="245"/>
  <c r="AE33" i="245"/>
  <c r="AF33" i="245"/>
  <c r="AG33" i="245"/>
  <c r="AJ33" i="245"/>
  <c r="AA7" i="245"/>
  <c r="AB7" i="245"/>
  <c r="M7" i="245"/>
  <c r="AO7" i="245"/>
  <c r="N7" i="245"/>
  <c r="AP7" i="245"/>
  <c r="O7" i="245"/>
  <c r="AQ7" i="245"/>
  <c r="P7" i="245"/>
  <c r="AR7" i="245"/>
  <c r="S7" i="245"/>
  <c r="AU7" i="245"/>
  <c r="W7" i="245"/>
  <c r="V7" i="245"/>
  <c r="Y7" i="245"/>
  <c r="Z7" i="245"/>
  <c r="AE7" i="245"/>
  <c r="AF7" i="245"/>
  <c r="AG7" i="245"/>
  <c r="AH7" i="245"/>
  <c r="AI7" i="245"/>
  <c r="AK7" i="245"/>
  <c r="AL7" i="245"/>
  <c r="AM7" i="245"/>
  <c r="AN7" i="245"/>
  <c r="AS7" i="245"/>
  <c r="AT7" i="245"/>
  <c r="G7" i="245"/>
  <c r="H7" i="245"/>
  <c r="I7" i="245"/>
  <c r="J7" i="245"/>
  <c r="K7" i="245"/>
  <c r="Q7" i="245"/>
  <c r="R7" i="245"/>
  <c r="M48" i="245"/>
  <c r="AO48" i="245"/>
  <c r="P48" i="245"/>
  <c r="AR48" i="245"/>
  <c r="U48" i="245"/>
  <c r="AA48" i="245"/>
  <c r="AB48" i="245"/>
  <c r="AE48" i="245"/>
  <c r="AF48" i="245"/>
  <c r="AI48" i="245"/>
  <c r="N47" i="245"/>
  <c r="Y47" i="245"/>
  <c r="AB47" i="245"/>
  <c r="AG47" i="245"/>
  <c r="J47" i="245"/>
  <c r="AM47" i="245"/>
  <c r="K47" i="245"/>
  <c r="AN47" i="245"/>
  <c r="O47" i="245"/>
  <c r="AQ47" i="245"/>
  <c r="P47" i="245"/>
  <c r="AR47" i="245"/>
  <c r="S47" i="245"/>
  <c r="AU47" i="245"/>
  <c r="AJ43" i="245"/>
  <c r="AI52" i="245"/>
  <c r="G31" i="245"/>
  <c r="Z55" i="245"/>
  <c r="AP50" i="245"/>
  <c r="AP51" i="245" s="1"/>
  <c r="AO49" i="245"/>
  <c r="AQ48" i="245"/>
  <c r="AS47" i="245"/>
  <c r="AP46" i="245"/>
  <c r="U41" i="245"/>
  <c r="T39" i="245"/>
  <c r="L38" i="245"/>
  <c r="AP34" i="245"/>
  <c r="AK33" i="245"/>
  <c r="AC32" i="245"/>
  <c r="T31" i="245"/>
  <c r="M30" i="245"/>
  <c r="AL25" i="245"/>
  <c r="W24" i="245"/>
  <c r="AE21" i="245"/>
  <c r="AS19" i="245"/>
  <c r="P18" i="245"/>
  <c r="AF16" i="245"/>
  <c r="S70" i="245"/>
  <c r="J42" i="245"/>
  <c r="AL42" i="245"/>
  <c r="R42" i="245"/>
  <c r="AT42" i="245"/>
  <c r="N42" i="245"/>
  <c r="AR42" i="245"/>
  <c r="Q42" i="245"/>
  <c r="S42" i="245"/>
  <c r="W42" i="245"/>
  <c r="AC42" i="245"/>
  <c r="AD42" i="245"/>
  <c r="AG42" i="245"/>
  <c r="AH42" i="245"/>
  <c r="AI42" i="245"/>
  <c r="AK42" i="245"/>
  <c r="W28" i="245"/>
  <c r="I28" i="245"/>
  <c r="J28" i="245"/>
  <c r="AL28" i="245"/>
  <c r="K28" i="245"/>
  <c r="AM28" i="245"/>
  <c r="R28" i="245"/>
  <c r="AT28" i="245"/>
  <c r="AD28" i="245"/>
  <c r="AG28" i="245"/>
  <c r="AH28" i="245"/>
  <c r="AN28" i="245"/>
  <c r="N28" i="245"/>
  <c r="AU28" i="245"/>
  <c r="O28" i="245"/>
  <c r="S28" i="245"/>
  <c r="T28" i="245"/>
  <c r="U28" i="245"/>
  <c r="X28" i="245"/>
  <c r="W14" i="245"/>
  <c r="I14" i="245"/>
  <c r="AK14" i="245"/>
  <c r="J14" i="245"/>
  <c r="AL14" i="245"/>
  <c r="K14" i="245"/>
  <c r="AM14" i="245"/>
  <c r="N14" i="245"/>
  <c r="AP14" i="245"/>
  <c r="R14" i="245"/>
  <c r="AT14" i="245"/>
  <c r="AC14" i="245"/>
  <c r="AF14" i="245"/>
  <c r="AG14" i="245"/>
  <c r="AI14" i="245"/>
  <c r="AN14" i="245"/>
  <c r="AQ14" i="245"/>
  <c r="AS14" i="245"/>
  <c r="H14" i="245"/>
  <c r="AU14" i="245"/>
  <c r="L14" i="245"/>
  <c r="O14" i="245"/>
  <c r="M14" i="245"/>
  <c r="Q14" i="245"/>
  <c r="S14" i="245"/>
  <c r="T14" i="245"/>
  <c r="U14" i="245"/>
  <c r="V14" i="245"/>
  <c r="AH52" i="245"/>
  <c r="Y55" i="245"/>
  <c r="AO50" i="245"/>
  <c r="AO51" i="245" s="1"/>
  <c r="AN49" i="245"/>
  <c r="AP48" i="245"/>
  <c r="AP47" i="245"/>
  <c r="AO46" i="245"/>
  <c r="Z42" i="245"/>
  <c r="T41" i="245"/>
  <c r="S39" i="245"/>
  <c r="AI33" i="245"/>
  <c r="AB32" i="245"/>
  <c r="S31" i="245"/>
  <c r="AR28" i="245"/>
  <c r="AK25" i="245"/>
  <c r="V24" i="245"/>
  <c r="AD21" i="245"/>
  <c r="AQ19" i="245"/>
  <c r="M18" i="245"/>
  <c r="AD16" i="245"/>
  <c r="AH14" i="245"/>
  <c r="AU10" i="245"/>
  <c r="R70" i="245"/>
  <c r="AH56" i="245"/>
  <c r="AF52" i="245"/>
  <c r="X55" i="245"/>
  <c r="AN50" i="245"/>
  <c r="AN51" i="245" s="1"/>
  <c r="AN48" i="245"/>
  <c r="AO47" i="245"/>
  <c r="AF43" i="245"/>
  <c r="Y42" i="245"/>
  <c r="O39" i="245"/>
  <c r="AU37" i="245"/>
  <c r="AD33" i="245"/>
  <c r="X32" i="245"/>
  <c r="P31" i="245"/>
  <c r="AQ28" i="245"/>
  <c r="AH25" i="245"/>
  <c r="T24" i="245"/>
  <c r="AC21" i="245"/>
  <c r="AO19" i="245"/>
  <c r="L18" i="245"/>
  <c r="AB16" i="245"/>
  <c r="AE14" i="245"/>
  <c r="AT10" i="245"/>
  <c r="R46" i="245"/>
  <c r="AT46" i="245"/>
  <c r="Z46" i="245"/>
  <c r="AI46" i="245"/>
  <c r="H46" i="245"/>
  <c r="AL46" i="245"/>
  <c r="M46" i="245"/>
  <c r="AQ46" i="245"/>
  <c r="T46" i="245"/>
  <c r="U46" i="245"/>
  <c r="X46" i="245"/>
  <c r="Y46" i="245"/>
  <c r="AC46" i="245"/>
  <c r="V41" i="245"/>
  <c r="AD41" i="245"/>
  <c r="X41" i="245"/>
  <c r="AA41" i="245"/>
  <c r="AB41" i="245"/>
  <c r="AG41" i="245"/>
  <c r="I41" i="245"/>
  <c r="AM41" i="245"/>
  <c r="J41" i="245"/>
  <c r="AN41" i="245"/>
  <c r="M41" i="245"/>
  <c r="AQ41" i="245"/>
  <c r="N41" i="245"/>
  <c r="AR41" i="245"/>
  <c r="O41" i="245"/>
  <c r="AS41" i="245"/>
  <c r="Q41" i="245"/>
  <c r="AU41" i="245"/>
  <c r="AI13" i="245"/>
  <c r="U13" i="245"/>
  <c r="V13" i="245"/>
  <c r="W13" i="245"/>
  <c r="Z13" i="245"/>
  <c r="AD13" i="245"/>
  <c r="AH13" i="245"/>
  <c r="AL13" i="245"/>
  <c r="AM13" i="245"/>
  <c r="AO13" i="245"/>
  <c r="I13" i="245"/>
  <c r="AQ13" i="245"/>
  <c r="K13" i="245"/>
  <c r="AS13" i="245"/>
  <c r="M13" i="245"/>
  <c r="AU13" i="245"/>
  <c r="N13" i="245"/>
  <c r="O13" i="245"/>
  <c r="Q13" i="245"/>
  <c r="P13" i="245"/>
  <c r="S13" i="245"/>
  <c r="T13" i="245"/>
  <c r="X13" i="245"/>
  <c r="Y13" i="245"/>
  <c r="AA13" i="245"/>
  <c r="AA43" i="245"/>
  <c r="AE52" i="245"/>
  <c r="W55" i="245"/>
  <c r="AL50" i="245"/>
  <c r="AL51" i="245" s="1"/>
  <c r="AL49" i="245"/>
  <c r="AM48" i="245"/>
  <c r="AL47" i="245"/>
  <c r="AM46" i="245"/>
  <c r="X42" i="245"/>
  <c r="R41" i="245"/>
  <c r="N39" i="245"/>
  <c r="AT37" i="245"/>
  <c r="AS35" i="245"/>
  <c r="AL34" i="245"/>
  <c r="AC33" i="245"/>
  <c r="W32" i="245"/>
  <c r="O31" i="245"/>
  <c r="I30" i="245"/>
  <c r="AP28" i="245"/>
  <c r="AG25" i="245"/>
  <c r="S24" i="245"/>
  <c r="AB21" i="245"/>
  <c r="AN19" i="245"/>
  <c r="J18" i="245"/>
  <c r="X16" i="245"/>
  <c r="AD14" i="245"/>
  <c r="AR10" i="245"/>
  <c r="V52" i="245"/>
  <c r="V55" i="245"/>
  <c r="AL48" i="245"/>
  <c r="AK47" i="245"/>
  <c r="AK46" i="245"/>
  <c r="V42" i="245"/>
  <c r="P41" i="245"/>
  <c r="L39" i="245"/>
  <c r="AS37" i="245"/>
  <c r="AO35" i="245"/>
  <c r="Z33" i="245"/>
  <c r="U32" i="245"/>
  <c r="N31" i="245"/>
  <c r="AO28" i="245"/>
  <c r="AF25" i="245"/>
  <c r="R24" i="245"/>
  <c r="Z21" i="245"/>
  <c r="AM19" i="245"/>
  <c r="I18" i="245"/>
  <c r="W16" i="245"/>
  <c r="AB14" i="245"/>
  <c r="AQ10" i="245"/>
  <c r="AD45" i="245"/>
  <c r="O45" i="245"/>
  <c r="W45" i="245"/>
  <c r="AK50" i="245"/>
  <c r="AK51" i="245" s="1"/>
  <c r="X43" i="245"/>
  <c r="U55" i="245"/>
  <c r="AH50" i="245"/>
  <c r="AH51" i="245" s="1"/>
  <c r="AI49" i="245"/>
  <c r="AK48" i="245"/>
  <c r="AJ47" i="245"/>
  <c r="AJ46" i="245"/>
  <c r="U42" i="245"/>
  <c r="L41" i="245"/>
  <c r="K39" i="245"/>
  <c r="AR37" i="245"/>
  <c r="AN35" i="245"/>
  <c r="Y33" i="245"/>
  <c r="T32" i="245"/>
  <c r="M31" i="245"/>
  <c r="AK28" i="245"/>
  <c r="AD25" i="245"/>
  <c r="Q24" i="245"/>
  <c r="U21" i="245"/>
  <c r="AK19" i="245"/>
  <c r="H18" i="245"/>
  <c r="T16" i="245"/>
  <c r="AA14" i="245"/>
  <c r="X10" i="245"/>
  <c r="AM44" i="245"/>
  <c r="O44" i="245"/>
  <c r="W43" i="245"/>
  <c r="T52" i="245"/>
  <c r="G23" i="245"/>
  <c r="T55" i="245"/>
  <c r="AG50" i="245"/>
  <c r="AG51" i="245" s="1"/>
  <c r="AH49" i="245"/>
  <c r="AJ48" i="245"/>
  <c r="AI47" i="245"/>
  <c r="AH46" i="245"/>
  <c r="AD44" i="245"/>
  <c r="T42" i="245"/>
  <c r="K41" i="245"/>
  <c r="AQ37" i="245"/>
  <c r="AJ35" i="245"/>
  <c r="AF34" i="245"/>
  <c r="X33" i="245"/>
  <c r="S32" i="245"/>
  <c r="L31" i="245"/>
  <c r="AJ28" i="245"/>
  <c r="P24" i="245"/>
  <c r="P21" i="245"/>
  <c r="AF19" i="245"/>
  <c r="AU17" i="245"/>
  <c r="S16" i="245"/>
  <c r="Z14" i="245"/>
  <c r="T10" i="245"/>
  <c r="R39" i="245"/>
  <c r="AT39" i="245"/>
  <c r="Z39" i="245"/>
  <c r="M39" i="245"/>
  <c r="AQ39" i="245"/>
  <c r="P39" i="245"/>
  <c r="AU39" i="245"/>
  <c r="Q39" i="245"/>
  <c r="V39" i="245"/>
  <c r="AC39" i="245"/>
  <c r="AD39" i="245"/>
  <c r="AG39" i="245"/>
  <c r="AH39" i="245"/>
  <c r="AI39" i="245"/>
  <c r="AK39" i="245"/>
  <c r="AE25" i="245"/>
  <c r="Q25" i="245"/>
  <c r="AS25" i="245"/>
  <c r="R25" i="245"/>
  <c r="AT25" i="245"/>
  <c r="S25" i="245"/>
  <c r="AU25" i="245"/>
  <c r="V25" i="245"/>
  <c r="Z25" i="245"/>
  <c r="O25" i="245"/>
  <c r="U25" i="245"/>
  <c r="W25" i="245"/>
  <c r="AB25" i="245"/>
  <c r="AI25" i="245"/>
  <c r="AJ25" i="245"/>
  <c r="AM25" i="245"/>
  <c r="G25" i="245"/>
  <c r="AN25" i="245"/>
  <c r="AO25" i="245"/>
  <c r="I25" i="245"/>
  <c r="AQ25" i="245"/>
  <c r="AF11" i="245"/>
  <c r="R11" i="245"/>
  <c r="AT11" i="245"/>
  <c r="S11" i="245"/>
  <c r="AU11" i="245"/>
  <c r="T11" i="245"/>
  <c r="W11" i="245"/>
  <c r="AA11" i="245"/>
  <c r="H11" i="245"/>
  <c r="AP11" i="245"/>
  <c r="K11" i="245"/>
  <c r="AS11" i="245"/>
  <c r="L11" i="245"/>
  <c r="N11" i="245"/>
  <c r="O11" i="245"/>
  <c r="P11" i="245"/>
  <c r="U11" i="245"/>
  <c r="V11" i="245"/>
  <c r="X11" i="245"/>
  <c r="Y11" i="245"/>
  <c r="Z11" i="245"/>
  <c r="AB11" i="245"/>
  <c r="AC11" i="245"/>
  <c r="AD11" i="245"/>
  <c r="AE11" i="245"/>
  <c r="AG11" i="245"/>
  <c r="AH11" i="245"/>
  <c r="AI11" i="245"/>
  <c r="AJ11" i="245"/>
  <c r="V43" i="245"/>
  <c r="S55" i="245"/>
  <c r="AD50" i="245"/>
  <c r="AD51" i="245" s="1"/>
  <c r="AG49" i="245"/>
  <c r="AH48" i="245"/>
  <c r="AH47" i="245"/>
  <c r="AG46" i="245"/>
  <c r="P42" i="245"/>
  <c r="H41" i="245"/>
  <c r="I39" i="245"/>
  <c r="AN37" i="245"/>
  <c r="AI35" i="245"/>
  <c r="AE34" i="245"/>
  <c r="W33" i="245"/>
  <c r="Q32" i="245"/>
  <c r="I31" i="245"/>
  <c r="AI28" i="245"/>
  <c r="AA25" i="245"/>
  <c r="M24" i="245"/>
  <c r="O21" i="245"/>
  <c r="AT17" i="245"/>
  <c r="Q16" i="245"/>
  <c r="Y14" i="245"/>
  <c r="P10" i="245"/>
  <c r="S19" i="245"/>
  <c r="AU19" i="245"/>
  <c r="AG19" i="245"/>
  <c r="AH19" i="245"/>
  <c r="AI19" i="245"/>
  <c r="J19" i="245"/>
  <c r="AL19" i="245"/>
  <c r="N19" i="245"/>
  <c r="AP19" i="245"/>
  <c r="H19" i="245"/>
  <c r="AR19" i="245"/>
  <c r="L19" i="245"/>
  <c r="M19" i="245"/>
  <c r="P19" i="245"/>
  <c r="R19" i="245"/>
  <c r="U19" i="245"/>
  <c r="Y19" i="245"/>
  <c r="AA19" i="245"/>
  <c r="Z19" i="245"/>
  <c r="AC19" i="245"/>
  <c r="AD19" i="245"/>
  <c r="AE19" i="245"/>
  <c r="AJ19" i="245"/>
  <c r="Q52" i="245"/>
  <c r="G19" i="245"/>
  <c r="R55" i="245"/>
  <c r="AC50" i="245"/>
  <c r="AC51" i="245" s="1"/>
  <c r="AE49" i="245"/>
  <c r="AG48" i="245"/>
  <c r="AF47" i="245"/>
  <c r="AF46" i="245"/>
  <c r="AA45" i="245"/>
  <c r="U43" i="245"/>
  <c r="O42" i="245"/>
  <c r="H39" i="245"/>
  <c r="AM37" i="245"/>
  <c r="AH35" i="245"/>
  <c r="V33" i="245"/>
  <c r="P32" i="245"/>
  <c r="H31" i="245"/>
  <c r="AF28" i="245"/>
  <c r="Y25" i="245"/>
  <c r="M21" i="245"/>
  <c r="X19" i="245"/>
  <c r="AR17" i="245"/>
  <c r="P16" i="245"/>
  <c r="X14" i="245"/>
  <c r="O10" i="245"/>
  <c r="AD38" i="245"/>
  <c r="J38" i="245"/>
  <c r="AL38" i="245"/>
  <c r="W38" i="245"/>
  <c r="Z38" i="245"/>
  <c r="G38" i="245"/>
  <c r="AA38" i="245"/>
  <c r="AF38" i="245"/>
  <c r="H38" i="245"/>
  <c r="AM38" i="245"/>
  <c r="I38" i="245"/>
  <c r="AN38" i="245"/>
  <c r="M38" i="245"/>
  <c r="AQ38" i="245"/>
  <c r="N38" i="245"/>
  <c r="AR38" i="245"/>
  <c r="O38" i="245"/>
  <c r="AS38" i="245"/>
  <c r="Q38" i="245"/>
  <c r="AU38" i="245"/>
  <c r="G13" i="245"/>
  <c r="G18" i="245"/>
  <c r="Q55" i="245"/>
  <c r="AB50" i="245"/>
  <c r="AB51" i="245" s="1"/>
  <c r="AD48" i="245"/>
  <c r="AE47" i="245"/>
  <c r="AE46" i="245"/>
  <c r="M42" i="245"/>
  <c r="AT38" i="245"/>
  <c r="AL37" i="245"/>
  <c r="AG35" i="245"/>
  <c r="T33" i="245"/>
  <c r="N32" i="245"/>
  <c r="AE28" i="245"/>
  <c r="X25" i="245"/>
  <c r="AU23" i="245"/>
  <c r="W19" i="245"/>
  <c r="AM17" i="245"/>
  <c r="P14" i="245"/>
  <c r="M10" i="245"/>
  <c r="O24" i="245"/>
  <c r="AQ24" i="245"/>
  <c r="AC24" i="245"/>
  <c r="AD24" i="245"/>
  <c r="AE24" i="245"/>
  <c r="AH24" i="245"/>
  <c r="J24" i="245"/>
  <c r="AL24" i="245"/>
  <c r="U24" i="245"/>
  <c r="X24" i="245"/>
  <c r="Y24" i="245"/>
  <c r="AF24" i="245"/>
  <c r="AN24" i="245"/>
  <c r="AO24" i="245"/>
  <c r="I24" i="245"/>
  <c r="AS24" i="245"/>
  <c r="K24" i="245"/>
  <c r="AT24" i="245"/>
  <c r="L24" i="245"/>
  <c r="AU24" i="245"/>
  <c r="N24" i="245"/>
  <c r="O43" i="245"/>
  <c r="G55" i="245"/>
  <c r="G17" i="245"/>
  <c r="O55" i="245"/>
  <c r="AA50" i="245"/>
  <c r="AA51" i="245" s="1"/>
  <c r="AB49" i="245"/>
  <c r="AC48" i="245"/>
  <c r="AD47" i="245"/>
  <c r="AD46" i="245"/>
  <c r="X44" i="245"/>
  <c r="L42" i="245"/>
  <c r="AP38" i="245"/>
  <c r="AI37" i="245"/>
  <c r="AF35" i="245"/>
  <c r="S33" i="245"/>
  <c r="J32" i="245"/>
  <c r="AC28" i="245"/>
  <c r="T25" i="245"/>
  <c r="AT20" i="245"/>
  <c r="V19" i="245"/>
  <c r="AG17" i="245"/>
  <c r="J16" i="245"/>
  <c r="AT13" i="245"/>
  <c r="W21" i="245"/>
  <c r="I21" i="245"/>
  <c r="AK21" i="245"/>
  <c r="J21" i="245"/>
  <c r="AL21" i="245"/>
  <c r="K21" i="245"/>
  <c r="AM21" i="245"/>
  <c r="N21" i="245"/>
  <c r="AP21" i="245"/>
  <c r="R21" i="245"/>
  <c r="AT21" i="245"/>
  <c r="AG21" i="245"/>
  <c r="AJ21" i="245"/>
  <c r="AN21" i="245"/>
  <c r="AQ21" i="245"/>
  <c r="AS21" i="245"/>
  <c r="L21" i="245"/>
  <c r="Q21" i="245"/>
  <c r="G21" i="245"/>
  <c r="T21" i="245"/>
  <c r="S21" i="245"/>
  <c r="V21" i="245"/>
  <c r="X21" i="245"/>
  <c r="Y21" i="245"/>
  <c r="AA21" i="245"/>
  <c r="Q10" i="245"/>
  <c r="AS10" i="245"/>
  <c r="AE10" i="245"/>
  <c r="AF10" i="245"/>
  <c r="AG10" i="245"/>
  <c r="H10" i="245"/>
  <c r="AJ10" i="245"/>
  <c r="L10" i="245"/>
  <c r="AN10" i="245"/>
  <c r="N10" i="245"/>
  <c r="R10" i="245"/>
  <c r="S10" i="245"/>
  <c r="U10" i="245"/>
  <c r="V10" i="245"/>
  <c r="W10" i="245"/>
  <c r="Y10" i="245"/>
  <c r="Z10" i="245"/>
  <c r="AA10" i="245"/>
  <c r="AB10" i="245"/>
  <c r="AC10" i="245"/>
  <c r="AD10" i="245"/>
  <c r="AH10" i="245"/>
  <c r="AI10" i="245"/>
  <c r="AK10" i="245"/>
  <c r="AL10" i="245"/>
  <c r="AM10" i="245"/>
  <c r="AO10" i="245"/>
  <c r="AP10" i="245"/>
  <c r="AA23" i="245"/>
  <c r="M23" i="245"/>
  <c r="AO23" i="245"/>
  <c r="N23" i="245"/>
  <c r="AP23" i="245"/>
  <c r="O23" i="245"/>
  <c r="AQ23" i="245"/>
  <c r="R23" i="245"/>
  <c r="AT23" i="245"/>
  <c r="V23" i="245"/>
  <c r="Z23" i="245"/>
  <c r="AD23" i="245"/>
  <c r="AE23" i="245"/>
  <c r="AI23" i="245"/>
  <c r="AR23" i="245"/>
  <c r="H23" i="245"/>
  <c r="AS23" i="245"/>
  <c r="K23" i="245"/>
  <c r="L23" i="245"/>
  <c r="P23" i="245"/>
  <c r="S23" i="245"/>
  <c r="AD9" i="245"/>
  <c r="P9" i="245"/>
  <c r="AR9" i="245"/>
  <c r="Q9" i="245"/>
  <c r="AS9" i="245"/>
  <c r="R9" i="245"/>
  <c r="AT9" i="245"/>
  <c r="U9" i="245"/>
  <c r="Y9" i="245"/>
  <c r="S9" i="245"/>
  <c r="W9" i="245"/>
  <c r="X9" i="245"/>
  <c r="Z9" i="245"/>
  <c r="AA9" i="245"/>
  <c r="AB9" i="245"/>
  <c r="AC9" i="245"/>
  <c r="AE9" i="245"/>
  <c r="AF9" i="245"/>
  <c r="AG9" i="245"/>
  <c r="AH9" i="245"/>
  <c r="AI9" i="245"/>
  <c r="AJ9" i="245"/>
  <c r="AK9" i="245"/>
  <c r="AM9" i="245"/>
  <c r="AN9" i="245"/>
  <c r="G9" i="245"/>
  <c r="AO9" i="245"/>
  <c r="H9" i="245"/>
  <c r="AP9" i="245"/>
  <c r="I9" i="245"/>
  <c r="AQ9" i="245"/>
  <c r="J9" i="245"/>
  <c r="AU9" i="245"/>
  <c r="N43" i="245"/>
  <c r="AU53" i="245"/>
  <c r="N55" i="245"/>
  <c r="Z50" i="245"/>
  <c r="Z51" i="245" s="1"/>
  <c r="AA49" i="245"/>
  <c r="Z48" i="245"/>
  <c r="AC47" i="245"/>
  <c r="AB46" i="245"/>
  <c r="X45" i="245"/>
  <c r="W44" i="245"/>
  <c r="P43" i="245"/>
  <c r="K42" i="245"/>
  <c r="AO38" i="245"/>
  <c r="AD35" i="245"/>
  <c r="Y34" i="245"/>
  <c r="R33" i="245"/>
  <c r="I32" i="245"/>
  <c r="AQ30" i="245"/>
  <c r="AB28" i="245"/>
  <c r="P25" i="245"/>
  <c r="AM23" i="245"/>
  <c r="AR20" i="245"/>
  <c r="T19" i="245"/>
  <c r="AF17" i="245"/>
  <c r="AR13" i="245"/>
  <c r="J10" i="245"/>
  <c r="N37" i="245"/>
  <c r="AP37" i="245"/>
  <c r="V37" i="245"/>
  <c r="AG37" i="245"/>
  <c r="AJ37" i="245"/>
  <c r="AK37" i="245"/>
  <c r="K37" i="245"/>
  <c r="AO37" i="245"/>
  <c r="R37" i="245"/>
  <c r="S37" i="245"/>
  <c r="W37" i="245"/>
  <c r="X37" i="245"/>
  <c r="Y37" i="245"/>
  <c r="AA37" i="245"/>
  <c r="M43" i="245"/>
  <c r="AT53" i="245"/>
  <c r="L55" i="245"/>
  <c r="X50" i="245"/>
  <c r="X51" i="245" s="1"/>
  <c r="Z49" i="245"/>
  <c r="Y48" i="245"/>
  <c r="AA47" i="245"/>
  <c r="AA46" i="245"/>
  <c r="I42" i="245"/>
  <c r="AS39" i="245"/>
  <c r="AK38" i="245"/>
  <c r="AF37" i="245"/>
  <c r="AC35" i="245"/>
  <c r="T34" i="245"/>
  <c r="O33" i="245"/>
  <c r="AT31" i="245"/>
  <c r="AN30" i="245"/>
  <c r="AA28" i="245"/>
  <c r="N25" i="245"/>
  <c r="AL23" i="245"/>
  <c r="AO20" i="245"/>
  <c r="Q19" i="245"/>
  <c r="AB17" i="245"/>
  <c r="AP13" i="245"/>
  <c r="I10" i="245"/>
  <c r="G48" i="245"/>
  <c r="G14" i="245"/>
  <c r="K55" i="245"/>
  <c r="W50" i="245"/>
  <c r="W51" i="245" s="1"/>
  <c r="Y49" i="245"/>
  <c r="X48" i="245"/>
  <c r="Z47" i="245"/>
  <c r="W46" i="245"/>
  <c r="H42" i="245"/>
  <c r="AR39" i="245"/>
  <c r="AJ38" i="245"/>
  <c r="AE37" i="245"/>
  <c r="AB35" i="245"/>
  <c r="M33" i="245"/>
  <c r="AS31" i="245"/>
  <c r="Z28" i="245"/>
  <c r="M25" i="245"/>
  <c r="AK23" i="245"/>
  <c r="AN20" i="245"/>
  <c r="O19" i="245"/>
  <c r="Z17" i="245"/>
  <c r="AN13" i="245"/>
  <c r="G10" i="245"/>
  <c r="H43" i="245"/>
  <c r="AQ43" i="245"/>
  <c r="K54" i="245"/>
  <c r="AM54" i="245"/>
  <c r="AQ54" i="245"/>
  <c r="AU54" i="245"/>
  <c r="I57" i="245"/>
  <c r="AK57" i="245"/>
  <c r="J57" i="245"/>
  <c r="AL57" i="245"/>
  <c r="K57" i="245"/>
  <c r="AM57" i="245"/>
  <c r="L57" i="245"/>
  <c r="AN57" i="245"/>
  <c r="M57" i="245"/>
  <c r="AO57" i="245"/>
  <c r="W57" i="245"/>
  <c r="X57" i="245"/>
  <c r="Y57" i="245"/>
  <c r="Z57" i="245"/>
  <c r="AA57" i="245"/>
  <c r="AB57" i="245"/>
  <c r="AC57" i="245"/>
  <c r="AD57" i="245"/>
  <c r="AH57" i="245"/>
  <c r="H57" i="245"/>
  <c r="N57" i="245"/>
  <c r="O57" i="245"/>
  <c r="P57" i="245"/>
  <c r="Q57" i="245"/>
  <c r="R57" i="245"/>
  <c r="S57" i="245"/>
  <c r="T57" i="245"/>
  <c r="U57" i="245"/>
  <c r="V57" i="245"/>
  <c r="AE57" i="245"/>
  <c r="AF57" i="245"/>
  <c r="AG57" i="245"/>
  <c r="AI57" i="245"/>
  <c r="AJ57" i="245"/>
  <c r="AP57" i="245"/>
  <c r="AQ57" i="245"/>
  <c r="AR57" i="245"/>
  <c r="AS57" i="245"/>
  <c r="AT57" i="245"/>
  <c r="AU57" i="245"/>
  <c r="K43" i="245"/>
  <c r="AL53" i="245"/>
  <c r="AU55" i="245"/>
  <c r="J55" i="245"/>
  <c r="V50" i="245"/>
  <c r="V51" i="245" s="1"/>
  <c r="X49" i="245"/>
  <c r="W48" i="245"/>
  <c r="X47" i="245"/>
  <c r="V46" i="245"/>
  <c r="AT41" i="245"/>
  <c r="AP39" i="245"/>
  <c r="AI38" i="245"/>
  <c r="AD37" i="245"/>
  <c r="Y35" i="245"/>
  <c r="P34" i="245"/>
  <c r="K33" i="245"/>
  <c r="AR31" i="245"/>
  <c r="AL30" i="245"/>
  <c r="Y28" i="245"/>
  <c r="L25" i="245"/>
  <c r="AJ23" i="245"/>
  <c r="AL20" i="245"/>
  <c r="K19" i="245"/>
  <c r="X17" i="245"/>
  <c r="AK13" i="245"/>
  <c r="AL9" i="245"/>
  <c r="AD7" i="245"/>
  <c r="AH40" i="245"/>
  <c r="N40" i="245"/>
  <c r="AP40" i="245"/>
  <c r="S26" i="245"/>
  <c r="AU26" i="245"/>
  <c r="AG26" i="245"/>
  <c r="AH26" i="245"/>
  <c r="AI26" i="245"/>
  <c r="J26" i="245"/>
  <c r="AL26" i="245"/>
  <c r="N26" i="245"/>
  <c r="AP26" i="245"/>
  <c r="S12" i="245"/>
  <c r="AU12" i="245"/>
  <c r="AG12" i="245"/>
  <c r="AH12" i="245"/>
  <c r="G12" i="245"/>
  <c r="AI12" i="245"/>
  <c r="J12" i="245"/>
  <c r="AL12" i="245"/>
  <c r="N12" i="245"/>
  <c r="AP12" i="245"/>
  <c r="G29" i="245"/>
  <c r="AA40" i="245"/>
  <c r="AK36" i="245"/>
  <c r="AS29" i="245"/>
  <c r="O29" i="245"/>
  <c r="AO26" i="245"/>
  <c r="U22" i="245"/>
  <c r="Q15" i="245"/>
  <c r="AC12" i="245"/>
  <c r="Q8" i="245"/>
  <c r="AQ29" i="245"/>
  <c r="M29" i="245"/>
  <c r="AM26" i="245"/>
  <c r="S22" i="245"/>
  <c r="O15" i="245"/>
  <c r="AA12" i="245"/>
  <c r="M8" i="245"/>
  <c r="AG36" i="245"/>
  <c r="AP29" i="245"/>
  <c r="L29" i="245"/>
  <c r="AK26" i="245"/>
  <c r="R22" i="245"/>
  <c r="N15" i="245"/>
  <c r="Z12" i="245"/>
  <c r="L8" i="245"/>
  <c r="W40" i="245"/>
  <c r="AF36" i="245"/>
  <c r="AO29" i="245"/>
  <c r="K29" i="245"/>
  <c r="AJ26" i="245"/>
  <c r="Q22" i="245"/>
  <c r="AU15" i="245"/>
  <c r="M15" i="245"/>
  <c r="Y12" i="245"/>
  <c r="AU8" i="245"/>
  <c r="K8" i="245"/>
  <c r="G22" i="245"/>
  <c r="T40" i="245"/>
  <c r="AL29" i="245"/>
  <c r="H29" i="245"/>
  <c r="AD26" i="245"/>
  <c r="AR15" i="245"/>
  <c r="I15" i="245"/>
  <c r="V12" i="245"/>
  <c r="AR8" i="245"/>
  <c r="Z36" i="245"/>
  <c r="AH36" i="245"/>
  <c r="K22" i="245"/>
  <c r="AM22" i="245"/>
  <c r="Y22" i="245"/>
  <c r="Z22" i="245"/>
  <c r="AA22" i="245"/>
  <c r="AD22" i="245"/>
  <c r="AH22" i="245"/>
  <c r="N8" i="245"/>
  <c r="O8" i="245"/>
  <c r="AQ8" i="245"/>
  <c r="AC8" i="245"/>
  <c r="AD8" i="245"/>
  <c r="AE8" i="245"/>
  <c r="AH8" i="245"/>
  <c r="J8" i="245"/>
  <c r="AL8" i="245"/>
  <c r="S40" i="245"/>
  <c r="AB36" i="245"/>
  <c r="AK29" i="245"/>
  <c r="AC26" i="245"/>
  <c r="AU22" i="245"/>
  <c r="M22" i="245"/>
  <c r="AQ15" i="245"/>
  <c r="H15" i="245"/>
  <c r="U12" i="245"/>
  <c r="AP8" i="245"/>
  <c r="AL15" i="245"/>
  <c r="AD29" i="245"/>
  <c r="W26" i="245"/>
  <c r="AO22" i="245"/>
  <c r="AJ15" i="245"/>
  <c r="M12" i="245"/>
  <c r="AI8" i="245"/>
  <c r="AG15" i="245"/>
  <c r="Y29" i="245"/>
  <c r="R26" i="245"/>
  <c r="AJ22" i="245"/>
  <c r="AE15" i="245"/>
  <c r="AR12" i="245"/>
  <c r="H12" i="245"/>
  <c r="AA8" i="245"/>
  <c r="Q26" i="245"/>
  <c r="AI22" i="245"/>
  <c r="AQ12" i="245"/>
  <c r="Z8" i="245"/>
  <c r="Z29" i="245"/>
  <c r="AH29" i="245"/>
  <c r="K15" i="245"/>
  <c r="AM15" i="245"/>
  <c r="Y15" i="245"/>
  <c r="Z15" i="245"/>
  <c r="AA15" i="245"/>
  <c r="AD15" i="245"/>
  <c r="AH15" i="245"/>
  <c r="AG40" i="245"/>
  <c r="AQ36" i="245"/>
  <c r="M36" i="245"/>
  <c r="U29" i="245"/>
  <c r="M26" i="245"/>
  <c r="AE22" i="245"/>
  <c r="W15" i="245"/>
  <c r="AM12" i="245"/>
  <c r="W8" i="245"/>
  <c r="AG68" i="245"/>
  <c r="AC68" i="245"/>
  <c r="X68" i="245"/>
  <c r="V68" i="245"/>
  <c r="U68" i="245"/>
  <c r="T68" i="245"/>
  <c r="R68" i="245"/>
  <c r="N68" i="245"/>
  <c r="AM68" i="245"/>
  <c r="T69" i="245"/>
  <c r="AS69" i="245"/>
  <c r="Q69" i="245"/>
  <c r="AR69" i="245"/>
  <c r="AQ69" i="245"/>
  <c r="O69" i="245"/>
  <c r="AP69" i="245"/>
  <c r="N69" i="245"/>
  <c r="AN69" i="245"/>
  <c r="L69" i="245"/>
  <c r="AM69" i="245"/>
  <c r="K69" i="245"/>
  <c r="AL69" i="245"/>
  <c r="J69" i="245"/>
  <c r="AK69" i="245"/>
  <c r="I69" i="245"/>
  <c r="AI69" i="245"/>
  <c r="AB68" i="245"/>
  <c r="AA68" i="245"/>
  <c r="W68" i="245"/>
  <c r="AU68" i="245"/>
  <c r="AS68" i="245"/>
  <c r="Q68" i="245"/>
  <c r="AR68" i="245"/>
  <c r="P68" i="245"/>
  <c r="AQ68" i="245"/>
  <c r="O68" i="245"/>
  <c r="AE68" i="245"/>
  <c r="AQ52" i="245"/>
  <c r="AP52" i="245"/>
  <c r="N52" i="245"/>
  <c r="AS54" i="245"/>
  <c r="Q54" i="245"/>
  <c r="AO52" i="245"/>
  <c r="M52" i="245"/>
  <c r="AB53" i="245"/>
  <c r="AN52" i="245"/>
  <c r="L52" i="245"/>
  <c r="AA53" i="245"/>
  <c r="AM52" i="245"/>
  <c r="K52" i="245"/>
  <c r="Z53" i="245"/>
  <c r="AL52" i="245"/>
  <c r="J52" i="245"/>
  <c r="AC43" i="245"/>
  <c r="AO54" i="245"/>
  <c r="M54" i="245"/>
  <c r="Y53" i="245"/>
  <c r="I52" i="245"/>
  <c r="AB43" i="245"/>
  <c r="X53" i="245"/>
  <c r="AJ52" i="245"/>
  <c r="H52" i="245"/>
  <c r="G54" i="245"/>
  <c r="Y43" i="245"/>
  <c r="I54" i="245"/>
  <c r="AG52" i="245"/>
  <c r="T43" i="245"/>
  <c r="AR53" i="245"/>
  <c r="P53" i="245"/>
  <c r="AB52" i="245"/>
  <c r="AS53" i="245"/>
  <c r="Q53" i="245"/>
  <c r="AC52" i="245"/>
  <c r="AU43" i="245"/>
  <c r="S43" i="245"/>
  <c r="AE54" i="245"/>
  <c r="AQ53" i="245"/>
  <c r="AT43" i="245"/>
  <c r="R43" i="245"/>
  <c r="AP53" i="245"/>
  <c r="N53" i="245"/>
  <c r="AS43" i="245"/>
  <c r="Q43" i="245"/>
  <c r="AO53" i="245"/>
  <c r="M53" i="245"/>
  <c r="H83" i="245" l="1"/>
  <c r="H102" i="245" s="1"/>
  <c r="P83" i="245"/>
  <c r="AA78" i="245"/>
  <c r="Y82" i="245"/>
  <c r="Y96" i="245" s="1"/>
  <c r="Y83" i="245"/>
  <c r="Y101" i="245" s="1"/>
  <c r="G83" i="245"/>
  <c r="G102" i="245" s="1"/>
  <c r="G78" i="245"/>
  <c r="S78" i="245"/>
  <c r="O82" i="245"/>
  <c r="O96" i="245" s="1"/>
  <c r="AK78" i="245"/>
  <c r="J82" i="245"/>
  <c r="Q78" i="245"/>
  <c r="AM82" i="245"/>
  <c r="AM96" i="245" s="1"/>
  <c r="AN83" i="245"/>
  <c r="AN102" i="245" s="1"/>
  <c r="AC78" i="245"/>
  <c r="J78" i="245"/>
  <c r="R82" i="245"/>
  <c r="R96" i="245" s="1"/>
  <c r="AR83" i="245"/>
  <c r="AR92" i="245" s="1"/>
  <c r="AH83" i="245"/>
  <c r="AH100" i="245" s="1"/>
  <c r="AQ78" i="245"/>
  <c r="AE78" i="245"/>
  <c r="AQ82" i="245"/>
  <c r="AQ86" i="245" s="1"/>
  <c r="T83" i="245"/>
  <c r="T102" i="245" s="1"/>
  <c r="AL83" i="245"/>
  <c r="AL92" i="245" s="1"/>
  <c r="U78" i="245"/>
  <c r="AO78" i="245"/>
  <c r="AF78" i="245"/>
  <c r="AT82" i="245"/>
  <c r="AT86" i="245" s="1"/>
  <c r="AK82" i="245"/>
  <c r="AK94" i="245" s="1"/>
  <c r="AT83" i="245"/>
  <c r="AT102" i="245" s="1"/>
  <c r="L83" i="245"/>
  <c r="L101" i="245" s="1"/>
  <c r="AD83" i="245"/>
  <c r="AD93" i="245" s="1"/>
  <c r="X78" i="245"/>
  <c r="AS78" i="245"/>
  <c r="M78" i="245"/>
  <c r="H78" i="245"/>
  <c r="I82" i="245"/>
  <c r="I86" i="245" s="1"/>
  <c r="AG82" i="245"/>
  <c r="AG96" i="245" s="1"/>
  <c r="L82" i="245"/>
  <c r="L96" i="245" s="1"/>
  <c r="AU83" i="245"/>
  <c r="AU93" i="245" s="1"/>
  <c r="AP83" i="245"/>
  <c r="AP101" i="245" s="1"/>
  <c r="AJ83" i="245"/>
  <c r="AJ101" i="245" s="1"/>
  <c r="AC83" i="245"/>
  <c r="AC92" i="245" s="1"/>
  <c r="Q77" i="245"/>
  <c r="Q98" i="245" s="1"/>
  <c r="T77" i="245"/>
  <c r="T90" i="245" s="1"/>
  <c r="AE82" i="245"/>
  <c r="AE96" i="245" s="1"/>
  <c r="AI82" i="245"/>
  <c r="AI95" i="245" s="1"/>
  <c r="X82" i="245"/>
  <c r="X86" i="245" s="1"/>
  <c r="U82" i="245"/>
  <c r="U86" i="245" s="1"/>
  <c r="X85" i="245"/>
  <c r="AH85" i="245"/>
  <c r="T78" i="245"/>
  <c r="AR78" i="245"/>
  <c r="AN78" i="245"/>
  <c r="I78" i="245"/>
  <c r="AD78" i="245"/>
  <c r="AD82" i="245"/>
  <c r="AD94" i="245" s="1"/>
  <c r="W82" i="245"/>
  <c r="W86" i="245" s="1"/>
  <c r="AS82" i="245"/>
  <c r="AS86" i="245" s="1"/>
  <c r="AP82" i="245"/>
  <c r="AP94" i="245" s="1"/>
  <c r="K82" i="245"/>
  <c r="K94" i="245" s="1"/>
  <c r="S83" i="245"/>
  <c r="S92" i="245" s="1"/>
  <c r="AQ83" i="245"/>
  <c r="AQ101" i="245" s="1"/>
  <c r="AM83" i="245"/>
  <c r="AM92" i="245" s="1"/>
  <c r="X83" i="245"/>
  <c r="X101" i="245" s="1"/>
  <c r="AB83" i="245"/>
  <c r="AB93" i="245" s="1"/>
  <c r="G82" i="245"/>
  <c r="G86" i="245" s="1"/>
  <c r="Z78" i="245"/>
  <c r="AU78" i="245"/>
  <c r="P78" i="245"/>
  <c r="L78" i="245"/>
  <c r="AJ78" i="245"/>
  <c r="F78" i="245"/>
  <c r="AC82" i="245"/>
  <c r="AC86" i="245" s="1"/>
  <c r="V82" i="245"/>
  <c r="V95" i="245" s="1"/>
  <c r="Q82" i="245"/>
  <c r="Q95" i="245" s="1"/>
  <c r="N82" i="245"/>
  <c r="N96" i="245" s="1"/>
  <c r="AL82" i="245"/>
  <c r="AL96" i="245" s="1"/>
  <c r="W83" i="245"/>
  <c r="W93" i="245" s="1"/>
  <c r="O83" i="245"/>
  <c r="O102" i="245" s="1"/>
  <c r="K83" i="245"/>
  <c r="K100" i="245" s="1"/>
  <c r="AI83" i="245"/>
  <c r="AI93" i="245" s="1"/>
  <c r="AA83" i="245"/>
  <c r="AA102" i="245" s="1"/>
  <c r="U77" i="245"/>
  <c r="U99" i="245" s="1"/>
  <c r="Y78" i="245"/>
  <c r="AT78" i="245"/>
  <c r="O78" i="245"/>
  <c r="AM78" i="245"/>
  <c r="AI78" i="245"/>
  <c r="AH82" i="245"/>
  <c r="AH94" i="245" s="1"/>
  <c r="AB82" i="245"/>
  <c r="AB95" i="245" s="1"/>
  <c r="T82" i="245"/>
  <c r="T94" i="245" s="1"/>
  <c r="AR82" i="245"/>
  <c r="AR86" i="245" s="1"/>
  <c r="AO82" i="245"/>
  <c r="AO95" i="245" s="1"/>
  <c r="F82" i="245"/>
  <c r="R83" i="245"/>
  <c r="R93" i="245" s="1"/>
  <c r="N83" i="245"/>
  <c r="N101" i="245" s="1"/>
  <c r="J83" i="245"/>
  <c r="J102" i="245" s="1"/>
  <c r="AG83" i="245"/>
  <c r="AG100" i="245" s="1"/>
  <c r="Z83" i="245"/>
  <c r="Z100" i="245" s="1"/>
  <c r="W78" i="245"/>
  <c r="R78" i="245"/>
  <c r="AP78" i="245"/>
  <c r="K78" i="245"/>
  <c r="AH78" i="245"/>
  <c r="AJ82" i="245"/>
  <c r="AJ86" i="245" s="1"/>
  <c r="AA82" i="245"/>
  <c r="AA94" i="245" s="1"/>
  <c r="AU82" i="245"/>
  <c r="AU96" i="245" s="1"/>
  <c r="P82" i="245"/>
  <c r="P96" i="245" s="1"/>
  <c r="M82" i="245"/>
  <c r="M86" i="245" s="1"/>
  <c r="V83" i="245"/>
  <c r="V92" i="245" s="1"/>
  <c r="AS83" i="245"/>
  <c r="AS102" i="245" s="1"/>
  <c r="AO83" i="245"/>
  <c r="AO101" i="245" s="1"/>
  <c r="AK83" i="245"/>
  <c r="AK100" i="245" s="1"/>
  <c r="AF83" i="245"/>
  <c r="AF102" i="245" s="1"/>
  <c r="F83" i="245"/>
  <c r="AO81" i="245"/>
  <c r="AO104" i="245" s="1"/>
  <c r="AO107" i="245" s="1"/>
  <c r="V78" i="245"/>
  <c r="AB78" i="245"/>
  <c r="N78" i="245"/>
  <c r="AL78" i="245"/>
  <c r="AF82" i="245"/>
  <c r="AF96" i="245" s="1"/>
  <c r="Z82" i="245"/>
  <c r="Z94" i="245" s="1"/>
  <c r="S82" i="245"/>
  <c r="S86" i="245" s="1"/>
  <c r="H82" i="245"/>
  <c r="H94" i="245" s="1"/>
  <c r="U83" i="245"/>
  <c r="U92" i="245" s="1"/>
  <c r="Q83" i="245"/>
  <c r="Q93" i="245" s="1"/>
  <c r="M83" i="245"/>
  <c r="M102" i="245" s="1"/>
  <c r="I83" i="245"/>
  <c r="I92" i="245" s="1"/>
  <c r="AU77" i="245"/>
  <c r="AU99" i="245" s="1"/>
  <c r="AL81" i="245"/>
  <c r="AL105" i="245" s="1"/>
  <c r="AL108" i="245" s="1"/>
  <c r="S85" i="245"/>
  <c r="AD85" i="245"/>
  <c r="I77" i="245"/>
  <c r="I91" i="245" s="1"/>
  <c r="AR77" i="245"/>
  <c r="AR98" i="245" s="1"/>
  <c r="AK81" i="245"/>
  <c r="AK105" i="245" s="1"/>
  <c r="AK108" i="245" s="1"/>
  <c r="R85" i="245"/>
  <c r="AK77" i="245"/>
  <c r="AK98" i="245" s="1"/>
  <c r="AQ77" i="245"/>
  <c r="AQ98" i="245" s="1"/>
  <c r="AU81" i="245"/>
  <c r="AU105" i="245" s="1"/>
  <c r="AU108" i="245" s="1"/>
  <c r="O85" i="245"/>
  <c r="AF77" i="245"/>
  <c r="AF87" i="245" s="1"/>
  <c r="AF81" i="245"/>
  <c r="AF103" i="245" s="1"/>
  <c r="AF106" i="245" s="1"/>
  <c r="N85" i="245"/>
  <c r="AE77" i="245"/>
  <c r="AE98" i="245" s="1"/>
  <c r="AT81" i="245"/>
  <c r="AT104" i="245" s="1"/>
  <c r="AT107" i="245" s="1"/>
  <c r="AC81" i="245"/>
  <c r="AC103" i="245" s="1"/>
  <c r="AC106" i="245" s="1"/>
  <c r="Z85" i="245"/>
  <c r="Z77" i="245"/>
  <c r="Z98" i="245" s="1"/>
  <c r="Q81" i="245"/>
  <c r="Q104" i="245" s="1"/>
  <c r="Q107" i="245" s="1"/>
  <c r="AA81" i="245"/>
  <c r="AA103" i="245" s="1"/>
  <c r="AA106" i="245" s="1"/>
  <c r="K85" i="245"/>
  <c r="X77" i="245"/>
  <c r="X97" i="245" s="1"/>
  <c r="N81" i="245"/>
  <c r="N104" i="245" s="1"/>
  <c r="N107" i="245" s="1"/>
  <c r="F81" i="245"/>
  <c r="H85" i="245"/>
  <c r="G77" i="245"/>
  <c r="G98" i="245" s="1"/>
  <c r="AM77" i="245"/>
  <c r="AM90" i="245" s="1"/>
  <c r="K77" i="245"/>
  <c r="K99" i="245" s="1"/>
  <c r="Y77" i="245"/>
  <c r="Y99" i="245" s="1"/>
  <c r="P77" i="245"/>
  <c r="P87" i="245" s="1"/>
  <c r="R81" i="245"/>
  <c r="R104" i="245" s="1"/>
  <c r="R107" i="245" s="1"/>
  <c r="S81" i="245"/>
  <c r="S105" i="245" s="1"/>
  <c r="S108" i="245" s="1"/>
  <c r="J81" i="245"/>
  <c r="J104" i="245" s="1"/>
  <c r="J107" i="245" s="1"/>
  <c r="AG81" i="245"/>
  <c r="AG105" i="245" s="1"/>
  <c r="AG108" i="245" s="1"/>
  <c r="AB81" i="245"/>
  <c r="AB105" i="245" s="1"/>
  <c r="AB108" i="245" s="1"/>
  <c r="AB85" i="245"/>
  <c r="AT85" i="245"/>
  <c r="AP85" i="245"/>
  <c r="AM85" i="245"/>
  <c r="AI85" i="245"/>
  <c r="F85" i="245"/>
  <c r="AJ77" i="245"/>
  <c r="AJ97" i="245" s="1"/>
  <c r="AD77" i="245"/>
  <c r="AD87" i="245" s="1"/>
  <c r="M77" i="245"/>
  <c r="M91" i="245" s="1"/>
  <c r="S77" i="245"/>
  <c r="S99" i="245" s="1"/>
  <c r="O77" i="245"/>
  <c r="O98" i="245" s="1"/>
  <c r="AR81" i="245"/>
  <c r="AR103" i="245" s="1"/>
  <c r="AR106" i="245" s="1"/>
  <c r="M81" i="245"/>
  <c r="M104" i="245" s="1"/>
  <c r="M107" i="245" s="1"/>
  <c r="I81" i="245"/>
  <c r="I105" i="245" s="1"/>
  <c r="I108" i="245" s="1"/>
  <c r="T81" i="245"/>
  <c r="T105" i="245" s="1"/>
  <c r="T108" i="245" s="1"/>
  <c r="Z81" i="245"/>
  <c r="Z104" i="245" s="1"/>
  <c r="Z107" i="245" s="1"/>
  <c r="W85" i="245"/>
  <c r="AS85" i="245"/>
  <c r="AO85" i="245"/>
  <c r="AL85" i="245"/>
  <c r="AG85" i="245"/>
  <c r="G85" i="245"/>
  <c r="H77" i="245"/>
  <c r="H99" i="245" s="1"/>
  <c r="AC77" i="245"/>
  <c r="AC91" i="245" s="1"/>
  <c r="L77" i="245"/>
  <c r="L90" i="245" s="1"/>
  <c r="AT77" i="245"/>
  <c r="AT99" i="245" s="1"/>
  <c r="AP77" i="245"/>
  <c r="AP90" i="245" s="1"/>
  <c r="P81" i="245"/>
  <c r="P104" i="245" s="1"/>
  <c r="P107" i="245" s="1"/>
  <c r="AN81" i="245"/>
  <c r="AN104" i="245" s="1"/>
  <c r="AN107" i="245" s="1"/>
  <c r="AJ81" i="245"/>
  <c r="AJ105" i="245" s="1"/>
  <c r="AJ108" i="245" s="1"/>
  <c r="AE81" i="245"/>
  <c r="AE103" i="245" s="1"/>
  <c r="AE106" i="245" s="1"/>
  <c r="Y81" i="245"/>
  <c r="Y103" i="245" s="1"/>
  <c r="Y106" i="245" s="1"/>
  <c r="V85" i="245"/>
  <c r="Q85" i="245"/>
  <c r="M85" i="245"/>
  <c r="J85" i="245"/>
  <c r="AF85" i="245"/>
  <c r="AI77" i="245"/>
  <c r="AI91" i="245" s="1"/>
  <c r="AN77" i="245"/>
  <c r="AN91" i="245" s="1"/>
  <c r="W77" i="245"/>
  <c r="W99" i="245" s="1"/>
  <c r="R77" i="245"/>
  <c r="R97" i="245" s="1"/>
  <c r="N77" i="245"/>
  <c r="N99" i="245" s="1"/>
  <c r="AQ81" i="245"/>
  <c r="AQ105" i="245" s="1"/>
  <c r="AQ108" i="245" s="1"/>
  <c r="L81" i="245"/>
  <c r="L104" i="245" s="1"/>
  <c r="L107" i="245" s="1"/>
  <c r="H81" i="245"/>
  <c r="H105" i="245" s="1"/>
  <c r="H108" i="245" s="1"/>
  <c r="AS81" i="245"/>
  <c r="AS103" i="245" s="1"/>
  <c r="AS106" i="245" s="1"/>
  <c r="X81" i="245"/>
  <c r="X105" i="245" s="1"/>
  <c r="X108" i="245" s="1"/>
  <c r="U85" i="245"/>
  <c r="AR85" i="245"/>
  <c r="AC85" i="245"/>
  <c r="AK85" i="245"/>
  <c r="AE85" i="245"/>
  <c r="AL77" i="245"/>
  <c r="AL90" i="245" s="1"/>
  <c r="AH77" i="245"/>
  <c r="AH87" i="245" s="1"/>
  <c r="AB77" i="245"/>
  <c r="AB99" i="245" s="1"/>
  <c r="AO77" i="245"/>
  <c r="AO87" i="245" s="1"/>
  <c r="AS77" i="245"/>
  <c r="AS90" i="245" s="1"/>
  <c r="F77" i="245"/>
  <c r="O81" i="245"/>
  <c r="O105" i="245" s="1"/>
  <c r="O108" i="245" s="1"/>
  <c r="AM81" i="245"/>
  <c r="AM104" i="245" s="1"/>
  <c r="AM107" i="245" s="1"/>
  <c r="AI81" i="245"/>
  <c r="AI105" i="245" s="1"/>
  <c r="AI108" i="245" s="1"/>
  <c r="AD81" i="245"/>
  <c r="AD105" i="245" s="1"/>
  <c r="AD108" i="245" s="1"/>
  <c r="W81" i="245"/>
  <c r="W103" i="245" s="1"/>
  <c r="W106" i="245" s="1"/>
  <c r="T85" i="245"/>
  <c r="P85" i="245"/>
  <c r="AN85" i="245"/>
  <c r="I85" i="245"/>
  <c r="AA85" i="245"/>
  <c r="G81" i="245"/>
  <c r="G104" i="245" s="1"/>
  <c r="G107" i="245" s="1"/>
  <c r="J77" i="245"/>
  <c r="J87" i="245" s="1"/>
  <c r="AG77" i="245"/>
  <c r="AG99" i="245" s="1"/>
  <c r="AA77" i="245"/>
  <c r="AA91" i="245" s="1"/>
  <c r="V77" i="245"/>
  <c r="V91" i="245" s="1"/>
  <c r="AP81" i="245"/>
  <c r="AP104" i="245" s="1"/>
  <c r="AP107" i="245" s="1"/>
  <c r="K81" i="245"/>
  <c r="K105" i="245" s="1"/>
  <c r="K108" i="245" s="1"/>
  <c r="AH81" i="245"/>
  <c r="AH105" i="245" s="1"/>
  <c r="AH108" i="245" s="1"/>
  <c r="U81" i="245"/>
  <c r="U104" i="245" s="1"/>
  <c r="U107" i="245" s="1"/>
  <c r="AU85" i="245"/>
  <c r="AQ85" i="245"/>
  <c r="L85" i="245"/>
  <c r="AJ85" i="245"/>
  <c r="AM112" i="245"/>
  <c r="X112" i="245"/>
  <c r="AO112" i="245"/>
  <c r="Q112" i="245"/>
  <c r="AN112" i="245"/>
  <c r="AK112" i="245"/>
  <c r="AI112" i="245"/>
  <c r="N112" i="245"/>
  <c r="M112" i="245"/>
  <c r="O94" i="245"/>
  <c r="O112" i="245"/>
  <c r="V103" i="245"/>
  <c r="V106" i="245" s="1"/>
  <c r="V105" i="245"/>
  <c r="V108" i="245" s="1"/>
  <c r="V104" i="245"/>
  <c r="V107" i="245" s="1"/>
  <c r="AD112" i="245"/>
  <c r="W112" i="245"/>
  <c r="U112" i="245"/>
  <c r="AQ112" i="245"/>
  <c r="AN86" i="245"/>
  <c r="AN96" i="245"/>
  <c r="AN95" i="245"/>
  <c r="AN94" i="245"/>
  <c r="AE112" i="245"/>
  <c r="Y112" i="245"/>
  <c r="T112" i="245"/>
  <c r="AU112" i="245"/>
  <c r="AP112" i="245"/>
  <c r="J86" i="245"/>
  <c r="J94" i="245"/>
  <c r="J95" i="245"/>
  <c r="J96" i="245"/>
  <c r="L112" i="245"/>
  <c r="H101" i="245"/>
  <c r="Z112" i="245"/>
  <c r="R112" i="245"/>
  <c r="AS112" i="245"/>
  <c r="T101" i="245"/>
  <c r="AH102" i="245"/>
  <c r="AH101" i="245"/>
  <c r="AH92" i="245"/>
  <c r="AH93" i="245"/>
  <c r="AR112" i="245"/>
  <c r="AE101" i="245"/>
  <c r="AE92" i="245"/>
  <c r="AE93" i="245"/>
  <c r="AE100" i="245"/>
  <c r="AE102" i="245"/>
  <c r="H112" i="245"/>
  <c r="K112" i="245"/>
  <c r="AJ112" i="245"/>
  <c r="AC112" i="245"/>
  <c r="AG112" i="245"/>
  <c r="AB112" i="245"/>
  <c r="AF112" i="245"/>
  <c r="P101" i="245"/>
  <c r="P92" i="245"/>
  <c r="P93" i="245"/>
  <c r="P102" i="245"/>
  <c r="P100" i="245"/>
  <c r="AL112" i="245"/>
  <c r="G112" i="245"/>
  <c r="AT112" i="245"/>
  <c r="F112" i="245"/>
  <c r="S112" i="245"/>
  <c r="AA112" i="245"/>
  <c r="I112" i="245"/>
  <c r="AH112" i="245"/>
  <c r="AL44" i="245"/>
  <c r="AA44" i="245"/>
  <c r="J112" i="245"/>
  <c r="P112" i="245"/>
  <c r="AI53" i="245"/>
  <c r="AG53" i="245"/>
  <c r="J44" i="245"/>
  <c r="J45" i="245"/>
  <c r="M44" i="245"/>
  <c r="M45" i="245"/>
  <c r="AU44" i="245"/>
  <c r="AU45" i="245"/>
  <c r="AO44" i="245"/>
  <c r="AO45" i="245"/>
  <c r="AH44" i="245"/>
  <c r="AH45" i="245"/>
  <c r="S44" i="245"/>
  <c r="S45" i="245"/>
  <c r="AB44" i="245"/>
  <c r="AB45" i="245"/>
  <c r="N44" i="245"/>
  <c r="N45" i="245"/>
  <c r="AC44" i="245"/>
  <c r="AC45" i="245"/>
  <c r="Y44" i="245"/>
  <c r="Y45" i="245"/>
  <c r="T44" i="245"/>
  <c r="T45" i="245"/>
  <c r="Z44" i="245"/>
  <c r="Z45" i="245"/>
  <c r="AN44" i="245"/>
  <c r="AN45" i="245"/>
  <c r="U44" i="245"/>
  <c r="U45" i="245"/>
  <c r="K44" i="245"/>
  <c r="K45" i="245"/>
  <c r="I44" i="245"/>
  <c r="I45" i="245"/>
  <c r="AI44" i="245"/>
  <c r="AI45" i="245"/>
  <c r="AR44" i="245"/>
  <c r="AR45" i="245"/>
  <c r="AK44" i="245"/>
  <c r="AK45" i="245"/>
  <c r="V44" i="245"/>
  <c r="V45" i="245"/>
  <c r="P44" i="245"/>
  <c r="P45" i="245"/>
  <c r="AS44" i="245"/>
  <c r="AS45" i="245"/>
  <c r="AQ44" i="245"/>
  <c r="AQ45" i="245"/>
  <c r="AP44" i="245"/>
  <c r="AP45" i="245"/>
  <c r="AF44" i="245"/>
  <c r="AF45" i="245"/>
  <c r="Q44" i="245"/>
  <c r="Q45" i="245"/>
  <c r="H44" i="245"/>
  <c r="H45" i="245"/>
  <c r="AJ44" i="245"/>
  <c r="AJ45" i="245"/>
  <c r="R44" i="245"/>
  <c r="R45" i="245"/>
  <c r="AG44" i="245"/>
  <c r="AG45" i="245"/>
  <c r="AT44" i="245"/>
  <c r="AT45" i="245"/>
  <c r="AE44" i="245"/>
  <c r="AE45" i="245"/>
  <c r="L44" i="245"/>
  <c r="L45" i="245"/>
  <c r="X54" i="245"/>
  <c r="W54" i="245"/>
  <c r="G24" i="245"/>
  <c r="Y54" i="245"/>
  <c r="R53" i="245"/>
  <c r="J54" i="245"/>
  <c r="AH53" i="245"/>
  <c r="R54" i="245"/>
  <c r="Z54" i="245"/>
  <c r="T54" i="245"/>
  <c r="P54" i="245"/>
  <c r="R52" i="245"/>
  <c r="O54" i="245"/>
  <c r="V54" i="245"/>
  <c r="S53" i="245"/>
  <c r="AN54" i="245"/>
  <c r="O53" i="245"/>
  <c r="L54" i="245"/>
  <c r="AD54" i="245"/>
  <c r="N54" i="245"/>
  <c r="AE53" i="245"/>
  <c r="G52" i="245"/>
  <c r="X52" i="245"/>
  <c r="U52" i="245"/>
  <c r="G53" i="245"/>
  <c r="AK52" i="245"/>
  <c r="AD52" i="245"/>
  <c r="AM53" i="245"/>
  <c r="AN53" i="245"/>
  <c r="AC53" i="245"/>
  <c r="AF54" i="245"/>
  <c r="L53" i="245"/>
  <c r="Z52" i="245"/>
  <c r="U53" i="245"/>
  <c r="AA52" i="245"/>
  <c r="Y52" i="245"/>
  <c r="AC54" i="245"/>
  <c r="H54" i="245"/>
  <c r="AK54" i="245"/>
  <c r="AU52" i="245"/>
  <c r="S52" i="245"/>
  <c r="O52" i="245"/>
  <c r="AD53" i="245"/>
  <c r="H100" i="245" l="1"/>
  <c r="H93" i="245"/>
  <c r="Q90" i="245"/>
  <c r="H92" i="245"/>
  <c r="AQ95" i="245"/>
  <c r="AA93" i="245"/>
  <c r="Y94" i="245"/>
  <c r="AU95" i="245"/>
  <c r="Y86" i="245"/>
  <c r="AL100" i="245"/>
  <c r="Y95" i="245"/>
  <c r="AL102" i="245"/>
  <c r="AT94" i="245"/>
  <c r="AM94" i="245"/>
  <c r="O95" i="245"/>
  <c r="Y102" i="245"/>
  <c r="R86" i="245"/>
  <c r="AM86" i="245"/>
  <c r="AK95" i="245"/>
  <c r="Y93" i="245"/>
  <c r="R94" i="245"/>
  <c r="Y100" i="245"/>
  <c r="R95" i="245"/>
  <c r="AM95" i="245"/>
  <c r="O86" i="245"/>
  <c r="Y92" i="245"/>
  <c r="U95" i="245"/>
  <c r="K95" i="245"/>
  <c r="AP93" i="245"/>
  <c r="AG94" i="245"/>
  <c r="G101" i="245"/>
  <c r="AN100" i="245"/>
  <c r="AR100" i="245"/>
  <c r="AT93" i="245"/>
  <c r="AN93" i="245"/>
  <c r="G92" i="245"/>
  <c r="G100" i="245"/>
  <c r="AR93" i="245"/>
  <c r="AG103" i="245"/>
  <c r="AG106" i="245" s="1"/>
  <c r="AJ93" i="245"/>
  <c r="AN101" i="245"/>
  <c r="AQ94" i="245"/>
  <c r="G93" i="245"/>
  <c r="AR102" i="245"/>
  <c r="AR101" i="245"/>
  <c r="AJ102" i="245"/>
  <c r="AK102" i="245"/>
  <c r="AN92" i="245"/>
  <c r="AQ96" i="245"/>
  <c r="AG86" i="245"/>
  <c r="AT100" i="245"/>
  <c r="AJ100" i="245"/>
  <c r="AL101" i="245"/>
  <c r="AD92" i="245"/>
  <c r="AL93" i="245"/>
  <c r="L86" i="245"/>
  <c r="L92" i="245"/>
  <c r="G95" i="245"/>
  <c r="AA100" i="245"/>
  <c r="AC93" i="245"/>
  <c r="T92" i="245"/>
  <c r="L94" i="245"/>
  <c r="L102" i="245"/>
  <c r="G96" i="245"/>
  <c r="AC100" i="245"/>
  <c r="AF104" i="245"/>
  <c r="AF107" i="245" s="1"/>
  <c r="T93" i="245"/>
  <c r="T100" i="245"/>
  <c r="V100" i="245"/>
  <c r="AI94" i="245"/>
  <c r="L100" i="245"/>
  <c r="L93" i="245"/>
  <c r="AQ99" i="245"/>
  <c r="AC101" i="245"/>
  <c r="AG95" i="245"/>
  <c r="AT92" i="245"/>
  <c r="AG104" i="245"/>
  <c r="AG107" i="245" s="1"/>
  <c r="AJ92" i="245"/>
  <c r="M96" i="245"/>
  <c r="I96" i="245"/>
  <c r="AF90" i="245"/>
  <c r="P95" i="245"/>
  <c r="AT101" i="245"/>
  <c r="AI92" i="245"/>
  <c r="M94" i="245"/>
  <c r="AK99" i="245"/>
  <c r="AD100" i="245"/>
  <c r="AT96" i="245"/>
  <c r="U91" i="245"/>
  <c r="R103" i="245"/>
  <c r="R106" i="245" s="1"/>
  <c r="AD102" i="245"/>
  <c r="AT95" i="245"/>
  <c r="U97" i="245"/>
  <c r="AQ91" i="245"/>
  <c r="AD101" i="245"/>
  <c r="AU92" i="245"/>
  <c r="AQ90" i="245"/>
  <c r="Q91" i="245"/>
  <c r="U96" i="245"/>
  <c r="AB91" i="245"/>
  <c r="K92" i="245"/>
  <c r="I94" i="245"/>
  <c r="AK96" i="245"/>
  <c r="AP100" i="245"/>
  <c r="U94" i="245"/>
  <c r="X102" i="245"/>
  <c r="I95" i="245"/>
  <c r="AK86" i="245"/>
  <c r="AO102" i="245"/>
  <c r="AP102" i="245"/>
  <c r="AP92" i="245"/>
  <c r="X93" i="245"/>
  <c r="AS92" i="245"/>
  <c r="U90" i="245"/>
  <c r="AU101" i="245"/>
  <c r="AU102" i="245"/>
  <c r="AA92" i="245"/>
  <c r="AA101" i="245"/>
  <c r="AS93" i="245"/>
  <c r="AC102" i="245"/>
  <c r="U87" i="245"/>
  <c r="AU86" i="245"/>
  <c r="AO97" i="245"/>
  <c r="AU100" i="245"/>
  <c r="T95" i="245"/>
  <c r="V93" i="245"/>
  <c r="X94" i="245"/>
  <c r="L95" i="245"/>
  <c r="AQ87" i="245"/>
  <c r="Q99" i="245"/>
  <c r="Q87" i="245"/>
  <c r="AB104" i="245"/>
  <c r="AB107" i="245" s="1"/>
  <c r="U98" i="245"/>
  <c r="AU94" i="245"/>
  <c r="AO98" i="245"/>
  <c r="AU104" i="245"/>
  <c r="AU107" i="245" s="1"/>
  <c r="V102" i="245"/>
  <c r="X95" i="245"/>
  <c r="Z86" i="245"/>
  <c r="AI86" i="245"/>
  <c r="AQ97" i="245"/>
  <c r="Q97" i="245"/>
  <c r="AC98" i="245"/>
  <c r="AR97" i="245"/>
  <c r="AR91" i="245"/>
  <c r="AA95" i="245"/>
  <c r="AA86" i="245"/>
  <c r="AA96" i="245"/>
  <c r="AC99" i="245"/>
  <c r="W100" i="245"/>
  <c r="W92" i="245"/>
  <c r="W101" i="245"/>
  <c r="Z103" i="245"/>
  <c r="Z106" i="245" s="1"/>
  <c r="R92" i="245"/>
  <c r="S93" i="245"/>
  <c r="S100" i="245"/>
  <c r="S101" i="245"/>
  <c r="AL87" i="245"/>
  <c r="X96" i="245"/>
  <c r="AK103" i="245"/>
  <c r="AK106" i="245" s="1"/>
  <c r="AK104" i="245"/>
  <c r="AK107" i="245" s="1"/>
  <c r="I97" i="245"/>
  <c r="AP96" i="245"/>
  <c r="I90" i="245"/>
  <c r="AP95" i="245"/>
  <c r="I87" i="245"/>
  <c r="R105" i="245"/>
  <c r="R108" i="245" s="1"/>
  <c r="S102" i="245"/>
  <c r="AJ94" i="245"/>
  <c r="AR90" i="245"/>
  <c r="AO105" i="245"/>
  <c r="AO108" i="245" s="1"/>
  <c r="AH98" i="245"/>
  <c r="Q105" i="245"/>
  <c r="Q108" i="245" s="1"/>
  <c r="AL94" i="245"/>
  <c r="AL97" i="245"/>
  <c r="AL86" i="245"/>
  <c r="AI96" i="245"/>
  <c r="AL91" i="245"/>
  <c r="P94" i="245"/>
  <c r="K96" i="245"/>
  <c r="K86" i="245"/>
  <c r="Y105" i="245"/>
  <c r="Y108" i="245" s="1"/>
  <c r="Z92" i="245"/>
  <c r="AF100" i="245"/>
  <c r="AF101" i="245"/>
  <c r="AF92" i="245"/>
  <c r="AB90" i="245"/>
  <c r="AB98" i="245"/>
  <c r="AE86" i="245"/>
  <c r="AE94" i="245"/>
  <c r="AE95" i="245"/>
  <c r="AS94" i="245"/>
  <c r="M95" i="245"/>
  <c r="AF98" i="245"/>
  <c r="AS96" i="245"/>
  <c r="J105" i="245"/>
  <c r="J108" i="245" s="1"/>
  <c r="AD95" i="245"/>
  <c r="AS95" i="245"/>
  <c r="AF105" i="245"/>
  <c r="AF108" i="245" s="1"/>
  <c r="AU103" i="245"/>
  <c r="AU106" i="245" s="1"/>
  <c r="J103" i="245"/>
  <c r="J106" i="245" s="1"/>
  <c r="AD96" i="245"/>
  <c r="AR94" i="245"/>
  <c r="Q102" i="245"/>
  <c r="H103" i="245"/>
  <c r="H106" i="245" s="1"/>
  <c r="AB102" i="245"/>
  <c r="P99" i="245"/>
  <c r="AM101" i="245"/>
  <c r="AL98" i="245"/>
  <c r="AB96" i="245"/>
  <c r="AD99" i="245"/>
  <c r="AH95" i="245"/>
  <c r="G94" i="245"/>
  <c r="P105" i="245"/>
  <c r="P108" i="245" s="1"/>
  <c r="AO91" i="245"/>
  <c r="M98" i="245"/>
  <c r="AB86" i="245"/>
  <c r="AM102" i="245"/>
  <c r="AQ92" i="245"/>
  <c r="Z101" i="245"/>
  <c r="R102" i="245"/>
  <c r="AJ103" i="245"/>
  <c r="AJ106" i="245" s="1"/>
  <c r="AF91" i="245"/>
  <c r="R100" i="245"/>
  <c r="R101" i="245"/>
  <c r="AG92" i="245"/>
  <c r="U100" i="245"/>
  <c r="Q100" i="245"/>
  <c r="T96" i="245"/>
  <c r="Z97" i="245"/>
  <c r="AM93" i="245"/>
  <c r="AJ91" i="245"/>
  <c r="Q86" i="245"/>
  <c r="AJ90" i="245"/>
  <c r="Q96" i="245"/>
  <c r="AR104" i="245"/>
  <c r="AR107" i="245" s="1"/>
  <c r="Z95" i="245"/>
  <c r="Z96" i="245"/>
  <c r="H86" i="245"/>
  <c r="Z105" i="245"/>
  <c r="Z108" i="245" s="1"/>
  <c r="I100" i="245"/>
  <c r="I102" i="245"/>
  <c r="AF97" i="245"/>
  <c r="AQ93" i="245"/>
  <c r="AO99" i="245"/>
  <c r="AB87" i="245"/>
  <c r="AC90" i="245"/>
  <c r="AR87" i="245"/>
  <c r="Q94" i="245"/>
  <c r="AQ103" i="245"/>
  <c r="AQ106" i="245" s="1"/>
  <c r="AM103" i="245"/>
  <c r="AM106" i="245" s="1"/>
  <c r="M92" i="245"/>
  <c r="U103" i="245"/>
  <c r="U106" i="245" s="1"/>
  <c r="AO90" i="245"/>
  <c r="AQ102" i="245"/>
  <c r="AR105" i="245"/>
  <c r="AR108" i="245" s="1"/>
  <c r="AG101" i="245"/>
  <c r="AO96" i="245"/>
  <c r="J99" i="245"/>
  <c r="AG102" i="245"/>
  <c r="L97" i="245"/>
  <c r="AA105" i="245"/>
  <c r="AA108" i="245" s="1"/>
  <c r="S94" i="245"/>
  <c r="S95" i="245"/>
  <c r="U101" i="245"/>
  <c r="T103" i="245"/>
  <c r="T106" i="245" s="1"/>
  <c r="AO103" i="245"/>
  <c r="AO106" i="245" s="1"/>
  <c r="Z102" i="245"/>
  <c r="AC104" i="245"/>
  <c r="AC107" i="245" s="1"/>
  <c r="V87" i="245"/>
  <c r="Z93" i="245"/>
  <c r="AC105" i="245"/>
  <c r="AC108" i="245" s="1"/>
  <c r="AS101" i="245"/>
  <c r="AF93" i="245"/>
  <c r="T86" i="245"/>
  <c r="U93" i="245"/>
  <c r="AA104" i="245"/>
  <c r="AA107" i="245" s="1"/>
  <c r="AR95" i="245"/>
  <c r="M97" i="245"/>
  <c r="W91" i="245"/>
  <c r="W98" i="245"/>
  <c r="Q101" i="245"/>
  <c r="Q92" i="245"/>
  <c r="AE105" i="245"/>
  <c r="AE108" i="245" s="1"/>
  <c r="Z87" i="245"/>
  <c r="G91" i="245"/>
  <c r="Z99" i="245"/>
  <c r="AR96" i="245"/>
  <c r="I99" i="245"/>
  <c r="W102" i="245"/>
  <c r="Z91" i="245"/>
  <c r="AC97" i="245"/>
  <c r="AO86" i="245"/>
  <c r="AR99" i="245"/>
  <c r="AC87" i="245"/>
  <c r="AO94" i="245"/>
  <c r="AJ99" i="245"/>
  <c r="H98" i="245"/>
  <c r="AD104" i="245"/>
  <c r="AD107" i="245" s="1"/>
  <c r="AO92" i="245"/>
  <c r="H90" i="245"/>
  <c r="R90" i="245"/>
  <c r="AD103" i="245"/>
  <c r="AD106" i="245" s="1"/>
  <c r="Q103" i="245"/>
  <c r="Q106" i="245" s="1"/>
  <c r="S96" i="245"/>
  <c r="AG93" i="245"/>
  <c r="AL95" i="245"/>
  <c r="AB94" i="245"/>
  <c r="AP86" i="245"/>
  <c r="AQ100" i="245"/>
  <c r="O93" i="245"/>
  <c r="G97" i="245"/>
  <c r="O100" i="245"/>
  <c r="AM105" i="245"/>
  <c r="AM108" i="245" s="1"/>
  <c r="AF99" i="245"/>
  <c r="N102" i="245"/>
  <c r="Y97" i="245"/>
  <c r="Y90" i="245"/>
  <c r="Y91" i="245"/>
  <c r="I103" i="245"/>
  <c r="I106" i="245" s="1"/>
  <c r="G99" i="245"/>
  <c r="W90" i="245"/>
  <c r="I104" i="245"/>
  <c r="I107" i="245" s="1"/>
  <c r="N86" i="245"/>
  <c r="G90" i="245"/>
  <c r="AS105" i="245"/>
  <c r="AS108" i="245" s="1"/>
  <c r="W97" i="245"/>
  <c r="U102" i="245"/>
  <c r="AI99" i="245"/>
  <c r="G87" i="245"/>
  <c r="AS104" i="245"/>
  <c r="AS107" i="245" s="1"/>
  <c r="W87" i="245"/>
  <c r="AA99" i="245"/>
  <c r="AI98" i="245"/>
  <c r="Y104" i="245"/>
  <c r="Y107" i="245" s="1"/>
  <c r="AA90" i="245"/>
  <c r="AI87" i="245"/>
  <c r="AA98" i="245"/>
  <c r="L103" i="245"/>
  <c r="L106" i="245" s="1"/>
  <c r="AI90" i="245"/>
  <c r="AM97" i="245"/>
  <c r="AA97" i="245"/>
  <c r="AD97" i="245"/>
  <c r="L105" i="245"/>
  <c r="L108" i="245" s="1"/>
  <c r="G103" i="245"/>
  <c r="G106" i="245" s="1"/>
  <c r="AM87" i="245"/>
  <c r="AA87" i="245"/>
  <c r="AD91" i="245"/>
  <c r="AJ87" i="245"/>
  <c r="AJ98" i="245"/>
  <c r="P103" i="245"/>
  <c r="P106" i="245" s="1"/>
  <c r="T104" i="245"/>
  <c r="T107" i="245" s="1"/>
  <c r="V101" i="245"/>
  <c r="AH90" i="245"/>
  <c r="H91" i="245"/>
  <c r="AH97" i="245"/>
  <c r="AB103" i="245"/>
  <c r="AB106" i="245" s="1"/>
  <c r="J98" i="245"/>
  <c r="AN98" i="245"/>
  <c r="AH91" i="245"/>
  <c r="P86" i="245"/>
  <c r="H97" i="245"/>
  <c r="J97" i="245"/>
  <c r="AN90" i="245"/>
  <c r="AH99" i="245"/>
  <c r="I98" i="245"/>
  <c r="J91" i="245"/>
  <c r="V98" i="245"/>
  <c r="Z90" i="245"/>
  <c r="AN87" i="245"/>
  <c r="AD90" i="245"/>
  <c r="M93" i="245"/>
  <c r="H87" i="245"/>
  <c r="AN99" i="245"/>
  <c r="J90" i="245"/>
  <c r="G105" i="245"/>
  <c r="G108" i="245" s="1"/>
  <c r="R98" i="245"/>
  <c r="AE104" i="245"/>
  <c r="AE107" i="245" s="1"/>
  <c r="AD98" i="245"/>
  <c r="N95" i="245"/>
  <c r="N92" i="245"/>
  <c r="AB97" i="245"/>
  <c r="AI97" i="245"/>
  <c r="W105" i="245"/>
  <c r="W108" i="245" s="1"/>
  <c r="AL104" i="245"/>
  <c r="AL107" i="245" s="1"/>
  <c r="AM99" i="245"/>
  <c r="X103" i="245"/>
  <c r="X106" i="245" s="1"/>
  <c r="AJ104" i="245"/>
  <c r="AJ107" i="245" s="1"/>
  <c r="X104" i="245"/>
  <c r="X107" i="245" s="1"/>
  <c r="H96" i="245"/>
  <c r="AN97" i="245"/>
  <c r="H95" i="245"/>
  <c r="W104" i="245"/>
  <c r="W107" i="245" s="1"/>
  <c r="V86" i="245"/>
  <c r="AU98" i="245"/>
  <c r="V94" i="245"/>
  <c r="V96" i="245"/>
  <c r="AH104" i="245"/>
  <c r="AH107" i="245" s="1"/>
  <c r="AH103" i="245"/>
  <c r="AH106" i="245" s="1"/>
  <c r="K97" i="245"/>
  <c r="K98" i="245"/>
  <c r="K91" i="245"/>
  <c r="N94" i="245"/>
  <c r="K90" i="245"/>
  <c r="K87" i="245"/>
  <c r="AM91" i="245"/>
  <c r="AM98" i="245"/>
  <c r="AL103" i="245"/>
  <c r="AL106" i="245" s="1"/>
  <c r="AG98" i="245"/>
  <c r="AG97" i="245"/>
  <c r="AG91" i="245"/>
  <c r="AG87" i="245"/>
  <c r="AG90" i="245"/>
  <c r="AP87" i="245"/>
  <c r="AP99" i="245"/>
  <c r="AH86" i="245"/>
  <c r="AT87" i="245"/>
  <c r="AB92" i="245"/>
  <c r="T87" i="245"/>
  <c r="AI100" i="245"/>
  <c r="X92" i="245"/>
  <c r="W94" i="245"/>
  <c r="K93" i="245"/>
  <c r="AC94" i="245"/>
  <c r="AF86" i="245"/>
  <c r="O90" i="245"/>
  <c r="P98" i="245"/>
  <c r="AK97" i="245"/>
  <c r="N103" i="245"/>
  <c r="N106" i="245" s="1"/>
  <c r="AK91" i="245"/>
  <c r="N105" i="245"/>
  <c r="N108" i="245" s="1"/>
  <c r="R91" i="245"/>
  <c r="AB101" i="245"/>
  <c r="AU91" i="245"/>
  <c r="T99" i="245"/>
  <c r="L91" i="245"/>
  <c r="AI102" i="245"/>
  <c r="M87" i="245"/>
  <c r="X100" i="245"/>
  <c r="W96" i="245"/>
  <c r="Y98" i="245"/>
  <c r="J101" i="245"/>
  <c r="K101" i="245"/>
  <c r="AC96" i="245"/>
  <c r="M100" i="245"/>
  <c r="AF94" i="245"/>
  <c r="O87" i="245"/>
  <c r="AK90" i="245"/>
  <c r="O92" i="245"/>
  <c r="O91" i="245"/>
  <c r="R99" i="245"/>
  <c r="AS100" i="245"/>
  <c r="AU97" i="245"/>
  <c r="L87" i="245"/>
  <c r="AI101" i="245"/>
  <c r="M99" i="245"/>
  <c r="W95" i="245"/>
  <c r="Y87" i="245"/>
  <c r="AK101" i="245"/>
  <c r="J93" i="245"/>
  <c r="K102" i="245"/>
  <c r="AC95" i="245"/>
  <c r="AP97" i="245"/>
  <c r="M101" i="245"/>
  <c r="AF95" i="245"/>
  <c r="O97" i="245"/>
  <c r="AS87" i="245"/>
  <c r="AK87" i="245"/>
  <c r="O101" i="245"/>
  <c r="AB100" i="245"/>
  <c r="R87" i="245"/>
  <c r="S97" i="245"/>
  <c r="AU90" i="245"/>
  <c r="AT103" i="245"/>
  <c r="AT106" i="245" s="1"/>
  <c r="L99" i="245"/>
  <c r="M90" i="245"/>
  <c r="I101" i="245"/>
  <c r="AK93" i="245"/>
  <c r="J92" i="245"/>
  <c r="AM100" i="245"/>
  <c r="AE91" i="245"/>
  <c r="AP91" i="245"/>
  <c r="O99" i="245"/>
  <c r="AO93" i="245"/>
  <c r="N93" i="245"/>
  <c r="P91" i="245"/>
  <c r="AS97" i="245"/>
  <c r="AJ95" i="245"/>
  <c r="S98" i="245"/>
  <c r="AU87" i="245"/>
  <c r="AT105" i="245"/>
  <c r="AT108" i="245" s="1"/>
  <c r="L98" i="245"/>
  <c r="I93" i="245"/>
  <c r="AK92" i="245"/>
  <c r="J100" i="245"/>
  <c r="AD86" i="245"/>
  <c r="AP98" i="245"/>
  <c r="AO100" i="245"/>
  <c r="AJ96" i="245"/>
  <c r="N100" i="245"/>
  <c r="AH96" i="245"/>
  <c r="P90" i="245"/>
  <c r="AS91" i="245"/>
  <c r="P97" i="245"/>
  <c r="V90" i="245"/>
  <c r="N98" i="245"/>
  <c r="T98" i="245"/>
  <c r="X90" i="245"/>
  <c r="K103" i="245"/>
  <c r="K106" i="245" s="1"/>
  <c r="AT98" i="245"/>
  <c r="T97" i="245"/>
  <c r="V97" i="245"/>
  <c r="X87" i="245"/>
  <c r="K104" i="245"/>
  <c r="K107" i="245" s="1"/>
  <c r="N97" i="245"/>
  <c r="AS99" i="245"/>
  <c r="AT90" i="245"/>
  <c r="S91" i="245"/>
  <c r="V99" i="245"/>
  <c r="X99" i="245"/>
  <c r="AE90" i="245"/>
  <c r="N91" i="245"/>
  <c r="AS98" i="245"/>
  <c r="AP103" i="245"/>
  <c r="AP106" i="245" s="1"/>
  <c r="AT97" i="245"/>
  <c r="S90" i="245"/>
  <c r="X91" i="245"/>
  <c r="AE97" i="245"/>
  <c r="N90" i="245"/>
  <c r="O103" i="245"/>
  <c r="O106" i="245" s="1"/>
  <c r="AQ104" i="245"/>
  <c r="AQ107" i="245" s="1"/>
  <c r="AT91" i="245"/>
  <c r="S87" i="245"/>
  <c r="T91" i="245"/>
  <c r="X98" i="245"/>
  <c r="AE99" i="245"/>
  <c r="N87" i="245"/>
  <c r="O104" i="245"/>
  <c r="O107" i="245" s="1"/>
  <c r="AE87" i="245"/>
  <c r="U105" i="245"/>
  <c r="U108" i="245" s="1"/>
  <c r="AL99" i="245"/>
  <c r="H104" i="245"/>
  <c r="H107" i="245" s="1"/>
  <c r="S103" i="245"/>
  <c r="S106" i="245" s="1"/>
  <c r="AI103" i="245"/>
  <c r="AI106" i="245" s="1"/>
  <c r="AN103" i="245"/>
  <c r="AN106" i="245" s="1"/>
  <c r="M103" i="245"/>
  <c r="M106" i="245" s="1"/>
  <c r="S104" i="245"/>
  <c r="S107" i="245" s="1"/>
  <c r="AP105" i="245"/>
  <c r="AP108" i="245" s="1"/>
  <c r="AI104" i="245"/>
  <c r="AI107" i="245" s="1"/>
  <c r="AN105" i="245"/>
  <c r="AN108" i="245" s="1"/>
  <c r="M105" i="245"/>
  <c r="M108" i="245" s="1"/>
  <c r="G35" i="245"/>
  <c r="E98" i="216"/>
  <c r="F98" i="216"/>
  <c r="E160" i="231" s="1"/>
  <c r="E99" i="216"/>
  <c r="F99" i="216"/>
  <c r="E161" i="231" s="1"/>
  <c r="E100" i="216"/>
  <c r="F100" i="216"/>
  <c r="E162" i="231" s="1"/>
  <c r="E101" i="216"/>
  <c r="F101" i="216"/>
  <c r="E163" i="231" s="1"/>
  <c r="E102" i="216"/>
  <c r="F102" i="216"/>
  <c r="E164" i="231" s="1"/>
  <c r="E103" i="216"/>
  <c r="F103" i="216"/>
  <c r="E165" i="231" s="1"/>
  <c r="E104" i="216"/>
  <c r="F104" i="216"/>
  <c r="E166" i="231" s="1"/>
  <c r="E105" i="216"/>
  <c r="F105" i="216"/>
  <c r="E167" i="231" s="1"/>
  <c r="E106" i="216"/>
  <c r="F106" i="216"/>
  <c r="E168" i="231" s="1"/>
  <c r="E107" i="216"/>
  <c r="F107" i="216"/>
  <c r="E169" i="231" s="1"/>
  <c r="E108" i="216"/>
  <c r="F108" i="216"/>
  <c r="E170" i="231" s="1"/>
  <c r="E109" i="216"/>
  <c r="F109" i="216"/>
  <c r="E171" i="231" s="1"/>
  <c r="E110" i="216"/>
  <c r="F110" i="216"/>
  <c r="E172" i="231" s="1"/>
  <c r="E111" i="216"/>
  <c r="F111" i="216"/>
  <c r="E173" i="231" s="1"/>
  <c r="E112" i="216"/>
  <c r="F112" i="216"/>
  <c r="E174" i="231" s="1"/>
  <c r="E175" i="231"/>
  <c r="E176" i="231"/>
  <c r="E177" i="231"/>
  <c r="E178" i="231"/>
  <c r="E182" i="231" s="1"/>
  <c r="E179" i="231"/>
  <c r="E183" i="231" s="1"/>
  <c r="E85" i="216"/>
  <c r="F85" i="216"/>
  <c r="E147" i="231" s="1"/>
  <c r="E86" i="216"/>
  <c r="F86" i="216"/>
  <c r="E148" i="231" s="1"/>
  <c r="E87" i="216"/>
  <c r="F87" i="216"/>
  <c r="E149" i="231" s="1"/>
  <c r="E88" i="216"/>
  <c r="F88" i="216"/>
  <c r="E150" i="231" s="1"/>
  <c r="E89" i="216"/>
  <c r="F89" i="216"/>
  <c r="E151" i="231" s="1"/>
  <c r="E90" i="216"/>
  <c r="F90" i="216"/>
  <c r="E152" i="231" s="1"/>
  <c r="E91" i="216"/>
  <c r="F91" i="216"/>
  <c r="E153" i="231" s="1"/>
  <c r="E92" i="216"/>
  <c r="F92" i="216"/>
  <c r="E154" i="231" s="1"/>
  <c r="E93" i="216"/>
  <c r="F93" i="216"/>
  <c r="E155" i="231" s="1"/>
  <c r="E94" i="216"/>
  <c r="F94" i="216"/>
  <c r="E156" i="231" s="1"/>
  <c r="E95" i="216"/>
  <c r="F95" i="216"/>
  <c r="E157" i="231" s="1"/>
  <c r="E96" i="216"/>
  <c r="F96" i="216"/>
  <c r="E158" i="231" s="1"/>
  <c r="E97" i="216"/>
  <c r="F97" i="216"/>
  <c r="E159" i="231" s="1"/>
  <c r="F84" i="216"/>
  <c r="E146" i="231" s="1"/>
  <c r="E84" i="216"/>
  <c r="B19" i="237" l="1"/>
  <c r="F19" i="237"/>
  <c r="D19" i="237" s="1"/>
  <c r="B27" i="237"/>
  <c r="F27" i="237"/>
  <c r="D27" i="237" s="1"/>
  <c r="B26" i="237"/>
  <c r="F26" i="237"/>
  <c r="D26" i="237" s="1"/>
  <c r="B17" i="237"/>
  <c r="F17" i="237"/>
  <c r="D17" i="237" s="1"/>
  <c r="B31" i="237"/>
  <c r="F31" i="237"/>
  <c r="D31" i="237" s="1"/>
  <c r="B12" i="237"/>
  <c r="F12" i="237"/>
  <c r="D12" i="237" s="1"/>
  <c r="B11" i="237"/>
  <c r="F11" i="237"/>
  <c r="D11" i="237" s="1"/>
  <c r="B38" i="237"/>
  <c r="F38" i="237"/>
  <c r="B24" i="237"/>
  <c r="F24" i="237"/>
  <c r="D24" i="237" s="1"/>
  <c r="B47" i="237"/>
  <c r="F47" i="237"/>
  <c r="B18" i="237"/>
  <c r="F18" i="237"/>
  <c r="D18" i="237" s="1"/>
  <c r="B14" i="237"/>
  <c r="F14" i="237"/>
  <c r="D14" i="237" s="1"/>
  <c r="B32" i="237"/>
  <c r="F32" i="237"/>
  <c r="D32" i="237" s="1"/>
  <c r="B10" i="237"/>
  <c r="F10" i="237"/>
  <c r="B37" i="237"/>
  <c r="F37" i="237"/>
  <c r="D37" i="237" s="1"/>
  <c r="B23" i="237"/>
  <c r="F23" i="237"/>
  <c r="D23" i="237" s="1"/>
  <c r="B20" i="237"/>
  <c r="F20" i="237"/>
  <c r="D20" i="237" s="1"/>
  <c r="B28" i="237"/>
  <c r="F28" i="237"/>
  <c r="D28" i="237" s="1"/>
  <c r="B16" i="237"/>
  <c r="F16" i="237"/>
  <c r="D16" i="237" s="1"/>
  <c r="B15" i="237"/>
  <c r="F15" i="237"/>
  <c r="D15" i="237" s="1"/>
  <c r="B9" i="237"/>
  <c r="F9" i="237"/>
  <c r="D9" i="237" s="1"/>
  <c r="B36" i="237"/>
  <c r="F36" i="237"/>
  <c r="D36" i="237" s="1"/>
  <c r="B25" i="237"/>
  <c r="F25" i="237"/>
  <c r="D25" i="237" s="1"/>
  <c r="B50" i="237"/>
  <c r="F50" i="237"/>
  <c r="B33" i="237"/>
  <c r="F33" i="237"/>
  <c r="D33" i="237" s="1"/>
  <c r="B44" i="237"/>
  <c r="F44" i="237"/>
  <c r="B41" i="237"/>
  <c r="F41" i="237"/>
  <c r="B22" i="237"/>
  <c r="F22" i="237"/>
  <c r="D22" i="237" s="1"/>
  <c r="B35" i="237"/>
  <c r="F35" i="237"/>
  <c r="D35" i="237" s="1"/>
  <c r="B30" i="237"/>
  <c r="F30" i="237"/>
  <c r="D30" i="237" s="1"/>
  <c r="B29" i="237"/>
  <c r="F29" i="237"/>
  <c r="D29" i="237" s="1"/>
  <c r="B21" i="237"/>
  <c r="F21" i="237"/>
  <c r="D21" i="237" s="1"/>
  <c r="B34" i="237"/>
  <c r="F34" i="237"/>
  <c r="B13" i="237"/>
  <c r="F13" i="237"/>
  <c r="D13" i="237" s="1"/>
  <c r="G36" i="245"/>
  <c r="G111" i="216"/>
  <c r="G112" i="216"/>
  <c r="G84" i="216"/>
  <c r="G85" i="216"/>
  <c r="G86" i="216"/>
  <c r="G87" i="216"/>
  <c r="G88" i="216"/>
  <c r="G89" i="216"/>
  <c r="G90" i="216"/>
  <c r="G91" i="216"/>
  <c r="G92" i="216"/>
  <c r="G93" i="216"/>
  <c r="G94" i="216"/>
  <c r="G95" i="216"/>
  <c r="G96" i="216"/>
  <c r="G97" i="216"/>
  <c r="G98" i="216"/>
  <c r="G99" i="216"/>
  <c r="G100" i="216"/>
  <c r="G101" i="216"/>
  <c r="G102" i="216"/>
  <c r="G103" i="216"/>
  <c r="G104" i="216"/>
  <c r="G105" i="216"/>
  <c r="G106" i="216"/>
  <c r="G107" i="216"/>
  <c r="G108" i="216"/>
  <c r="G109" i="216"/>
  <c r="G110" i="216"/>
  <c r="G28" i="245" l="1"/>
  <c r="G27" i="245"/>
  <c r="K24" i="242"/>
  <c r="L24" i="242" s="1"/>
  <c r="AI32" i="242"/>
  <c r="AI6" i="242" s="1"/>
  <c r="AH32" i="242"/>
  <c r="AH6" i="242" s="1"/>
  <c r="AG32" i="242"/>
  <c r="AG6" i="242" s="1"/>
  <c r="AF32" i="242"/>
  <c r="AF6" i="242" s="1"/>
  <c r="AE32" i="242"/>
  <c r="AD32" i="242"/>
  <c r="AD6" i="242" s="1"/>
  <c r="AC32" i="242"/>
  <c r="AC6" i="242" s="1"/>
  <c r="AB32" i="242"/>
  <c r="AB6" i="242" s="1"/>
  <c r="AA32" i="242"/>
  <c r="Z32" i="242"/>
  <c r="Z6" i="242" s="1"/>
  <c r="Y32" i="242"/>
  <c r="Y6" i="242" s="1"/>
  <c r="X32" i="242"/>
  <c r="X6" i="242" s="1"/>
  <c r="W32" i="242"/>
  <c r="W6" i="242" s="1"/>
  <c r="V32" i="242"/>
  <c r="V6" i="242" s="1"/>
  <c r="U32" i="242"/>
  <c r="U6" i="242" s="1"/>
  <c r="T32" i="242"/>
  <c r="S32" i="242"/>
  <c r="S6" i="242" s="1"/>
  <c r="R32" i="242"/>
  <c r="R6" i="242" s="1"/>
  <c r="Q32" i="242"/>
  <c r="Q6" i="242" s="1"/>
  <c r="P32" i="242"/>
  <c r="P6" i="242" s="1"/>
  <c r="O32" i="242"/>
  <c r="O6" i="242" s="1"/>
  <c r="N32" i="242"/>
  <c r="N6" i="242" s="1"/>
  <c r="M32" i="242"/>
  <c r="M11" i="242" s="1"/>
  <c r="M6" i="242" s="1"/>
  <c r="L32" i="242"/>
  <c r="L11" i="242" s="1"/>
  <c r="L6" i="242" s="1"/>
  <c r="D15" i="236"/>
  <c r="AE6" i="242"/>
  <c r="AA6" i="242"/>
  <c r="T6" i="242"/>
  <c r="K6" i="242"/>
  <c r="J6" i="242"/>
  <c r="I6" i="242"/>
  <c r="H6" i="242"/>
  <c r="G6" i="242"/>
  <c r="F6" i="242"/>
  <c r="E6" i="242"/>
  <c r="D16" i="236"/>
  <c r="D17" i="236"/>
  <c r="J7" i="242"/>
  <c r="I7" i="242"/>
  <c r="H7" i="242"/>
  <c r="G7" i="242"/>
  <c r="F7" i="242"/>
  <c r="E7" i="242"/>
  <c r="D18" i="236"/>
  <c r="D21" i="236"/>
  <c r="D22" i="236"/>
  <c r="D23" i="236"/>
  <c r="D24" i="236"/>
  <c r="D25" i="236"/>
  <c r="D26" i="236"/>
  <c r="D27" i="236"/>
  <c r="D28" i="236"/>
  <c r="D29" i="236"/>
  <c r="D31" i="236"/>
  <c r="D32" i="236"/>
  <c r="AY15" i="235"/>
  <c r="AU9" i="235"/>
  <c r="D34" i="236"/>
  <c r="D33" i="236"/>
  <c r="AZ87" i="238"/>
  <c r="AZ86" i="238"/>
  <c r="AZ85" i="238"/>
  <c r="AZ84" i="238"/>
  <c r="AZ83" i="238"/>
  <c r="AZ82" i="238"/>
  <c r="AZ81" i="238"/>
  <c r="AX111" i="238"/>
  <c r="AX110" i="238"/>
  <c r="AX109" i="238"/>
  <c r="AX108" i="238"/>
  <c r="AX107" i="238"/>
  <c r="AX106" i="238"/>
  <c r="AX105" i="238"/>
  <c r="AX104" i="238"/>
  <c r="AX103" i="238"/>
  <c r="AX102" i="238"/>
  <c r="AX101" i="238"/>
  <c r="AX100" i="238"/>
  <c r="AX99" i="238"/>
  <c r="AX98" i="238"/>
  <c r="AX94" i="238"/>
  <c r="AX93" i="238"/>
  <c r="AX92" i="238"/>
  <c r="AX91" i="238"/>
  <c r="AX90" i="238"/>
  <c r="AX89" i="238"/>
  <c r="AX88" i="238"/>
  <c r="AX87" i="238"/>
  <c r="AX86" i="238"/>
  <c r="AX85" i="238"/>
  <c r="AX84" i="238"/>
  <c r="AX83" i="238"/>
  <c r="AX82" i="238"/>
  <c r="AX81" i="238"/>
  <c r="AW69" i="238"/>
  <c r="AW87" i="238" s="1"/>
  <c r="CT30" i="238" s="1"/>
  <c r="AV69" i="238"/>
  <c r="AV87" i="238" s="1"/>
  <c r="CS30" i="238" s="1"/>
  <c r="AU69" i="238"/>
  <c r="AU87" i="238" s="1"/>
  <c r="CR30" i="238" s="1"/>
  <c r="AT69" i="238"/>
  <c r="AT87" i="238" s="1"/>
  <c r="CQ30" i="238"/>
  <c r="AS69" i="238"/>
  <c r="AS87" i="238" s="1"/>
  <c r="CP30" i="238" s="1"/>
  <c r="AR69" i="238"/>
  <c r="AR87" i="238"/>
  <c r="CO30" i="238" s="1"/>
  <c r="AQ69" i="238"/>
  <c r="AQ87" i="238" s="1"/>
  <c r="CN30" i="238" s="1"/>
  <c r="AP69" i="238"/>
  <c r="AP87" i="238" s="1"/>
  <c r="CM30" i="238" s="1"/>
  <c r="AO69" i="238"/>
  <c r="AO87" i="238" s="1"/>
  <c r="CL30" i="238" s="1"/>
  <c r="AN69" i="238"/>
  <c r="AN87" i="238" s="1"/>
  <c r="CK30" i="238" s="1"/>
  <c r="AM69" i="238"/>
  <c r="AM87" i="238" s="1"/>
  <c r="CJ30" i="238" s="1"/>
  <c r="AL69" i="238"/>
  <c r="AL87" i="238" s="1"/>
  <c r="CI30" i="238" s="1"/>
  <c r="AK69" i="238"/>
  <c r="AK87" i="238" s="1"/>
  <c r="CH30" i="238" s="1"/>
  <c r="AJ69" i="238"/>
  <c r="AJ87" i="238" s="1"/>
  <c r="CG30" i="238" s="1"/>
  <c r="AI69" i="238"/>
  <c r="AI87" i="238" s="1"/>
  <c r="CF30" i="238" s="1"/>
  <c r="AH69" i="238"/>
  <c r="AH87" i="238" s="1"/>
  <c r="CE30" i="238" s="1"/>
  <c r="AG69" i="238"/>
  <c r="AG87" i="238" s="1"/>
  <c r="CD30" i="238" s="1"/>
  <c r="AF69" i="238"/>
  <c r="AF87" i="238" s="1"/>
  <c r="CC30" i="238" s="1"/>
  <c r="AE69" i="238"/>
  <c r="AE87" i="238" s="1"/>
  <c r="CB30" i="238" s="1"/>
  <c r="AD69" i="238"/>
  <c r="AD87" i="238" s="1"/>
  <c r="CA30" i="238" s="1"/>
  <c r="AC69" i="238"/>
  <c r="AC87" i="238" s="1"/>
  <c r="BZ30" i="238" s="1"/>
  <c r="AB69" i="238"/>
  <c r="AB87" i="238" s="1"/>
  <c r="BY30" i="238" s="1"/>
  <c r="AA69" i="238"/>
  <c r="AA87" i="238" s="1"/>
  <c r="BX30" i="238" s="1"/>
  <c r="Z69" i="238"/>
  <c r="Z87" i="238" s="1"/>
  <c r="BW30" i="238" s="1"/>
  <c r="Y69" i="238"/>
  <c r="Y87" i="238" s="1"/>
  <c r="BV30" i="238" s="1"/>
  <c r="X69" i="238"/>
  <c r="X87" i="238" s="1"/>
  <c r="BU30" i="238" s="1"/>
  <c r="W69" i="238"/>
  <c r="W87" i="238" s="1"/>
  <c r="BT30" i="238" s="1"/>
  <c r="V69" i="238"/>
  <c r="V87" i="238" s="1"/>
  <c r="BS30" i="238" s="1"/>
  <c r="U69" i="238"/>
  <c r="U87" i="238" s="1"/>
  <c r="BR30" i="238" s="1"/>
  <c r="T69" i="238"/>
  <c r="T87" i="238" s="1"/>
  <c r="BQ30" i="238" s="1"/>
  <c r="S69" i="238"/>
  <c r="S87" i="238" s="1"/>
  <c r="BP30" i="238" s="1"/>
  <c r="R69" i="238"/>
  <c r="R87" i="238" s="1"/>
  <c r="BO30" i="238" s="1"/>
  <c r="Q69" i="238"/>
  <c r="Q87" i="238" s="1"/>
  <c r="BN30" i="238" s="1"/>
  <c r="P69" i="238"/>
  <c r="P87" i="238" s="1"/>
  <c r="BM30" i="238" s="1"/>
  <c r="O69" i="238"/>
  <c r="O87" i="238" s="1"/>
  <c r="BL30" i="238" s="1"/>
  <c r="N69" i="238"/>
  <c r="N87" i="238"/>
  <c r="BK30" i="238" s="1"/>
  <c r="M69" i="238"/>
  <c r="M87" i="238" s="1"/>
  <c r="BJ30" i="238" s="1"/>
  <c r="L69" i="238"/>
  <c r="L87" i="238" s="1"/>
  <c r="BI30" i="238" s="1"/>
  <c r="K69" i="238"/>
  <c r="K87" i="238" s="1"/>
  <c r="BH30" i="238" s="1"/>
  <c r="J69" i="238"/>
  <c r="J87" i="238" s="1"/>
  <c r="BG30" i="238" s="1"/>
  <c r="I69" i="238"/>
  <c r="I87" i="238" s="1"/>
  <c r="BF30" i="238" s="1"/>
  <c r="H69" i="238"/>
  <c r="H87" i="238" s="1"/>
  <c r="BE30" i="238" s="1"/>
  <c r="G69" i="238"/>
  <c r="G87" i="238" s="1"/>
  <c r="BD30" i="238" s="1"/>
  <c r="F69" i="238"/>
  <c r="F87" i="238" s="1"/>
  <c r="BC30" i="238" s="1"/>
  <c r="E69" i="238"/>
  <c r="E87" i="238" s="1"/>
  <c r="BB30" i="238" s="1"/>
  <c r="D69" i="238"/>
  <c r="D87" i="238" s="1"/>
  <c r="BA30" i="238" s="1"/>
  <c r="C69" i="238"/>
  <c r="C87" i="238" s="1"/>
  <c r="AZ30" i="238" s="1"/>
  <c r="AW68" i="238"/>
  <c r="AW86" i="238" s="1"/>
  <c r="CT29" i="238" s="1"/>
  <c r="AV68" i="238"/>
  <c r="AV86" i="238" s="1"/>
  <c r="CS29" i="238" s="1"/>
  <c r="AU68" i="238"/>
  <c r="AU86" i="238" s="1"/>
  <c r="CR29" i="238" s="1"/>
  <c r="AT68" i="238"/>
  <c r="AT86" i="238"/>
  <c r="CQ29" i="238" s="1"/>
  <c r="AS68" i="238"/>
  <c r="AS86" i="238" s="1"/>
  <c r="CP29" i="238" s="1"/>
  <c r="AR68" i="238"/>
  <c r="AR86" i="238" s="1"/>
  <c r="CO29" i="238" s="1"/>
  <c r="AQ68" i="238"/>
  <c r="AQ86" i="238" s="1"/>
  <c r="CN29" i="238" s="1"/>
  <c r="AP68" i="238"/>
  <c r="AP86" i="238" s="1"/>
  <c r="CM29" i="238" s="1"/>
  <c r="AO68" i="238"/>
  <c r="AO86" i="238" s="1"/>
  <c r="CL29" i="238" s="1"/>
  <c r="AN68" i="238"/>
  <c r="AN86" i="238"/>
  <c r="CK29" i="238" s="1"/>
  <c r="AM68" i="238"/>
  <c r="AM86" i="238" s="1"/>
  <c r="CJ29" i="238" s="1"/>
  <c r="AL68" i="238"/>
  <c r="AL86" i="238" s="1"/>
  <c r="CI29" i="238" s="1"/>
  <c r="AK68" i="238"/>
  <c r="AK86" i="238" s="1"/>
  <c r="CH29" i="238" s="1"/>
  <c r="AJ68" i="238"/>
  <c r="AJ86" i="238" s="1"/>
  <c r="CG29" i="238" s="1"/>
  <c r="AI68" i="238"/>
  <c r="AI86" i="238" s="1"/>
  <c r="CF29" i="238" s="1"/>
  <c r="AH68" i="238"/>
  <c r="AH86" i="238" s="1"/>
  <c r="CE29" i="238" s="1"/>
  <c r="AG68" i="238"/>
  <c r="AG86" i="238" s="1"/>
  <c r="CD29" i="238" s="1"/>
  <c r="AF68" i="238"/>
  <c r="AF86" i="238" s="1"/>
  <c r="CC29" i="238" s="1"/>
  <c r="AE68" i="238"/>
  <c r="AE86" i="238" s="1"/>
  <c r="CB29" i="238" s="1"/>
  <c r="AD68" i="238"/>
  <c r="AD86" i="238" s="1"/>
  <c r="CA29" i="238" s="1"/>
  <c r="AC68" i="238"/>
  <c r="AC86" i="238" s="1"/>
  <c r="BZ29" i="238" s="1"/>
  <c r="AB68" i="238"/>
  <c r="AB86" i="238" s="1"/>
  <c r="BY29" i="238" s="1"/>
  <c r="AA68" i="238"/>
  <c r="AA86" i="238"/>
  <c r="BX29" i="238" s="1"/>
  <c r="Z68" i="238"/>
  <c r="Z86" i="238" s="1"/>
  <c r="BW29" i="238" s="1"/>
  <c r="Y68" i="238"/>
  <c r="Y86" i="238" s="1"/>
  <c r="BV29" i="238" s="1"/>
  <c r="X68" i="238"/>
  <c r="X86" i="238" s="1"/>
  <c r="BU29" i="238" s="1"/>
  <c r="W68" i="238"/>
  <c r="W86" i="238" s="1"/>
  <c r="BT29" i="238" s="1"/>
  <c r="V68" i="238"/>
  <c r="V86" i="238" s="1"/>
  <c r="BS29" i="238" s="1"/>
  <c r="U68" i="238"/>
  <c r="U86" i="238" s="1"/>
  <c r="BR29" i="238" s="1"/>
  <c r="T68" i="238"/>
  <c r="T86" i="238" s="1"/>
  <c r="BQ29" i="238" s="1"/>
  <c r="S68" i="238"/>
  <c r="S86" i="238" s="1"/>
  <c r="BP29" i="238" s="1"/>
  <c r="R68" i="238"/>
  <c r="R86" i="238" s="1"/>
  <c r="BO29" i="238" s="1"/>
  <c r="Q68" i="238"/>
  <c r="Q86" i="238" s="1"/>
  <c r="BN29" i="238" s="1"/>
  <c r="P68" i="238"/>
  <c r="P86" i="238" s="1"/>
  <c r="BM29" i="238" s="1"/>
  <c r="O68" i="238"/>
  <c r="O86" i="238" s="1"/>
  <c r="BL29" i="238" s="1"/>
  <c r="N68" i="238"/>
  <c r="N86" i="238" s="1"/>
  <c r="BK29" i="238" s="1"/>
  <c r="M68" i="238"/>
  <c r="M86" i="238" s="1"/>
  <c r="BJ29" i="238" s="1"/>
  <c r="L68" i="238"/>
  <c r="L86" i="238" s="1"/>
  <c r="BI29" i="238" s="1"/>
  <c r="K68" i="238"/>
  <c r="K86" i="238" s="1"/>
  <c r="BH29" i="238" s="1"/>
  <c r="J68" i="238"/>
  <c r="J86" i="238" s="1"/>
  <c r="BG29" i="238" s="1"/>
  <c r="I68" i="238"/>
  <c r="I86" i="238" s="1"/>
  <c r="BF29" i="238" s="1"/>
  <c r="H68" i="238"/>
  <c r="H86" i="238" s="1"/>
  <c r="BE29" i="238" s="1"/>
  <c r="G68" i="238"/>
  <c r="G86" i="238" s="1"/>
  <c r="BD29" i="238" s="1"/>
  <c r="F68" i="238"/>
  <c r="F86" i="238" s="1"/>
  <c r="BC29" i="238" s="1"/>
  <c r="E68" i="238"/>
  <c r="E86" i="238" s="1"/>
  <c r="BB29" i="238" s="1"/>
  <c r="D68" i="238"/>
  <c r="D86" i="238" s="1"/>
  <c r="BA29" i="238" s="1"/>
  <c r="C68" i="238"/>
  <c r="C86" i="238" s="1"/>
  <c r="AZ29" i="238" s="1"/>
  <c r="AW67" i="238"/>
  <c r="AV67" i="238"/>
  <c r="AU67" i="238"/>
  <c r="AT67" i="238"/>
  <c r="AS67" i="238"/>
  <c r="AR67" i="238"/>
  <c r="AQ67" i="238"/>
  <c r="AP67" i="238"/>
  <c r="AO67" i="238"/>
  <c r="AN67" i="238"/>
  <c r="AM67" i="238"/>
  <c r="AL67" i="238"/>
  <c r="AK67" i="238"/>
  <c r="AJ67" i="238"/>
  <c r="AI67" i="238"/>
  <c r="AH67" i="238"/>
  <c r="AG67" i="238"/>
  <c r="AF67" i="238"/>
  <c r="AE67" i="238"/>
  <c r="AD67" i="238"/>
  <c r="AC67" i="238"/>
  <c r="AB67" i="238"/>
  <c r="AA67" i="238"/>
  <c r="Z67" i="238"/>
  <c r="Y67" i="238"/>
  <c r="X67" i="238"/>
  <c r="W67" i="238"/>
  <c r="V67" i="238"/>
  <c r="U67" i="238"/>
  <c r="T67" i="238"/>
  <c r="S67" i="238"/>
  <c r="R67" i="238"/>
  <c r="Q67" i="238"/>
  <c r="P67" i="238"/>
  <c r="O67" i="238"/>
  <c r="N67" i="238"/>
  <c r="M67" i="238"/>
  <c r="L67" i="238"/>
  <c r="K67" i="238"/>
  <c r="J67" i="238"/>
  <c r="I67" i="238"/>
  <c r="H67" i="238"/>
  <c r="G67" i="238"/>
  <c r="F67" i="238"/>
  <c r="E67" i="238"/>
  <c r="D67" i="238"/>
  <c r="C67" i="238"/>
  <c r="AW66" i="238"/>
  <c r="AV66" i="238"/>
  <c r="AU66" i="238"/>
  <c r="AT66" i="238"/>
  <c r="AS66" i="238"/>
  <c r="AR66" i="238"/>
  <c r="AQ66" i="238"/>
  <c r="AP66" i="238"/>
  <c r="AO66" i="238"/>
  <c r="AN66" i="238"/>
  <c r="AM66" i="238"/>
  <c r="AL66" i="238"/>
  <c r="AK66" i="238"/>
  <c r="AJ66" i="238"/>
  <c r="AI66" i="238"/>
  <c r="AH66" i="238"/>
  <c r="AG66" i="238"/>
  <c r="AF66" i="238"/>
  <c r="AE66" i="238"/>
  <c r="AD66" i="238"/>
  <c r="AC66" i="238"/>
  <c r="AB66" i="238"/>
  <c r="AA66" i="238"/>
  <c r="Z66" i="238"/>
  <c r="Y66" i="238"/>
  <c r="X66" i="238"/>
  <c r="W66" i="238"/>
  <c r="V66" i="238"/>
  <c r="U66" i="238"/>
  <c r="T66" i="238"/>
  <c r="S66" i="238"/>
  <c r="R66" i="238"/>
  <c r="Q66" i="238"/>
  <c r="P66" i="238"/>
  <c r="O66" i="238"/>
  <c r="N66" i="238"/>
  <c r="M66" i="238"/>
  <c r="L66" i="238"/>
  <c r="K66" i="238"/>
  <c r="J66" i="238"/>
  <c r="I66" i="238"/>
  <c r="H66" i="238"/>
  <c r="G66" i="238"/>
  <c r="F66" i="238"/>
  <c r="E66" i="238"/>
  <c r="D66" i="238"/>
  <c r="C66" i="238"/>
  <c r="AW65" i="238"/>
  <c r="AV65" i="238"/>
  <c r="AU65" i="238"/>
  <c r="AT65" i="238"/>
  <c r="AS65" i="238"/>
  <c r="AR65" i="238"/>
  <c r="AQ65" i="238"/>
  <c r="AP65" i="238"/>
  <c r="AO65" i="238"/>
  <c r="AN65" i="238"/>
  <c r="AM65" i="238"/>
  <c r="AL65" i="238"/>
  <c r="AK65" i="238"/>
  <c r="AJ65" i="238"/>
  <c r="AI65" i="238"/>
  <c r="AH65" i="238"/>
  <c r="AG65" i="238"/>
  <c r="AF65" i="238"/>
  <c r="AE65" i="238"/>
  <c r="AD65" i="238"/>
  <c r="AC65" i="238"/>
  <c r="AB65" i="238"/>
  <c r="AA65" i="238"/>
  <c r="Z65" i="238"/>
  <c r="Y65" i="238"/>
  <c r="X65" i="238"/>
  <c r="W65" i="238"/>
  <c r="V65" i="238"/>
  <c r="U65" i="238"/>
  <c r="T65" i="238"/>
  <c r="S65" i="238"/>
  <c r="R65" i="238"/>
  <c r="Q65" i="238"/>
  <c r="P65" i="238"/>
  <c r="O65" i="238"/>
  <c r="N65" i="238"/>
  <c r="M65" i="238"/>
  <c r="L65" i="238"/>
  <c r="K65" i="238"/>
  <c r="J65" i="238"/>
  <c r="I65" i="238"/>
  <c r="H65" i="238"/>
  <c r="G65" i="238"/>
  <c r="F65" i="238"/>
  <c r="E65" i="238"/>
  <c r="D65" i="238"/>
  <c r="C65" i="238"/>
  <c r="AW64" i="238"/>
  <c r="AV64" i="238"/>
  <c r="AU64" i="238"/>
  <c r="AT64" i="238"/>
  <c r="AS64" i="238"/>
  <c r="AR64" i="238"/>
  <c r="AQ64" i="238"/>
  <c r="AP64" i="238"/>
  <c r="AO64" i="238"/>
  <c r="AN64" i="238"/>
  <c r="AM64" i="238"/>
  <c r="AL64" i="238"/>
  <c r="AK64" i="238"/>
  <c r="AJ64" i="238"/>
  <c r="AI64" i="238"/>
  <c r="AH64" i="238"/>
  <c r="AG64" i="238"/>
  <c r="CD26" i="238" s="1"/>
  <c r="AF64" i="238"/>
  <c r="AE64" i="238"/>
  <c r="AD64" i="238"/>
  <c r="AC64" i="238"/>
  <c r="AB64" i="238"/>
  <c r="AA64" i="238"/>
  <c r="Z64" i="238"/>
  <c r="Y64" i="238"/>
  <c r="X64" i="238"/>
  <c r="W64" i="238"/>
  <c r="V64" i="238"/>
  <c r="U64" i="238"/>
  <c r="T64" i="238"/>
  <c r="S64" i="238"/>
  <c r="R64" i="238"/>
  <c r="Q64" i="238"/>
  <c r="P64" i="238"/>
  <c r="O64" i="238"/>
  <c r="N64" i="238"/>
  <c r="M64" i="238"/>
  <c r="L64" i="238"/>
  <c r="K64" i="238"/>
  <c r="J64" i="238"/>
  <c r="I64" i="238"/>
  <c r="H64" i="238"/>
  <c r="G64" i="238"/>
  <c r="F64" i="238"/>
  <c r="E64" i="238"/>
  <c r="D64" i="238"/>
  <c r="BA33" i="238" s="1"/>
  <c r="C64" i="238"/>
  <c r="AW63" i="238"/>
  <c r="AV63" i="238"/>
  <c r="AU63" i="238"/>
  <c r="AT63" i="238"/>
  <c r="AS63" i="238"/>
  <c r="AR63" i="238"/>
  <c r="AQ63" i="238"/>
  <c r="AP63" i="238"/>
  <c r="AO63" i="238"/>
  <c r="AN63" i="238"/>
  <c r="AM63" i="238"/>
  <c r="AL63" i="238"/>
  <c r="AK63" i="238"/>
  <c r="AJ63" i="238"/>
  <c r="AI63" i="238"/>
  <c r="AH63" i="238"/>
  <c r="AG63" i="238"/>
  <c r="AF63" i="238"/>
  <c r="AE63" i="238"/>
  <c r="AD63" i="238"/>
  <c r="AC63" i="238"/>
  <c r="BZ25" i="238" s="1"/>
  <c r="AB63" i="238"/>
  <c r="AA63" i="238"/>
  <c r="Z63" i="238"/>
  <c r="Y63" i="238"/>
  <c r="X63" i="238"/>
  <c r="W63" i="238"/>
  <c r="V63" i="238"/>
  <c r="U63" i="238"/>
  <c r="T63" i="238"/>
  <c r="S63" i="238"/>
  <c r="R63" i="238"/>
  <c r="Q63" i="238"/>
  <c r="P63" i="238"/>
  <c r="O63" i="238"/>
  <c r="N63" i="238"/>
  <c r="M63" i="238"/>
  <c r="L63" i="238"/>
  <c r="K63" i="238"/>
  <c r="J63" i="238"/>
  <c r="I63" i="238"/>
  <c r="H63" i="238"/>
  <c r="G63" i="238"/>
  <c r="F63" i="238"/>
  <c r="E63" i="238"/>
  <c r="D63" i="238"/>
  <c r="C63" i="238"/>
  <c r="AW62" i="238"/>
  <c r="AV62" i="238"/>
  <c r="CS24" i="238" s="1"/>
  <c r="AU62" i="238"/>
  <c r="AT62" i="238"/>
  <c r="AS62" i="238"/>
  <c r="AR62" i="238"/>
  <c r="AQ62" i="238"/>
  <c r="AP62" i="238"/>
  <c r="AO62" i="238"/>
  <c r="AN62" i="238"/>
  <c r="AM62" i="238"/>
  <c r="AL62" i="238"/>
  <c r="AK62" i="238"/>
  <c r="AJ62" i="238"/>
  <c r="AI62" i="238"/>
  <c r="AH62" i="238"/>
  <c r="AG62" i="238"/>
  <c r="AF62" i="238"/>
  <c r="AE62" i="238"/>
  <c r="AD62" i="238"/>
  <c r="AC62" i="238"/>
  <c r="AB62" i="238"/>
  <c r="AA62" i="238"/>
  <c r="Z62" i="238"/>
  <c r="Y62" i="238"/>
  <c r="X62" i="238"/>
  <c r="W62" i="238"/>
  <c r="V62" i="238"/>
  <c r="U62" i="238"/>
  <c r="T62" i="238"/>
  <c r="S62" i="238"/>
  <c r="R62" i="238"/>
  <c r="Q62" i="238"/>
  <c r="P62" i="238"/>
  <c r="O62" i="238"/>
  <c r="N62" i="238"/>
  <c r="BK24" i="238" s="1"/>
  <c r="M62" i="238"/>
  <c r="L62" i="238"/>
  <c r="K62" i="238"/>
  <c r="J62" i="238"/>
  <c r="I62" i="238"/>
  <c r="H62" i="238"/>
  <c r="G62" i="238"/>
  <c r="F62" i="238"/>
  <c r="E62" i="238"/>
  <c r="D62" i="238"/>
  <c r="C62" i="238"/>
  <c r="AW61" i="238"/>
  <c r="AV61" i="238"/>
  <c r="AU61" i="238"/>
  <c r="AT61" i="238"/>
  <c r="AS61" i="238"/>
  <c r="AR61" i="238"/>
  <c r="AQ61" i="238"/>
  <c r="AP61" i="238"/>
  <c r="AO61" i="238"/>
  <c r="AN61" i="238"/>
  <c r="AM61" i="238"/>
  <c r="AL61" i="238"/>
  <c r="CI22" i="238" s="1"/>
  <c r="AK61" i="238"/>
  <c r="CH22" i="238" s="1"/>
  <c r="AJ61" i="238"/>
  <c r="CG25" i="238" s="1"/>
  <c r="AI61" i="238"/>
  <c r="AH61" i="238"/>
  <c r="AG61" i="238"/>
  <c r="CD23" i="238" s="1"/>
  <c r="AF61" i="238"/>
  <c r="AE61" i="238"/>
  <c r="AD61" i="238"/>
  <c r="AC61" i="238"/>
  <c r="AB61" i="238"/>
  <c r="AA61" i="238"/>
  <c r="Z61" i="238"/>
  <c r="Y61" i="238"/>
  <c r="X61" i="238"/>
  <c r="W61" i="238"/>
  <c r="V61" i="238"/>
  <c r="U61" i="238"/>
  <c r="T61" i="238"/>
  <c r="S61" i="238"/>
  <c r="R61" i="238"/>
  <c r="Q61" i="238"/>
  <c r="P61" i="238"/>
  <c r="O61" i="238"/>
  <c r="N61" i="238"/>
  <c r="BK26" i="238" s="1"/>
  <c r="M61" i="238"/>
  <c r="L61" i="238"/>
  <c r="K61" i="238"/>
  <c r="J61" i="238"/>
  <c r="I61" i="238"/>
  <c r="BF23" i="238" s="1"/>
  <c r="H61" i="238"/>
  <c r="BE21" i="238" s="1"/>
  <c r="G61" i="238"/>
  <c r="BD21" i="238" s="1"/>
  <c r="F61" i="238"/>
  <c r="BC23" i="238" s="1"/>
  <c r="E61" i="238"/>
  <c r="D61" i="238"/>
  <c r="C61" i="238"/>
  <c r="AW60" i="238"/>
  <c r="AV60" i="238"/>
  <c r="AU60" i="238"/>
  <c r="AT60" i="238"/>
  <c r="AS60" i="238"/>
  <c r="AR60" i="238"/>
  <c r="AQ60" i="238"/>
  <c r="AP60" i="238"/>
  <c r="AO60" i="238"/>
  <c r="AN60" i="238"/>
  <c r="AM60" i="238"/>
  <c r="AL60" i="238"/>
  <c r="AK60" i="238"/>
  <c r="AJ60" i="238"/>
  <c r="AI60" i="238"/>
  <c r="AH60" i="238"/>
  <c r="AG60" i="238"/>
  <c r="CD25" i="238" s="1"/>
  <c r="AF60" i="238"/>
  <c r="AE60" i="238"/>
  <c r="AD60" i="238"/>
  <c r="AC60" i="238"/>
  <c r="BZ23" i="238" s="1"/>
  <c r="AB60" i="238"/>
  <c r="AA60" i="238"/>
  <c r="Z60" i="238"/>
  <c r="Y60" i="238"/>
  <c r="BV26" i="238" s="1"/>
  <c r="X60" i="238"/>
  <c r="W60" i="238"/>
  <c r="V60" i="238"/>
  <c r="U60" i="238"/>
  <c r="T60" i="238"/>
  <c r="S60" i="238"/>
  <c r="R60" i="238"/>
  <c r="Q60" i="238"/>
  <c r="P60" i="238"/>
  <c r="O60" i="238"/>
  <c r="N60" i="238"/>
  <c r="M60" i="238"/>
  <c r="L60" i="238"/>
  <c r="K60" i="238"/>
  <c r="J60" i="238"/>
  <c r="I60" i="238"/>
  <c r="H60" i="238"/>
  <c r="G60" i="238"/>
  <c r="F60" i="238"/>
  <c r="E60" i="238"/>
  <c r="D60" i="238"/>
  <c r="C60" i="238"/>
  <c r="AW59" i="238"/>
  <c r="AV59" i="238"/>
  <c r="AU59" i="238"/>
  <c r="CR21" i="238" s="1"/>
  <c r="AT59" i="238"/>
  <c r="CQ23" i="238" s="1"/>
  <c r="AS59" i="238"/>
  <c r="AR59" i="238"/>
  <c r="AQ59" i="238"/>
  <c r="AP59" i="238"/>
  <c r="AO59" i="238"/>
  <c r="AN59" i="238"/>
  <c r="AM59" i="238"/>
  <c r="AL59" i="238"/>
  <c r="AK59" i="238"/>
  <c r="AJ59" i="238"/>
  <c r="AI59" i="238"/>
  <c r="AH59" i="238"/>
  <c r="AG59" i="238"/>
  <c r="AF59" i="238"/>
  <c r="AE59" i="238"/>
  <c r="AD59" i="238"/>
  <c r="AC59" i="238"/>
  <c r="AB59" i="238"/>
  <c r="AA59" i="238"/>
  <c r="Z59" i="238"/>
  <c r="Y59" i="238"/>
  <c r="X59" i="238"/>
  <c r="W59" i="238"/>
  <c r="V59" i="238"/>
  <c r="BS25" i="238" s="1"/>
  <c r="U59" i="238"/>
  <c r="T59" i="238"/>
  <c r="BQ21" i="238" s="1"/>
  <c r="S59" i="238"/>
  <c r="R59" i="238"/>
  <c r="Q59" i="238"/>
  <c r="BN25" i="238" s="1"/>
  <c r="P59" i="238"/>
  <c r="BM21" i="238" s="1"/>
  <c r="O59" i="238"/>
  <c r="N59" i="238"/>
  <c r="M59" i="238"/>
  <c r="L59" i="238"/>
  <c r="K59" i="238"/>
  <c r="J59" i="238"/>
  <c r="I59" i="238"/>
  <c r="H59" i="238"/>
  <c r="G59" i="238"/>
  <c r="F59" i="238"/>
  <c r="E59" i="238"/>
  <c r="D59" i="238"/>
  <c r="C59" i="238"/>
  <c r="AW58" i="238"/>
  <c r="AV58" i="238"/>
  <c r="AU58" i="238"/>
  <c r="AT58" i="238"/>
  <c r="AS58" i="238"/>
  <c r="AR58" i="238"/>
  <c r="AQ58" i="238"/>
  <c r="AP58" i="238"/>
  <c r="AO58" i="238"/>
  <c r="AN58" i="238"/>
  <c r="AM58" i="238"/>
  <c r="AL58" i="238"/>
  <c r="AK58" i="238"/>
  <c r="AJ58" i="238"/>
  <c r="AI58" i="238"/>
  <c r="AH58" i="238"/>
  <c r="AG58" i="238"/>
  <c r="AF58" i="238"/>
  <c r="AE58" i="238"/>
  <c r="AD58" i="238"/>
  <c r="AC58" i="238"/>
  <c r="AB58" i="238"/>
  <c r="AA58" i="238"/>
  <c r="Z58" i="238"/>
  <c r="Y58" i="238"/>
  <c r="X58" i="238"/>
  <c r="W58" i="238"/>
  <c r="V58" i="238"/>
  <c r="U58" i="238"/>
  <c r="T58" i="238"/>
  <c r="S58" i="238"/>
  <c r="R58" i="238"/>
  <c r="Q58" i="238"/>
  <c r="P58" i="238"/>
  <c r="O58" i="238"/>
  <c r="N58" i="238"/>
  <c r="M58" i="238"/>
  <c r="L58" i="238"/>
  <c r="K58" i="238"/>
  <c r="J58" i="238"/>
  <c r="I58" i="238"/>
  <c r="H58" i="238"/>
  <c r="G58" i="238"/>
  <c r="F58" i="238"/>
  <c r="E58" i="238"/>
  <c r="D58" i="238"/>
  <c r="C58" i="238"/>
  <c r="AW57" i="238"/>
  <c r="AW75" i="238" s="1"/>
  <c r="CT27" i="238" s="1"/>
  <c r="AV57" i="238"/>
  <c r="AV75" i="238" s="1"/>
  <c r="CS27" i="238" s="1"/>
  <c r="AU57" i="238"/>
  <c r="AU75" i="238" s="1"/>
  <c r="CR27" i="238" s="1"/>
  <c r="AT57" i="238"/>
  <c r="AT75" i="238" s="1"/>
  <c r="AS57" i="238"/>
  <c r="AS75" i="238"/>
  <c r="CP27" i="238" s="1"/>
  <c r="AR57" i="238"/>
  <c r="AR75" i="238" s="1"/>
  <c r="AQ57" i="238"/>
  <c r="AQ75" i="238" s="1"/>
  <c r="CN27" i="238" s="1"/>
  <c r="AP57" i="238"/>
  <c r="AP75" i="238" s="1"/>
  <c r="CM27" i="238" s="1"/>
  <c r="AO57" i="238"/>
  <c r="AO75" i="238" s="1"/>
  <c r="CL27" i="238" s="1"/>
  <c r="AN57" i="238"/>
  <c r="AN75" i="238" s="1"/>
  <c r="CK27" i="238" s="1"/>
  <c r="AM57" i="238"/>
  <c r="AM75" i="238" s="1"/>
  <c r="CJ27" i="238" s="1"/>
  <c r="AL57" i="238"/>
  <c r="AL75" i="238" s="1"/>
  <c r="AK57" i="238"/>
  <c r="AK75" i="238" s="1"/>
  <c r="CH27" i="238" s="1"/>
  <c r="AJ57" i="238"/>
  <c r="AJ75" i="238" s="1"/>
  <c r="CG27" i="238" s="1"/>
  <c r="AI57" i="238"/>
  <c r="AI75" i="238" s="1"/>
  <c r="CF27" i="238" s="1"/>
  <c r="AH57" i="238"/>
  <c r="AH75" i="238" s="1"/>
  <c r="AG57" i="238"/>
  <c r="AG75" i="238" s="1"/>
  <c r="CD27" i="238" s="1"/>
  <c r="CD32" i="238" s="1"/>
  <c r="AF57" i="238"/>
  <c r="AF75" i="238"/>
  <c r="CC27" i="238" s="1"/>
  <c r="AE57" i="238"/>
  <c r="AE75" i="238" s="1"/>
  <c r="AD57" i="238"/>
  <c r="AD75" i="238" s="1"/>
  <c r="CA27" i="238" s="1"/>
  <c r="AC57" i="238"/>
  <c r="AC75" i="238" s="1"/>
  <c r="BZ27" i="238" s="1"/>
  <c r="AB57" i="238"/>
  <c r="AB75" i="238" s="1"/>
  <c r="BY27" i="238" s="1"/>
  <c r="AA57" i="238"/>
  <c r="AA75" i="238" s="1"/>
  <c r="BX27" i="238" s="1"/>
  <c r="Z57" i="238"/>
  <c r="Z75" i="238" s="1"/>
  <c r="BW27" i="238" s="1"/>
  <c r="Y57" i="238"/>
  <c r="Y75" i="238" s="1"/>
  <c r="X57" i="238"/>
  <c r="X75" i="238"/>
  <c r="BU27" i="238" s="1"/>
  <c r="W57" i="238"/>
  <c r="W75" i="238" s="1"/>
  <c r="BT27" i="238" s="1"/>
  <c r="V57" i="238"/>
  <c r="V75" i="238" s="1"/>
  <c r="BS27" i="238" s="1"/>
  <c r="U57" i="238"/>
  <c r="U75" i="238"/>
  <c r="BR27" i="238" s="1"/>
  <c r="T57" i="238"/>
  <c r="T75" i="238" s="1"/>
  <c r="BQ27" i="238" s="1"/>
  <c r="S57" i="238"/>
  <c r="S75" i="238" s="1"/>
  <c r="BP27" i="238" s="1"/>
  <c r="R57" i="238"/>
  <c r="R75" i="238" s="1"/>
  <c r="Q57" i="238"/>
  <c r="Q75" i="238" s="1"/>
  <c r="BN27" i="238" s="1"/>
  <c r="P57" i="238"/>
  <c r="P75" i="238" s="1"/>
  <c r="BM27" i="238" s="1"/>
  <c r="O57" i="238"/>
  <c r="O75" i="238" s="1"/>
  <c r="BL27" i="238" s="1"/>
  <c r="N57" i="238"/>
  <c r="N75" i="238" s="1"/>
  <c r="BK27" i="238" s="1"/>
  <c r="M57" i="238"/>
  <c r="M75" i="238" s="1"/>
  <c r="L57" i="238"/>
  <c r="L75" i="238" s="1"/>
  <c r="K57" i="238"/>
  <c r="K75" i="238"/>
  <c r="BH27" i="238" s="1"/>
  <c r="J57" i="238"/>
  <c r="J75" i="238"/>
  <c r="BG27" i="238" s="1"/>
  <c r="I57" i="238"/>
  <c r="I75" i="238" s="1"/>
  <c r="BF27" i="238" s="1"/>
  <c r="H57" i="238"/>
  <c r="H75" i="238" s="1"/>
  <c r="BE27" i="238" s="1"/>
  <c r="G57" i="238"/>
  <c r="G75" i="238"/>
  <c r="BD27" i="238" s="1"/>
  <c r="F57" i="238"/>
  <c r="F75" i="238" s="1"/>
  <c r="BC27" i="238" s="1"/>
  <c r="BC32" i="238" s="1"/>
  <c r="E57" i="238"/>
  <c r="E75" i="238" s="1"/>
  <c r="BB27" i="238" s="1"/>
  <c r="D57" i="238"/>
  <c r="D75" i="238" s="1"/>
  <c r="BA27" i="238" s="1"/>
  <c r="C57" i="238"/>
  <c r="C75" i="238" s="1"/>
  <c r="AZ27" i="238" s="1"/>
  <c r="AW56" i="238"/>
  <c r="AW74" i="238" s="1"/>
  <c r="AV56" i="238"/>
  <c r="AV74" i="238" s="1"/>
  <c r="CS28" i="238" s="1"/>
  <c r="AU56" i="238"/>
  <c r="AU74" i="238" s="1"/>
  <c r="CR28" i="238" s="1"/>
  <c r="AT56" i="238"/>
  <c r="AT74" i="238" s="1"/>
  <c r="CQ28" i="238" s="1"/>
  <c r="AS56" i="238"/>
  <c r="AS74" i="238" s="1"/>
  <c r="AR56" i="238"/>
  <c r="AR74" i="238" s="1"/>
  <c r="AQ56" i="238"/>
  <c r="AQ74" i="238" s="1"/>
  <c r="CN28" i="238" s="1"/>
  <c r="AP56" i="238"/>
  <c r="AP74" i="238" s="1"/>
  <c r="CM28" i="238" s="1"/>
  <c r="AO56" i="238"/>
  <c r="AO74" i="238" s="1"/>
  <c r="CL28" i="238" s="1"/>
  <c r="AN56" i="238"/>
  <c r="AN74" i="238" s="1"/>
  <c r="CK28" i="238" s="1"/>
  <c r="AM56" i="238"/>
  <c r="AM74" i="238" s="1"/>
  <c r="AL56" i="238"/>
  <c r="AL74" i="238" s="1"/>
  <c r="CI28" i="238" s="1"/>
  <c r="AK56" i="238"/>
  <c r="AK74" i="238" s="1"/>
  <c r="CH28" i="238" s="1"/>
  <c r="AJ56" i="238"/>
  <c r="AJ74" i="238" s="1"/>
  <c r="AI56" i="238"/>
  <c r="AI74" i="238" s="1"/>
  <c r="AH56" i="238"/>
  <c r="AH74" i="238" s="1"/>
  <c r="CE28" i="238" s="1"/>
  <c r="AG56" i="238"/>
  <c r="AG74" i="238" s="1"/>
  <c r="CD28" i="238" s="1"/>
  <c r="AF56" i="238"/>
  <c r="AF74" i="238" s="1"/>
  <c r="AE56" i="238"/>
  <c r="AE74" i="238"/>
  <c r="CB28" i="238" s="1"/>
  <c r="AD56" i="238"/>
  <c r="AD74" i="238" s="1"/>
  <c r="CA28" i="238" s="1"/>
  <c r="AC56" i="238"/>
  <c r="AC74" i="238" s="1"/>
  <c r="BZ28" i="238" s="1"/>
  <c r="AB56" i="238"/>
  <c r="AB74" i="238" s="1"/>
  <c r="BY28" i="238" s="1"/>
  <c r="AA56" i="238"/>
  <c r="AA74" i="238" s="1"/>
  <c r="Z56" i="238"/>
  <c r="Z74" i="238" s="1"/>
  <c r="Y56" i="238"/>
  <c r="Y74" i="238" s="1"/>
  <c r="BV28" i="238" s="1"/>
  <c r="X56" i="238"/>
  <c r="X74" i="238" s="1"/>
  <c r="BU28" i="238" s="1"/>
  <c r="W56" i="238"/>
  <c r="W74" i="238" s="1"/>
  <c r="V56" i="238"/>
  <c r="V74" i="238" s="1"/>
  <c r="BS28" i="238" s="1"/>
  <c r="U56" i="238"/>
  <c r="U74" i="238" s="1"/>
  <c r="BR28" i="238" s="1"/>
  <c r="T56" i="238"/>
  <c r="T74" i="238" s="1"/>
  <c r="S56" i="238"/>
  <c r="S74" i="238"/>
  <c r="BP28" i="238" s="1"/>
  <c r="R56" i="238"/>
  <c r="R74" i="238" s="1"/>
  <c r="BO28" i="238" s="1"/>
  <c r="Q56" i="238"/>
  <c r="Q74" i="238" s="1"/>
  <c r="BN28" i="238" s="1"/>
  <c r="P56" i="238"/>
  <c r="P74" i="238" s="1"/>
  <c r="O56" i="238"/>
  <c r="O74" i="238" s="1"/>
  <c r="BL28" i="238" s="1"/>
  <c r="N56" i="238"/>
  <c r="N74" i="238" s="1"/>
  <c r="M56" i="238"/>
  <c r="M74" i="238" s="1"/>
  <c r="BJ28" i="238" s="1"/>
  <c r="L56" i="238"/>
  <c r="L74" i="238"/>
  <c r="BI28" i="238" s="1"/>
  <c r="K56" i="238"/>
  <c r="K74" i="238" s="1"/>
  <c r="BH28" i="238" s="1"/>
  <c r="J56" i="238"/>
  <c r="J74" i="238" s="1"/>
  <c r="I56" i="238"/>
  <c r="I74" i="238" s="1"/>
  <c r="H56" i="238"/>
  <c r="H74" i="238" s="1"/>
  <c r="G56" i="238"/>
  <c r="G74" i="238"/>
  <c r="BD28" i="238" s="1"/>
  <c r="F56" i="238"/>
  <c r="F74" i="238" s="1"/>
  <c r="BC28" i="238" s="1"/>
  <c r="E56" i="238"/>
  <c r="E74" i="238" s="1"/>
  <c r="BB28" i="238" s="1"/>
  <c r="BB32" i="238" s="1"/>
  <c r="D56" i="238"/>
  <c r="D74" i="238" s="1"/>
  <c r="C56" i="238"/>
  <c r="C74" i="238" s="1"/>
  <c r="AZ28" i="238" s="1"/>
  <c r="BC52" i="238"/>
  <c r="BB52" i="238"/>
  <c r="BA52" i="238"/>
  <c r="AY30" i="238"/>
  <c r="AY29" i="238"/>
  <c r="AW15" i="238"/>
  <c r="AV15" i="238"/>
  <c r="AU15" i="238"/>
  <c r="AT15" i="238"/>
  <c r="AS15" i="238"/>
  <c r="AR15" i="238"/>
  <c r="AQ15" i="238"/>
  <c r="AP15" i="238"/>
  <c r="AO15" i="238"/>
  <c r="AN15" i="238"/>
  <c r="AM15" i="238"/>
  <c r="AL15" i="238"/>
  <c r="AK15" i="238"/>
  <c r="AJ15" i="238"/>
  <c r="AI15" i="238"/>
  <c r="AH15" i="238"/>
  <c r="AG15" i="238"/>
  <c r="AF15" i="238"/>
  <c r="AE15" i="238"/>
  <c r="AD15" i="238"/>
  <c r="AC15" i="238"/>
  <c r="AB15" i="238"/>
  <c r="AA15" i="238"/>
  <c r="Z15" i="238"/>
  <c r="Y15" i="238"/>
  <c r="X15" i="238"/>
  <c r="W15" i="238"/>
  <c r="V15" i="238"/>
  <c r="U15" i="238"/>
  <c r="T15" i="238"/>
  <c r="S15" i="238"/>
  <c r="R15" i="238"/>
  <c r="Q15" i="238"/>
  <c r="P15" i="238"/>
  <c r="O15" i="238"/>
  <c r="N15" i="238"/>
  <c r="M15" i="238"/>
  <c r="L15" i="238"/>
  <c r="K15" i="238"/>
  <c r="J15" i="238"/>
  <c r="I15" i="238"/>
  <c r="H15" i="238"/>
  <c r="G15" i="238"/>
  <c r="F15" i="238"/>
  <c r="E15" i="238"/>
  <c r="D15" i="238"/>
  <c r="C15" i="238"/>
  <c r="AW14" i="238"/>
  <c r="AV14" i="238"/>
  <c r="AU14" i="238"/>
  <c r="AT14" i="238"/>
  <c r="AS14" i="238"/>
  <c r="AR14" i="238"/>
  <c r="AQ14" i="238"/>
  <c r="AP14" i="238"/>
  <c r="AO14" i="238"/>
  <c r="AN14" i="238"/>
  <c r="AM14" i="238"/>
  <c r="AL14" i="238"/>
  <c r="AK14" i="238"/>
  <c r="AJ14" i="238"/>
  <c r="AI14" i="238"/>
  <c r="AH14" i="238"/>
  <c r="AG14" i="238"/>
  <c r="AF14" i="238"/>
  <c r="AE14" i="238"/>
  <c r="AD14" i="238"/>
  <c r="AC14" i="238"/>
  <c r="AB14" i="238"/>
  <c r="AA14" i="238"/>
  <c r="Z14" i="238"/>
  <c r="Y14" i="238"/>
  <c r="X14" i="238"/>
  <c r="W14" i="238"/>
  <c r="V14" i="238"/>
  <c r="U14" i="238"/>
  <c r="T14" i="238"/>
  <c r="S14" i="238"/>
  <c r="R14" i="238"/>
  <c r="Q14" i="238"/>
  <c r="P14" i="238"/>
  <c r="O14" i="238"/>
  <c r="N14" i="238"/>
  <c r="M14" i="238"/>
  <c r="L14" i="238"/>
  <c r="K14" i="238"/>
  <c r="J14" i="238"/>
  <c r="I14" i="238"/>
  <c r="H14" i="238"/>
  <c r="G14" i="238"/>
  <c r="F14" i="238"/>
  <c r="E14" i="238"/>
  <c r="D14" i="238"/>
  <c r="C14" i="238"/>
  <c r="AW13" i="238"/>
  <c r="AV13" i="238"/>
  <c r="AU13" i="238"/>
  <c r="AT13" i="238"/>
  <c r="AS13" i="238"/>
  <c r="AR13" i="238"/>
  <c r="AQ13" i="238"/>
  <c r="AP13" i="238"/>
  <c r="AO13" i="238"/>
  <c r="AN13" i="238"/>
  <c r="AM13" i="238"/>
  <c r="AL13" i="238"/>
  <c r="AK13" i="238"/>
  <c r="AJ13" i="238"/>
  <c r="AI13" i="238"/>
  <c r="AH13" i="238"/>
  <c r="AG13" i="238"/>
  <c r="AF13" i="238"/>
  <c r="AE13" i="238"/>
  <c r="AD13" i="238"/>
  <c r="AC13" i="238"/>
  <c r="AB13" i="238"/>
  <c r="AA13" i="238"/>
  <c r="Z13" i="238"/>
  <c r="Y13" i="238"/>
  <c r="X13" i="238"/>
  <c r="W13" i="238"/>
  <c r="V13" i="238"/>
  <c r="U13" i="238"/>
  <c r="T13" i="238"/>
  <c r="S13" i="238"/>
  <c r="R13" i="238"/>
  <c r="Q13" i="238"/>
  <c r="P13" i="238"/>
  <c r="O13" i="238"/>
  <c r="N13" i="238"/>
  <c r="M13" i="238"/>
  <c r="L13" i="238"/>
  <c r="K13" i="238"/>
  <c r="J13" i="238"/>
  <c r="I13" i="238"/>
  <c r="H13" i="238"/>
  <c r="G13" i="238"/>
  <c r="F13" i="238"/>
  <c r="E13" i="238"/>
  <c r="D13" i="238"/>
  <c r="C13" i="238"/>
  <c r="AY41" i="235"/>
  <c r="AY40" i="235"/>
  <c r="AY39" i="235"/>
  <c r="AY38" i="235"/>
  <c r="AY37" i="235"/>
  <c r="AY36" i="235"/>
  <c r="AY35" i="235"/>
  <c r="AY34" i="235"/>
  <c r="AY33" i="235"/>
  <c r="AY32" i="235"/>
  <c r="AY31" i="235"/>
  <c r="AY30" i="235"/>
  <c r="AY29" i="235"/>
  <c r="AY28" i="235"/>
  <c r="AY27" i="235"/>
  <c r="AY26" i="235"/>
  <c r="AY25" i="235"/>
  <c r="AY24" i="235"/>
  <c r="AY23" i="235"/>
  <c r="AY22" i="235"/>
  <c r="AY21" i="235"/>
  <c r="AY20" i="235"/>
  <c r="AY19" i="235"/>
  <c r="AY18" i="235"/>
  <c r="AY17" i="235"/>
  <c r="AY16" i="235"/>
  <c r="J3" i="235"/>
  <c r="I3" i="235"/>
  <c r="H3" i="235"/>
  <c r="G3" i="235"/>
  <c r="F3" i="235"/>
  <c r="E3" i="235"/>
  <c r="D3" i="235"/>
  <c r="B3" i="235"/>
  <c r="BI27" i="238"/>
  <c r="BI32" i="238" s="1"/>
  <c r="CB21" i="238"/>
  <c r="CJ24" i="238"/>
  <c r="CR33" i="238"/>
  <c r="CR35" i="238" s="1"/>
  <c r="BX33" i="238"/>
  <c r="AB16" i="238"/>
  <c r="CO28" i="238"/>
  <c r="BR22" i="238"/>
  <c r="BR23" i="238"/>
  <c r="CJ25" i="238"/>
  <c r="CJ22" i="238"/>
  <c r="BT28" i="238"/>
  <c r="BR32" i="238"/>
  <c r="BI21" i="238"/>
  <c r="CQ22" i="238"/>
  <c r="BZ24" i="238"/>
  <c r="BF26" i="238"/>
  <c r="BZ22" i="238"/>
  <c r="BE26" i="238" l="1"/>
  <c r="BV23" i="238"/>
  <c r="BQ25" i="238"/>
  <c r="BA25" i="238"/>
  <c r="CC22" i="238"/>
  <c r="CN23" i="238"/>
  <c r="BB24" i="238"/>
  <c r="BW26" i="238"/>
  <c r="CO23" i="238"/>
  <c r="BV24" i="238"/>
  <c r="AM16" i="238"/>
  <c r="BX25" i="238"/>
  <c r="BQ23" i="238"/>
  <c r="BD32" i="238"/>
  <c r="BG22" i="238"/>
  <c r="CI26" i="238"/>
  <c r="BE23" i="238"/>
  <c r="CE26" i="238"/>
  <c r="BI33" i="238"/>
  <c r="BI35" i="238" s="1"/>
  <c r="BS23" i="238"/>
  <c r="CK25" i="238"/>
  <c r="AC16" i="238"/>
  <c r="CD22" i="238"/>
  <c r="CM26" i="238"/>
  <c r="BQ26" i="238"/>
  <c r="CQ21" i="238"/>
  <c r="BF52" i="238"/>
  <c r="BT32" i="238"/>
  <c r="BA21" i="238"/>
  <c r="AG16" i="238"/>
  <c r="CD24" i="238"/>
  <c r="CJ21" i="238"/>
  <c r="CJ28" i="238"/>
  <c r="CJ32" i="238" s="1"/>
  <c r="CB26" i="238"/>
  <c r="CR23" i="238"/>
  <c r="BQ28" i="238"/>
  <c r="T16" i="238"/>
  <c r="AA16" i="238"/>
  <c r="BX28" i="238"/>
  <c r="BX32" i="238" s="1"/>
  <c r="BJ27" i="238"/>
  <c r="M16" i="238"/>
  <c r="CN25" i="238"/>
  <c r="BV25" i="238"/>
  <c r="BZ33" i="238"/>
  <c r="BZ35" i="238" s="1"/>
  <c r="CE23" i="238"/>
  <c r="BL25" i="238"/>
  <c r="CM25" i="238"/>
  <c r="BU32" i="238"/>
  <c r="CN33" i="238"/>
  <c r="CD33" i="238"/>
  <c r="CD35" i="238" s="1"/>
  <c r="CS32" i="238"/>
  <c r="CG26" i="238"/>
  <c r="AD16" i="238"/>
  <c r="CC21" i="238"/>
  <c r="K16" i="238"/>
  <c r="BG23" i="238"/>
  <c r="CI23" i="238"/>
  <c r="BP25" i="238"/>
  <c r="BI26" i="238"/>
  <c r="CK33" i="238"/>
  <c r="BR33" i="238"/>
  <c r="BR35" i="238" s="1"/>
  <c r="CS25" i="238"/>
  <c r="C16" i="238"/>
  <c r="BX23" i="238"/>
  <c r="BK21" i="238"/>
  <c r="CM22" i="238"/>
  <c r="BT25" i="238"/>
  <c r="CO22" i="238"/>
  <c r="BV21" i="238"/>
  <c r="BO26" i="238"/>
  <c r="CQ24" i="238"/>
  <c r="BX21" i="238"/>
  <c r="BW23" i="238"/>
  <c r="CS21" i="238"/>
  <c r="BQ24" i="238"/>
  <c r="BS22" i="238"/>
  <c r="BD22" i="238"/>
  <c r="AQ16" i="238"/>
  <c r="BY24" i="238"/>
  <c r="BF25" i="238"/>
  <c r="CB23" i="238"/>
  <c r="BH22" i="238"/>
  <c r="CI25" i="238"/>
  <c r="CA22" i="238"/>
  <c r="CA25" i="238"/>
  <c r="CE25" i="238"/>
  <c r="CK22" i="238"/>
  <c r="BR26" i="238"/>
  <c r="BG25" i="238"/>
  <c r="BI25" i="238"/>
  <c r="BV33" i="238"/>
  <c r="W16" i="238"/>
  <c r="CI33" i="238"/>
  <c r="CI35" i="238" s="1"/>
  <c r="BR21" i="238"/>
  <c r="AV16" i="238"/>
  <c r="BI24" i="238"/>
  <c r="CC24" i="238"/>
  <c r="E16" i="238"/>
  <c r="BN32" i="238"/>
  <c r="BS32" i="238"/>
  <c r="BZ32" i="238"/>
  <c r="BN22" i="238"/>
  <c r="BZ26" i="238"/>
  <c r="BZ21" i="238"/>
  <c r="BV22" i="238"/>
  <c r="CD21" i="238"/>
  <c r="AZ24" i="238"/>
  <c r="BD24" i="238"/>
  <c r="BT24" i="238"/>
  <c r="BY26" i="238"/>
  <c r="CO26" i="238"/>
  <c r="K7" i="242"/>
  <c r="CI24" i="238"/>
  <c r="AW16" i="238"/>
  <c r="CT28" i="238"/>
  <c r="CT32" i="238" s="1"/>
  <c r="CM32" i="238"/>
  <c r="BG33" i="238"/>
  <c r="BB26" i="238"/>
  <c r="BG26" i="238"/>
  <c r="BR25" i="238"/>
  <c r="V16" i="238"/>
  <c r="BO24" i="238"/>
  <c r="U16" i="238"/>
  <c r="CQ26" i="238"/>
  <c r="BO23" i="238"/>
  <c r="G16" i="238"/>
  <c r="CI21" i="238"/>
  <c r="BR24" i="238"/>
  <c r="AP16" i="238"/>
  <c r="BG21" i="238"/>
  <c r="BQ32" i="238"/>
  <c r="CK35" i="238"/>
  <c r="CN32" i="238"/>
  <c r="AZ22" i="238"/>
  <c r="BP22" i="238"/>
  <c r="CN35" i="238"/>
  <c r="BM23" i="238"/>
  <c r="BQ33" i="238"/>
  <c r="BQ35" i="238" s="1"/>
  <c r="BQ22" i="238"/>
  <c r="AU16" i="238"/>
  <c r="CR32" i="238"/>
  <c r="BL32" i="238"/>
  <c r="CK24" i="238"/>
  <c r="F16" i="238"/>
  <c r="BN24" i="238"/>
  <c r="CH26" i="238"/>
  <c r="CP22" i="238"/>
  <c r="BM26" i="238"/>
  <c r="BX22" i="238"/>
  <c r="AQ6" i="242"/>
  <c r="AL6" i="242"/>
  <c r="AK6" i="242"/>
  <c r="AR6" i="242"/>
  <c r="AM6" i="242"/>
  <c r="AN6" i="242"/>
  <c r="AS6" i="242"/>
  <c r="AP6" i="242"/>
  <c r="AJ6" i="242"/>
  <c r="AO6" i="242"/>
  <c r="BO27" i="238"/>
  <c r="BO32" i="238" s="1"/>
  <c r="R16" i="238"/>
  <c r="CQ27" i="238"/>
  <c r="CQ32" i="238" s="1"/>
  <c r="AT16" i="238"/>
  <c r="CO27" i="238"/>
  <c r="CO32" i="238" s="1"/>
  <c r="AR16" i="238"/>
  <c r="BK28" i="238"/>
  <c r="BK32" i="238" s="1"/>
  <c r="N16" i="238"/>
  <c r="CG28" i="238"/>
  <c r="CG32" i="238" s="1"/>
  <c r="AJ16" i="238"/>
  <c r="CP28" i="238"/>
  <c r="CP32" i="238" s="1"/>
  <c r="AS16" i="238"/>
  <c r="CT24" i="238"/>
  <c r="CT33" i="238"/>
  <c r="BJ24" i="238"/>
  <c r="BJ26" i="238"/>
  <c r="CL23" i="238"/>
  <c r="CL24" i="238"/>
  <c r="CL25" i="238"/>
  <c r="CL21" i="238"/>
  <c r="CL33" i="238"/>
  <c r="CL35" i="238" s="1"/>
  <c r="CT25" i="238"/>
  <c r="CT23" i="238"/>
  <c r="CH24" i="238"/>
  <c r="CT26" i="238"/>
  <c r="BE28" i="238"/>
  <c r="H16" i="238"/>
  <c r="CA32" i="238"/>
  <c r="CI27" i="238"/>
  <c r="AL16" i="238"/>
  <c r="AZ25" i="238"/>
  <c r="BK22" i="238"/>
  <c r="CH25" i="238"/>
  <c r="BL24" i="238"/>
  <c r="O16" i="238"/>
  <c r="BH21" i="238"/>
  <c r="CA21" i="238"/>
  <c r="BJ23" i="238"/>
  <c r="BH25" i="238"/>
  <c r="BN33" i="238"/>
  <c r="BN35" i="238" s="1"/>
  <c r="CT21" i="238"/>
  <c r="BL23" i="238"/>
  <c r="AO16" i="238"/>
  <c r="CE33" i="238"/>
  <c r="BH26" i="238"/>
  <c r="CL22" i="238"/>
  <c r="BK33" i="238"/>
  <c r="CB25" i="238"/>
  <c r="BP23" i="238"/>
  <c r="BG24" i="238"/>
  <c r="CT22" i="238"/>
  <c r="CL32" i="238"/>
  <c r="P16" i="238"/>
  <c r="BM28" i="238"/>
  <c r="BM32" i="238" s="1"/>
  <c r="CF28" i="238"/>
  <c r="AI16" i="238"/>
  <c r="BH32" i="238"/>
  <c r="CH32" i="238"/>
  <c r="BU33" i="238"/>
  <c r="BU35" i="238" s="1"/>
  <c r="BU22" i="238"/>
  <c r="BU21" i="238"/>
  <c r="BU23" i="238"/>
  <c r="BU26" i="238"/>
  <c r="BU24" i="238"/>
  <c r="X16" i="238"/>
  <c r="BY22" i="238"/>
  <c r="BY21" i="238"/>
  <c r="BY23" i="238"/>
  <c r="BY33" i="238"/>
  <c r="BY35" i="238" s="1"/>
  <c r="BY25" i="238"/>
  <c r="CC25" i="238"/>
  <c r="CC26" i="238"/>
  <c r="CC33" i="238"/>
  <c r="CG33" i="238"/>
  <c r="CG21" i="238"/>
  <c r="CG24" i="238"/>
  <c r="CG22" i="238"/>
  <c r="CJ33" i="238"/>
  <c r="CJ35" i="238" s="1"/>
  <c r="CJ26" i="238"/>
  <c r="CN21" i="238"/>
  <c r="CN26" i="238"/>
  <c r="CR25" i="238"/>
  <c r="CR24" i="238"/>
  <c r="BA22" i="238"/>
  <c r="BA24" i="238"/>
  <c r="BE24" i="238"/>
  <c r="BE33" i="238"/>
  <c r="BE22" i="238"/>
  <c r="BE25" i="238"/>
  <c r="BI22" i="238"/>
  <c r="L16" i="238"/>
  <c r="BI23" i="238"/>
  <c r="BP24" i="238"/>
  <c r="BP21" i="238"/>
  <c r="S16" i="238"/>
  <c r="BT21" i="238"/>
  <c r="BT22" i="238"/>
  <c r="BT33" i="238"/>
  <c r="BT35" i="238" s="1"/>
  <c r="CO24" i="238"/>
  <c r="CO25" i="238"/>
  <c r="CS22" i="238"/>
  <c r="CS23" i="238"/>
  <c r="BB22" i="238"/>
  <c r="BB23" i="238"/>
  <c r="BB33" i="238"/>
  <c r="BB21" i="238"/>
  <c r="BF33" i="238"/>
  <c r="BF24" i="238"/>
  <c r="BF21" i="238"/>
  <c r="BF22" i="238"/>
  <c r="CK26" i="238"/>
  <c r="CK21" i="238"/>
  <c r="CO33" i="238"/>
  <c r="CR26" i="238"/>
  <c r="CK32" i="238"/>
  <c r="BC24" i="238"/>
  <c r="BC22" i="238"/>
  <c r="BC21" i="238"/>
  <c r="BC25" i="238"/>
  <c r="BC26" i="238"/>
  <c r="Q16" i="238"/>
  <c r="BN23" i="238"/>
  <c r="CH21" i="238"/>
  <c r="CH23" i="238"/>
  <c r="AK16" i="238"/>
  <c r="CP25" i="238"/>
  <c r="CP21" i="238"/>
  <c r="CP24" i="238"/>
  <c r="CP23" i="238"/>
  <c r="CP33" i="238"/>
  <c r="CP26" i="238"/>
  <c r="BJ21" i="238"/>
  <c r="BJ25" i="238"/>
  <c r="CC28" i="238"/>
  <c r="CC32" i="238" s="1"/>
  <c r="AF16" i="238"/>
  <c r="BE32" i="238"/>
  <c r="CE27" i="238"/>
  <c r="CE32" i="238" s="1"/>
  <c r="AH16" i="238"/>
  <c r="BK25" i="238"/>
  <c r="BK23" i="238"/>
  <c r="BD25" i="238"/>
  <c r="CE21" i="238"/>
  <c r="CE24" i="238"/>
  <c r="CE22" i="238"/>
  <c r="CL26" i="238"/>
  <c r="AN16" i="238"/>
  <c r="BA28" i="238"/>
  <c r="BA35" i="238" s="1"/>
  <c r="D16" i="238"/>
  <c r="BF28" i="238"/>
  <c r="BF32" i="238" s="1"/>
  <c r="I16" i="238"/>
  <c r="BW28" i="238"/>
  <c r="BW32" i="238" s="1"/>
  <c r="Z16" i="238"/>
  <c r="BV27" i="238"/>
  <c r="Y16" i="238"/>
  <c r="CB27" i="238"/>
  <c r="CB32" i="238" s="1"/>
  <c r="AE16" i="238"/>
  <c r="BP33" i="238"/>
  <c r="BP35" i="238" s="1"/>
  <c r="CB22" i="238"/>
  <c r="CB33" i="238"/>
  <c r="CF33" i="238"/>
  <c r="CF21" i="238"/>
  <c r="CF26" i="238"/>
  <c r="CF25" i="238"/>
  <c r="CF23" i="238"/>
  <c r="CF24" i="238"/>
  <c r="CF22" i="238"/>
  <c r="CM33" i="238"/>
  <c r="CM35" i="238" s="1"/>
  <c r="CM21" i="238"/>
  <c r="CM24" i="238"/>
  <c r="CM23" i="238"/>
  <c r="CQ25" i="238"/>
  <c r="CQ33" i="238"/>
  <c r="AZ21" i="238"/>
  <c r="AZ26" i="238"/>
  <c r="BD23" i="238"/>
  <c r="BD33" i="238"/>
  <c r="BD35" i="238" s="1"/>
  <c r="BD26" i="238"/>
  <c r="BH23" i="238"/>
  <c r="BH33" i="238"/>
  <c r="BH35" i="238" s="1"/>
  <c r="BH24" i="238"/>
  <c r="BL22" i="238"/>
  <c r="BL33" i="238"/>
  <c r="BL35" i="238" s="1"/>
  <c r="BL26" i="238"/>
  <c r="BL21" i="238"/>
  <c r="BO22" i="238"/>
  <c r="BO21" i="238"/>
  <c r="BO25" i="238"/>
  <c r="BO33" i="238"/>
  <c r="BS21" i="238"/>
  <c r="BS24" i="238"/>
  <c r="BS33" i="238"/>
  <c r="BS35" i="238" s="1"/>
  <c r="BW25" i="238"/>
  <c r="BW24" i="238"/>
  <c r="BW21" i="238"/>
  <c r="BW22" i="238"/>
  <c r="BW33" i="238"/>
  <c r="CA26" i="238"/>
  <c r="CA33" i="238"/>
  <c r="CA35" i="238" s="1"/>
  <c r="CA23" i="238"/>
  <c r="CA24" i="238"/>
  <c r="AZ23" i="238"/>
  <c r="BM24" i="238"/>
  <c r="BM33" i="238"/>
  <c r="BM22" i="238"/>
  <c r="BT26" i="238"/>
  <c r="BX26" i="238"/>
  <c r="BX24" i="238"/>
  <c r="L7" i="242"/>
  <c r="M24" i="242"/>
  <c r="BJ32" i="238"/>
  <c r="BC33" i="238"/>
  <c r="BC35" i="238" s="1"/>
  <c r="CH33" i="238"/>
  <c r="CH35" i="238" s="1"/>
  <c r="CO21" i="238"/>
  <c r="CC23" i="238"/>
  <c r="CG23" i="238"/>
  <c r="CK23" i="238"/>
  <c r="BB25" i="238"/>
  <c r="BA26" i="238"/>
  <c r="BP26" i="238"/>
  <c r="BS26" i="238"/>
  <c r="J16" i="238"/>
  <c r="BG28" i="238"/>
  <c r="BG32" i="238" s="1"/>
  <c r="BP32" i="238"/>
  <c r="BY32" i="238"/>
  <c r="BJ33" i="238"/>
  <c r="BJ35" i="238" s="1"/>
  <c r="BJ22" i="238"/>
  <c r="BN26" i="238"/>
  <c r="BN21" i="238"/>
  <c r="CS33" i="238"/>
  <c r="CS35" i="238" s="1"/>
  <c r="CN22" i="238"/>
  <c r="CR22" i="238"/>
  <c r="BA23" i="238"/>
  <c r="BT23" i="238"/>
  <c r="CJ23" i="238"/>
  <c r="CB24" i="238"/>
  <c r="CN24" i="238"/>
  <c r="BM25" i="238"/>
  <c r="BU25" i="238"/>
  <c r="CS26" i="238"/>
  <c r="CG35" i="238" l="1"/>
  <c r="BM35" i="238"/>
  <c r="BE35" i="238"/>
  <c r="CO35" i="238"/>
  <c r="BX35" i="238"/>
  <c r="CB35" i="238"/>
  <c r="DB27" i="238"/>
  <c r="BG35" i="238"/>
  <c r="CT35" i="238"/>
  <c r="DB25" i="238"/>
  <c r="DA25" i="238"/>
  <c r="DC25" i="238"/>
  <c r="CF32" i="238"/>
  <c r="DA28" i="238"/>
  <c r="DB28" i="238"/>
  <c r="DC28" i="238"/>
  <c r="BW35" i="238"/>
  <c r="BO35" i="238"/>
  <c r="CQ35" i="238"/>
  <c r="DA23" i="238"/>
  <c r="DC23" i="238"/>
  <c r="DB23" i="238"/>
  <c r="DA30" i="238"/>
  <c r="CF35" i="238"/>
  <c r="DB30" i="238"/>
  <c r="BF35" i="238"/>
  <c r="CI32" i="238"/>
  <c r="DA27" i="238"/>
  <c r="DC27" i="238"/>
  <c r="DC22" i="238"/>
  <c r="DB22" i="238"/>
  <c r="DA22" i="238"/>
  <c r="DC26" i="238"/>
  <c r="DB26" i="238"/>
  <c r="DA26" i="238"/>
  <c r="CP35" i="238"/>
  <c r="BA32" i="238"/>
  <c r="BB35" i="238"/>
  <c r="CC35" i="238"/>
  <c r="CE35" i="238"/>
  <c r="M7" i="242"/>
  <c r="DA24" i="238"/>
  <c r="DB24" i="238"/>
  <c r="DC24" i="238"/>
  <c r="DC21" i="238"/>
  <c r="DA21" i="238"/>
  <c r="DB21" i="238"/>
  <c r="BV32" i="238"/>
  <c r="BV35" i="238"/>
  <c r="BK35" i="238"/>
  <c r="N7" i="242" l="1"/>
  <c r="DC33" i="238"/>
  <c r="DB33" i="238"/>
  <c r="DA33" i="238"/>
  <c r="O7" i="242" l="1"/>
  <c r="P7" i="242" l="1"/>
  <c r="Q7" i="242" l="1"/>
  <c r="R7" i="242" l="1"/>
  <c r="S7" i="242" l="1"/>
  <c r="T7" i="242" l="1"/>
  <c r="U7" i="242" l="1"/>
  <c r="V7" i="242" l="1"/>
  <c r="W7" i="242" l="1"/>
  <c r="X7" i="242" l="1"/>
  <c r="Y7" i="242" l="1"/>
  <c r="Z7" i="242" l="1"/>
  <c r="AA7" i="242" l="1"/>
  <c r="AB7" i="242" l="1"/>
  <c r="AC7" i="242" l="1"/>
  <c r="AD7" i="242" l="1"/>
  <c r="AE7" i="242" l="1"/>
  <c r="AF7" i="242" l="1"/>
  <c r="AG7" i="242" l="1"/>
  <c r="AH7" i="242" l="1"/>
  <c r="AI7" i="242" l="1"/>
  <c r="AJ7" i="242" l="1"/>
  <c r="AK7" i="242" l="1"/>
  <c r="AL7" i="242" l="1"/>
  <c r="AM7" i="242" l="1"/>
  <c r="AN7" i="242" l="1"/>
  <c r="AO7" i="242" l="1"/>
  <c r="AP7" i="242" l="1"/>
  <c r="AQ7" i="242" l="1"/>
  <c r="AR7" i="242" l="1"/>
  <c r="AS7" i="242"/>
  <c r="R20" i="246" l="1"/>
  <c r="AC8" i="246" l="1"/>
  <c r="AD8" i="246" s="1"/>
  <c r="AE8" i="246" s="1"/>
  <c r="AF8" i="246" s="1"/>
  <c r="R17" i="246" l="1"/>
  <c r="CW23" i="238"/>
  <c r="CV23" i="238"/>
  <c r="CX23" i="238"/>
  <c r="CX21" i="238"/>
  <c r="CV21" i="238"/>
  <c r="CW21" i="238"/>
  <c r="CX28" i="238"/>
  <c r="CV28" i="238"/>
  <c r="CW28" i="238"/>
  <c r="CX25" i="238"/>
  <c r="CW25" i="238"/>
  <c r="CV25" i="238"/>
  <c r="CW22" i="238"/>
  <c r="CV22" i="238"/>
  <c r="CX22" i="238"/>
  <c r="CW27" i="238"/>
  <c r="CV27" i="238"/>
  <c r="CX27" i="238"/>
  <c r="CX24" i="238"/>
  <c r="CV24" i="238"/>
  <c r="CW24" i="238"/>
  <c r="CX26" i="238"/>
  <c r="CV26" i="238"/>
  <c r="CW26" i="238"/>
</calcChain>
</file>

<file path=xl/comments1.xml><?xml version="1.0" encoding="utf-8"?>
<comments xmlns="http://schemas.openxmlformats.org/spreadsheetml/2006/main">
  <authors>
    <author>Rikke Næraa</author>
    <author>Olexandr Balyk</author>
    <author>Kristoffer Steen Andersen</author>
    <author>Christian Bang</author>
    <author>János Hethey</author>
  </authors>
  <commentList>
    <comment ref="G5" authorId="0">
      <text>
        <r>
          <rPr>
            <b/>
            <sz val="9"/>
            <color indexed="81"/>
            <rFont val="Tahoma"/>
            <family val="2"/>
          </rPr>
          <t>Rikke Næraa:</t>
        </r>
        <r>
          <rPr>
            <sz val="9"/>
            <color indexed="81"/>
            <rFont val="Tahoma"/>
            <family val="2"/>
          </rPr>
          <t xml:space="preserve">
RAMSES data for 2010 ( from BF2012)
</t>
        </r>
      </text>
    </comment>
    <comment ref="G9" authorId="1">
      <text>
        <r>
          <rPr>
            <b/>
            <sz val="9"/>
            <color indexed="81"/>
            <rFont val="Tahoma"/>
            <family val="2"/>
          </rPr>
          <t>Olexandr Balyk:</t>
        </r>
        <r>
          <rPr>
            <sz val="9"/>
            <color indexed="81"/>
            <rFont val="Tahoma"/>
            <family val="2"/>
          </rPr>
          <t xml:space="preserve">
Same as in Ramses</t>
        </r>
      </text>
    </comment>
    <comment ref="H9" authorId="1">
      <text>
        <r>
          <rPr>
            <b/>
            <sz val="9"/>
            <color indexed="81"/>
            <rFont val="Tahoma"/>
            <family val="2"/>
          </rPr>
          <t>Olexandr Balyk:</t>
        </r>
        <r>
          <rPr>
            <sz val="9"/>
            <color indexed="81"/>
            <rFont val="Tahoma"/>
            <family val="2"/>
          </rPr>
          <t xml:space="preserve">
Same as in Ramses</t>
        </r>
      </text>
    </comment>
    <comment ref="I9" authorId="1">
      <text>
        <r>
          <rPr>
            <b/>
            <sz val="9"/>
            <color indexed="81"/>
            <rFont val="Tahoma"/>
            <family val="2"/>
          </rPr>
          <t>Olexandr Balyk:</t>
        </r>
        <r>
          <rPr>
            <sz val="9"/>
            <color indexed="81"/>
            <rFont val="Tahoma"/>
            <family val="2"/>
          </rPr>
          <t xml:space="preserve">
Same as in Ramses</t>
        </r>
      </text>
    </comment>
    <comment ref="J9" authorId="1">
      <text>
        <r>
          <rPr>
            <b/>
            <sz val="9"/>
            <color indexed="81"/>
            <rFont val="Tahoma"/>
            <family val="2"/>
          </rPr>
          <t>Olexandr Balyk:</t>
        </r>
        <r>
          <rPr>
            <sz val="9"/>
            <color indexed="81"/>
            <rFont val="Tahoma"/>
            <family val="2"/>
          </rPr>
          <t xml:space="preserve">
Same as in Ramses</t>
        </r>
      </text>
    </comment>
    <comment ref="K9" authorId="1">
      <text>
        <r>
          <rPr>
            <b/>
            <sz val="9"/>
            <color indexed="81"/>
            <rFont val="Tahoma"/>
            <family val="2"/>
          </rPr>
          <t>Olexandr Balyk:</t>
        </r>
        <r>
          <rPr>
            <sz val="9"/>
            <color indexed="81"/>
            <rFont val="Tahoma"/>
            <family val="2"/>
          </rPr>
          <t xml:space="preserve">
Same as in Ramses</t>
        </r>
      </text>
    </comment>
    <comment ref="L9" authorId="1">
      <text>
        <r>
          <rPr>
            <b/>
            <sz val="9"/>
            <color indexed="81"/>
            <rFont val="Tahoma"/>
            <family val="2"/>
          </rPr>
          <t>Olexandr Balyk:</t>
        </r>
        <r>
          <rPr>
            <sz val="9"/>
            <color indexed="81"/>
            <rFont val="Tahoma"/>
            <family val="2"/>
          </rPr>
          <t xml:space="preserve">
Same as in Ramses</t>
        </r>
      </text>
    </comment>
    <comment ref="M9" authorId="1">
      <text>
        <r>
          <rPr>
            <b/>
            <sz val="9"/>
            <color indexed="81"/>
            <rFont val="Tahoma"/>
            <family val="2"/>
          </rPr>
          <t>Olexandr Balyk:</t>
        </r>
        <r>
          <rPr>
            <sz val="9"/>
            <color indexed="81"/>
            <rFont val="Tahoma"/>
            <family val="2"/>
          </rPr>
          <t xml:space="preserve">
Same as in Ramses</t>
        </r>
      </text>
    </comment>
    <comment ref="N9" authorId="1">
      <text>
        <r>
          <rPr>
            <b/>
            <sz val="9"/>
            <color indexed="81"/>
            <rFont val="Tahoma"/>
            <family val="2"/>
          </rPr>
          <t>Olexandr Balyk:</t>
        </r>
        <r>
          <rPr>
            <sz val="9"/>
            <color indexed="81"/>
            <rFont val="Tahoma"/>
            <family val="2"/>
          </rPr>
          <t xml:space="preserve">
Same as in Ramses</t>
        </r>
      </text>
    </comment>
    <comment ref="O9" authorId="1">
      <text>
        <r>
          <rPr>
            <b/>
            <sz val="9"/>
            <color indexed="81"/>
            <rFont val="Tahoma"/>
            <family val="2"/>
          </rPr>
          <t>Olexandr Balyk:</t>
        </r>
        <r>
          <rPr>
            <sz val="9"/>
            <color indexed="81"/>
            <rFont val="Tahoma"/>
            <family val="2"/>
          </rPr>
          <t xml:space="preserve">
Same as in Ramses</t>
        </r>
      </text>
    </comment>
    <comment ref="G13" authorId="2">
      <text>
        <r>
          <rPr>
            <b/>
            <sz val="9"/>
            <color indexed="81"/>
            <rFont val="Tahoma"/>
            <family val="2"/>
          </rPr>
          <t>Kristoffer Steen Andersen:</t>
        </r>
        <r>
          <rPr>
            <sz val="9"/>
            <color indexed="81"/>
            <rFont val="Tahoma"/>
            <family val="2"/>
          </rPr>
          <t xml:space="preserve">
It is assumed that biogas is prices triple of natural gas!!</t>
        </r>
      </text>
    </comment>
    <comment ref="H13" authorId="2">
      <text>
        <r>
          <rPr>
            <b/>
            <sz val="9"/>
            <color indexed="81"/>
            <rFont val="Tahoma"/>
            <family val="2"/>
          </rPr>
          <t>Kristoffer Steen Andersen:</t>
        </r>
        <r>
          <rPr>
            <sz val="9"/>
            <color indexed="81"/>
            <rFont val="Tahoma"/>
            <family val="2"/>
          </rPr>
          <t xml:space="preserve">
It is assumed that biogas is prices double of natural gas!!</t>
        </r>
      </text>
    </comment>
    <comment ref="I13" authorId="2">
      <text>
        <r>
          <rPr>
            <b/>
            <sz val="9"/>
            <color indexed="81"/>
            <rFont val="Tahoma"/>
            <family val="2"/>
          </rPr>
          <t>Kristoffer Steen Andersen:</t>
        </r>
        <r>
          <rPr>
            <sz val="9"/>
            <color indexed="81"/>
            <rFont val="Tahoma"/>
            <family val="2"/>
          </rPr>
          <t xml:space="preserve">
It is assumed that biogas is prices double of natural gas!!</t>
        </r>
      </text>
    </comment>
    <comment ref="J13" authorId="2">
      <text>
        <r>
          <rPr>
            <b/>
            <sz val="9"/>
            <color indexed="81"/>
            <rFont val="Tahoma"/>
            <family val="2"/>
          </rPr>
          <t>Kristoffer Steen Andersen:</t>
        </r>
        <r>
          <rPr>
            <sz val="9"/>
            <color indexed="81"/>
            <rFont val="Tahoma"/>
            <family val="2"/>
          </rPr>
          <t xml:space="preserve">
It is assumed that biogas is prices double of natural gas!!</t>
        </r>
      </text>
    </comment>
    <comment ref="K13" authorId="2">
      <text>
        <r>
          <rPr>
            <b/>
            <sz val="9"/>
            <color indexed="81"/>
            <rFont val="Tahoma"/>
            <family val="2"/>
          </rPr>
          <t>Kristoffer Steen Andersen:</t>
        </r>
        <r>
          <rPr>
            <sz val="9"/>
            <color indexed="81"/>
            <rFont val="Tahoma"/>
            <family val="2"/>
          </rPr>
          <t xml:space="preserve">
It is assumed that biogas is prices double of natural gas!!</t>
        </r>
      </text>
    </comment>
    <comment ref="L13" authorId="2">
      <text>
        <r>
          <rPr>
            <b/>
            <sz val="9"/>
            <color indexed="81"/>
            <rFont val="Tahoma"/>
            <family val="2"/>
          </rPr>
          <t>Kristoffer Steen Andersen:</t>
        </r>
        <r>
          <rPr>
            <sz val="9"/>
            <color indexed="81"/>
            <rFont val="Tahoma"/>
            <family val="2"/>
          </rPr>
          <t xml:space="preserve">
It is assumed that biogas is prices double of natural gas!!</t>
        </r>
      </text>
    </comment>
    <comment ref="M13" authorId="2">
      <text>
        <r>
          <rPr>
            <b/>
            <sz val="9"/>
            <color indexed="81"/>
            <rFont val="Tahoma"/>
            <family val="2"/>
          </rPr>
          <t>Kristoffer Steen Andersen:</t>
        </r>
        <r>
          <rPr>
            <sz val="9"/>
            <color indexed="81"/>
            <rFont val="Tahoma"/>
            <family val="2"/>
          </rPr>
          <t xml:space="preserve">
It is assumed that biogas is prices double of natural gas!!</t>
        </r>
      </text>
    </comment>
    <comment ref="N13" authorId="2">
      <text>
        <r>
          <rPr>
            <b/>
            <sz val="9"/>
            <color indexed="81"/>
            <rFont val="Tahoma"/>
            <family val="2"/>
          </rPr>
          <t>Kristoffer Steen Andersen:</t>
        </r>
        <r>
          <rPr>
            <sz val="9"/>
            <color indexed="81"/>
            <rFont val="Tahoma"/>
            <family val="2"/>
          </rPr>
          <t xml:space="preserve">
It is assumed that biogas is prices double of natural gas!!</t>
        </r>
      </text>
    </comment>
    <comment ref="O13" authorId="2">
      <text>
        <r>
          <rPr>
            <b/>
            <sz val="9"/>
            <color indexed="81"/>
            <rFont val="Tahoma"/>
            <family val="2"/>
          </rPr>
          <t>Kristoffer Steen Andersen:</t>
        </r>
        <r>
          <rPr>
            <sz val="9"/>
            <color indexed="81"/>
            <rFont val="Tahoma"/>
            <family val="2"/>
          </rPr>
          <t xml:space="preserve">
It is assumed that biogas is prices double of natural gas!!</t>
        </r>
      </text>
    </comment>
    <comment ref="G24" authorId="2">
      <text>
        <r>
          <rPr>
            <b/>
            <sz val="9"/>
            <color indexed="81"/>
            <rFont val="Tahoma"/>
            <family val="2"/>
          </rPr>
          <t>Kristoffer Steen Andersen:</t>
        </r>
        <r>
          <rPr>
            <sz val="9"/>
            <color indexed="81"/>
            <rFont val="Tahoma"/>
            <family val="2"/>
          </rPr>
          <t xml:space="preserve">
It is assumed that LPG is prices double of natural gas!!</t>
        </r>
      </text>
    </comment>
    <comment ref="G121" authorId="0">
      <text>
        <r>
          <rPr>
            <b/>
            <sz val="9"/>
            <color indexed="81"/>
            <rFont val="Tahoma"/>
            <family val="2"/>
          </rPr>
          <t>Rikke Næraa:</t>
        </r>
        <r>
          <rPr>
            <sz val="9"/>
            <color indexed="81"/>
            <rFont val="Tahoma"/>
            <family val="2"/>
          </rPr>
          <t xml:space="preserve">
RAMSES data for 2010 ( from BF2012)
</t>
        </r>
      </text>
    </comment>
    <comment ref="J236" authorId="3">
      <text>
        <r>
          <rPr>
            <b/>
            <sz val="9"/>
            <color indexed="81"/>
            <rFont val="Tahoma"/>
            <family val="2"/>
          </rPr>
          <t>Christian Bang:</t>
        </r>
        <r>
          <rPr>
            <sz val="9"/>
            <color indexed="81"/>
            <rFont val="Tahoma"/>
            <family val="2"/>
          </rPr>
          <t xml:space="preserve">
DDHA in 2013 DKK: 48.0</t>
        </r>
      </text>
    </comment>
    <comment ref="J240" authorId="3">
      <text>
        <r>
          <rPr>
            <b/>
            <sz val="9"/>
            <color indexed="81"/>
            <rFont val="Tahoma"/>
            <family val="2"/>
          </rPr>
          <t>Christian Bang:</t>
        </r>
        <r>
          <rPr>
            <sz val="9"/>
            <color indexed="81"/>
            <rFont val="Tahoma"/>
            <family val="2"/>
          </rPr>
          <t xml:space="preserve">
DDHA in 2013 DKK: 
Average - 72,
Weigted average a deal lower.</t>
        </r>
      </text>
    </comment>
    <comment ref="D243" authorId="3">
      <text>
        <r>
          <rPr>
            <b/>
            <sz val="9"/>
            <color indexed="81"/>
            <rFont val="Tahoma"/>
            <family val="2"/>
          </rPr>
          <t>Christian Bang:</t>
        </r>
        <r>
          <rPr>
            <sz val="9"/>
            <color indexed="81"/>
            <rFont val="Tahoma"/>
            <family val="2"/>
          </rPr>
          <t xml:space="preserve">
Has not been investigated thouroughly in this study.</t>
        </r>
      </text>
    </comment>
    <comment ref="J246" authorId="3">
      <text>
        <r>
          <rPr>
            <b/>
            <sz val="9"/>
            <color indexed="81"/>
            <rFont val="Tahoma"/>
            <family val="2"/>
          </rPr>
          <t>Christian Bang:</t>
        </r>
        <r>
          <rPr>
            <sz val="9"/>
            <color indexed="81"/>
            <rFont val="Tahoma"/>
            <family val="2"/>
          </rPr>
          <t xml:space="preserve">
DDHA in 2013 DKK: 
41.9</t>
        </r>
      </text>
    </comment>
    <comment ref="J285" authorId="4">
      <text>
        <r>
          <rPr>
            <b/>
            <sz val="9"/>
            <color indexed="81"/>
            <rFont val="Tahoma"/>
            <family val="2"/>
          </rPr>
          <t>János Hethey:</t>
        </r>
        <r>
          <rPr>
            <sz val="9"/>
            <color indexed="81"/>
            <rFont val="Tahoma"/>
            <family val="2"/>
          </rPr>
          <t xml:space="preserve">
Forskel jf. ENS forudsætninger
</t>
        </r>
      </text>
    </comment>
    <comment ref="K285" authorId="4">
      <text>
        <r>
          <rPr>
            <b/>
            <sz val="9"/>
            <color indexed="81"/>
            <rFont val="Tahoma"/>
            <family val="2"/>
          </rPr>
          <t>János Hethey:</t>
        </r>
        <r>
          <rPr>
            <sz val="9"/>
            <color indexed="81"/>
            <rFont val="Tahoma"/>
            <family val="2"/>
          </rPr>
          <t xml:space="preserve">
Forskel jf. ENS forudsætninger</t>
        </r>
      </text>
    </comment>
  </commentList>
</comments>
</file>

<file path=xl/comments2.xml><?xml version="1.0" encoding="utf-8"?>
<comments xmlns="http://schemas.openxmlformats.org/spreadsheetml/2006/main">
  <authors>
    <author>Rikke Næraa</author>
    <author>Jannick Hauschildt Buhl</author>
  </authors>
  <commentList>
    <comment ref="F4" authorId="0">
      <text>
        <r>
          <rPr>
            <b/>
            <sz val="9"/>
            <color indexed="81"/>
            <rFont val="Tahoma"/>
            <family val="2"/>
          </rPr>
          <t>Rikke Næraa:</t>
        </r>
        <r>
          <rPr>
            <sz val="9"/>
            <color indexed="81"/>
            <rFont val="Tahoma"/>
            <family val="2"/>
          </rPr>
          <t xml:space="preserve">
RAMSES data for 2010 ( from BF2012)
</t>
        </r>
      </text>
    </comment>
    <comment ref="G4" authorId="0">
      <text>
        <r>
          <rPr>
            <b/>
            <sz val="9"/>
            <color indexed="81"/>
            <rFont val="Tahoma"/>
            <family val="2"/>
          </rPr>
          <t>Rikke Næraa:</t>
        </r>
        <r>
          <rPr>
            <sz val="9"/>
            <color indexed="81"/>
            <rFont val="Tahoma"/>
            <family val="2"/>
          </rPr>
          <t xml:space="preserve">
RAMSES data for 2010 ( from BF2012)
</t>
        </r>
      </text>
    </comment>
    <comment ref="H4" authorId="0">
      <text>
        <r>
          <rPr>
            <b/>
            <sz val="9"/>
            <color indexed="81"/>
            <rFont val="Tahoma"/>
            <family val="2"/>
          </rPr>
          <t>Rikke Næraa:</t>
        </r>
        <r>
          <rPr>
            <sz val="9"/>
            <color indexed="81"/>
            <rFont val="Tahoma"/>
            <family val="2"/>
          </rPr>
          <t xml:space="preserve">
RAMSES data for 2010 ( from BF2012)
</t>
        </r>
      </text>
    </comment>
    <comment ref="I4" authorId="0">
      <text>
        <r>
          <rPr>
            <b/>
            <sz val="9"/>
            <color indexed="81"/>
            <rFont val="Tahoma"/>
            <family val="2"/>
          </rPr>
          <t>Rikke Næraa:</t>
        </r>
        <r>
          <rPr>
            <sz val="9"/>
            <color indexed="81"/>
            <rFont val="Tahoma"/>
            <family val="2"/>
          </rPr>
          <t xml:space="preserve">
RAMSES data for 2010 ( from BF2012)
</t>
        </r>
      </text>
    </comment>
    <comment ref="J4" authorId="0">
      <text>
        <r>
          <rPr>
            <b/>
            <sz val="9"/>
            <color indexed="81"/>
            <rFont val="Tahoma"/>
            <family val="2"/>
          </rPr>
          <t>Rikke Næraa:</t>
        </r>
        <r>
          <rPr>
            <sz val="9"/>
            <color indexed="81"/>
            <rFont val="Tahoma"/>
            <family val="2"/>
          </rPr>
          <t xml:space="preserve">
RAMSES data for 2010 ( from BF2012)
</t>
        </r>
      </text>
    </comment>
    <comment ref="K4" authorId="0">
      <text>
        <r>
          <rPr>
            <b/>
            <sz val="9"/>
            <color indexed="81"/>
            <rFont val="Tahoma"/>
            <family val="2"/>
          </rPr>
          <t>Rikke Næraa:</t>
        </r>
        <r>
          <rPr>
            <sz val="9"/>
            <color indexed="81"/>
            <rFont val="Tahoma"/>
            <family val="2"/>
          </rPr>
          <t xml:space="preserve">
RAMSES data for 2010 ( from BF2012)
</t>
        </r>
      </text>
    </comment>
    <comment ref="L4" authorId="0">
      <text>
        <r>
          <rPr>
            <b/>
            <sz val="9"/>
            <color indexed="81"/>
            <rFont val="Tahoma"/>
            <family val="2"/>
          </rPr>
          <t>Rikke Næraa:</t>
        </r>
        <r>
          <rPr>
            <sz val="9"/>
            <color indexed="81"/>
            <rFont val="Tahoma"/>
            <family val="2"/>
          </rPr>
          <t xml:space="preserve">
RAMSES data for 2010 ( from BF2012)
</t>
        </r>
      </text>
    </comment>
    <comment ref="M4" authorId="0">
      <text>
        <r>
          <rPr>
            <b/>
            <sz val="9"/>
            <color indexed="81"/>
            <rFont val="Tahoma"/>
            <family val="2"/>
          </rPr>
          <t>Rikke Næraa:</t>
        </r>
        <r>
          <rPr>
            <sz val="9"/>
            <color indexed="81"/>
            <rFont val="Tahoma"/>
            <family val="2"/>
          </rPr>
          <t xml:space="preserve">
RAMSES data for 2010 ( from BF2012)
</t>
        </r>
      </text>
    </comment>
    <comment ref="N4" authorId="0">
      <text>
        <r>
          <rPr>
            <b/>
            <sz val="9"/>
            <color indexed="81"/>
            <rFont val="Tahoma"/>
            <family val="2"/>
          </rPr>
          <t>Rikke Næraa:</t>
        </r>
        <r>
          <rPr>
            <sz val="9"/>
            <color indexed="81"/>
            <rFont val="Tahoma"/>
            <family val="2"/>
          </rPr>
          <t xml:space="preserve">
RAMSES data for 2010 ( from BF2012)
</t>
        </r>
      </text>
    </comment>
    <comment ref="O4" authorId="0">
      <text>
        <r>
          <rPr>
            <b/>
            <sz val="9"/>
            <color indexed="81"/>
            <rFont val="Tahoma"/>
            <family val="2"/>
          </rPr>
          <t>Rikke Næraa:</t>
        </r>
        <r>
          <rPr>
            <sz val="9"/>
            <color indexed="81"/>
            <rFont val="Tahoma"/>
            <family val="2"/>
          </rPr>
          <t xml:space="preserve">
RAMSES data for 2010 ( from BF2012)
</t>
        </r>
      </text>
    </comment>
    <comment ref="P4" authorId="0">
      <text>
        <r>
          <rPr>
            <b/>
            <sz val="9"/>
            <color indexed="81"/>
            <rFont val="Tahoma"/>
            <family val="2"/>
          </rPr>
          <t>Rikke Næraa:</t>
        </r>
        <r>
          <rPr>
            <sz val="9"/>
            <color indexed="81"/>
            <rFont val="Tahoma"/>
            <family val="2"/>
          </rPr>
          <t xml:space="preserve">
RAMSES data for 2010 ( from BF2012)
</t>
        </r>
      </text>
    </comment>
    <comment ref="Q4" authorId="0">
      <text>
        <r>
          <rPr>
            <b/>
            <sz val="9"/>
            <color indexed="81"/>
            <rFont val="Tahoma"/>
            <family val="2"/>
          </rPr>
          <t>Rikke Næraa:</t>
        </r>
        <r>
          <rPr>
            <sz val="9"/>
            <color indexed="81"/>
            <rFont val="Tahoma"/>
            <family val="2"/>
          </rPr>
          <t xml:space="preserve">
RAMSES data for 2010 ( from BF2012)
</t>
        </r>
      </text>
    </comment>
    <comment ref="R4" authorId="0">
      <text>
        <r>
          <rPr>
            <b/>
            <sz val="9"/>
            <color indexed="81"/>
            <rFont val="Tahoma"/>
            <family val="2"/>
          </rPr>
          <t>Rikke Næraa:</t>
        </r>
        <r>
          <rPr>
            <sz val="9"/>
            <color indexed="81"/>
            <rFont val="Tahoma"/>
            <family val="2"/>
          </rPr>
          <t xml:space="preserve">
RAMSES data for 2010 ( from BF2012)
</t>
        </r>
      </text>
    </comment>
    <comment ref="S4" authorId="0">
      <text>
        <r>
          <rPr>
            <b/>
            <sz val="9"/>
            <color indexed="81"/>
            <rFont val="Tahoma"/>
            <family val="2"/>
          </rPr>
          <t>Rikke Næraa:</t>
        </r>
        <r>
          <rPr>
            <sz val="9"/>
            <color indexed="81"/>
            <rFont val="Tahoma"/>
            <family val="2"/>
          </rPr>
          <t xml:space="preserve">
RAMSES data for 2010 ( from BF2012)
</t>
        </r>
      </text>
    </comment>
    <comment ref="T4" authorId="0">
      <text>
        <r>
          <rPr>
            <b/>
            <sz val="9"/>
            <color indexed="81"/>
            <rFont val="Tahoma"/>
            <family val="2"/>
          </rPr>
          <t>Rikke Næraa:</t>
        </r>
        <r>
          <rPr>
            <sz val="9"/>
            <color indexed="81"/>
            <rFont val="Tahoma"/>
            <family val="2"/>
          </rPr>
          <t xml:space="preserve">
RAMSES data for 2010 ( from BF2012)
</t>
        </r>
      </text>
    </comment>
    <comment ref="U4" authorId="0">
      <text>
        <r>
          <rPr>
            <b/>
            <sz val="9"/>
            <color indexed="81"/>
            <rFont val="Tahoma"/>
            <family val="2"/>
          </rPr>
          <t>Rikke Næraa:</t>
        </r>
        <r>
          <rPr>
            <sz val="9"/>
            <color indexed="81"/>
            <rFont val="Tahoma"/>
            <family val="2"/>
          </rPr>
          <t xml:space="preserve">
RAMSES data for 2010 ( from BF2012)
</t>
        </r>
      </text>
    </comment>
    <comment ref="V4" authorId="0">
      <text>
        <r>
          <rPr>
            <b/>
            <sz val="9"/>
            <color indexed="81"/>
            <rFont val="Tahoma"/>
            <family val="2"/>
          </rPr>
          <t>Rikke Næraa:</t>
        </r>
        <r>
          <rPr>
            <sz val="9"/>
            <color indexed="81"/>
            <rFont val="Tahoma"/>
            <family val="2"/>
          </rPr>
          <t xml:space="preserve">
RAMSES data for 2010 ( from BF2012)
</t>
        </r>
      </text>
    </comment>
    <comment ref="W4" authorId="0">
      <text>
        <r>
          <rPr>
            <b/>
            <sz val="9"/>
            <color indexed="81"/>
            <rFont val="Tahoma"/>
            <family val="2"/>
          </rPr>
          <t>Rikke Næraa:</t>
        </r>
        <r>
          <rPr>
            <sz val="9"/>
            <color indexed="81"/>
            <rFont val="Tahoma"/>
            <family val="2"/>
          </rPr>
          <t xml:space="preserve">
RAMSES data for 2010 ( from BF2012)
</t>
        </r>
      </text>
    </comment>
    <comment ref="X4" authorId="0">
      <text>
        <r>
          <rPr>
            <b/>
            <sz val="9"/>
            <color indexed="81"/>
            <rFont val="Tahoma"/>
            <family val="2"/>
          </rPr>
          <t>Rikke Næraa:</t>
        </r>
        <r>
          <rPr>
            <sz val="9"/>
            <color indexed="81"/>
            <rFont val="Tahoma"/>
            <family val="2"/>
          </rPr>
          <t xml:space="preserve">
RAMSES data for 2010 ( from BF2012)
</t>
        </r>
      </text>
    </comment>
    <comment ref="Y4" authorId="0">
      <text>
        <r>
          <rPr>
            <b/>
            <sz val="9"/>
            <color indexed="81"/>
            <rFont val="Tahoma"/>
            <family val="2"/>
          </rPr>
          <t>Rikke Næraa:</t>
        </r>
        <r>
          <rPr>
            <sz val="9"/>
            <color indexed="81"/>
            <rFont val="Tahoma"/>
            <family val="2"/>
          </rPr>
          <t xml:space="preserve">
RAMSES data for 2010 ( from BF2012)
</t>
        </r>
      </text>
    </comment>
    <comment ref="Z4" authorId="0">
      <text>
        <r>
          <rPr>
            <b/>
            <sz val="9"/>
            <color indexed="81"/>
            <rFont val="Tahoma"/>
            <family val="2"/>
          </rPr>
          <t>Rikke Næraa:</t>
        </r>
        <r>
          <rPr>
            <sz val="9"/>
            <color indexed="81"/>
            <rFont val="Tahoma"/>
            <family val="2"/>
          </rPr>
          <t xml:space="preserve">
RAMSES data for 2010 ( from BF2012)
</t>
        </r>
      </text>
    </comment>
    <comment ref="AA4" authorId="0">
      <text>
        <r>
          <rPr>
            <b/>
            <sz val="9"/>
            <color indexed="81"/>
            <rFont val="Tahoma"/>
            <family val="2"/>
          </rPr>
          <t>Rikke Næraa:</t>
        </r>
        <r>
          <rPr>
            <sz val="9"/>
            <color indexed="81"/>
            <rFont val="Tahoma"/>
            <family val="2"/>
          </rPr>
          <t xml:space="preserve">
RAMSES data for 2010 ( from BF2012)
</t>
        </r>
      </text>
    </comment>
    <comment ref="AB4" authorId="0">
      <text>
        <r>
          <rPr>
            <b/>
            <sz val="9"/>
            <color indexed="81"/>
            <rFont val="Tahoma"/>
            <family val="2"/>
          </rPr>
          <t>Rikke Næraa:</t>
        </r>
        <r>
          <rPr>
            <sz val="9"/>
            <color indexed="81"/>
            <rFont val="Tahoma"/>
            <family val="2"/>
          </rPr>
          <t xml:space="preserve">
RAMSES data for 2010 ( from BF2012)
</t>
        </r>
      </text>
    </comment>
    <comment ref="AC4" authorId="0">
      <text>
        <r>
          <rPr>
            <b/>
            <sz val="9"/>
            <color indexed="81"/>
            <rFont val="Tahoma"/>
            <family val="2"/>
          </rPr>
          <t>Rikke Næraa:</t>
        </r>
        <r>
          <rPr>
            <sz val="9"/>
            <color indexed="81"/>
            <rFont val="Tahoma"/>
            <family val="2"/>
          </rPr>
          <t xml:space="preserve">
RAMSES data for 2010 ( from BF2012)
</t>
        </r>
      </text>
    </comment>
    <comment ref="AD4" authorId="0">
      <text>
        <r>
          <rPr>
            <b/>
            <sz val="9"/>
            <color indexed="81"/>
            <rFont val="Tahoma"/>
            <family val="2"/>
          </rPr>
          <t>Rikke Næraa:</t>
        </r>
        <r>
          <rPr>
            <sz val="9"/>
            <color indexed="81"/>
            <rFont val="Tahoma"/>
            <family val="2"/>
          </rPr>
          <t xml:space="preserve">
RAMSES data for 2010 ( from BF2012)
</t>
        </r>
      </text>
    </comment>
    <comment ref="AE4" authorId="0">
      <text>
        <r>
          <rPr>
            <b/>
            <sz val="9"/>
            <color indexed="81"/>
            <rFont val="Tahoma"/>
            <family val="2"/>
          </rPr>
          <t>Rikke Næraa:</t>
        </r>
        <r>
          <rPr>
            <sz val="9"/>
            <color indexed="81"/>
            <rFont val="Tahoma"/>
            <family val="2"/>
          </rPr>
          <t xml:space="preserve">
RAMSES data for 2010 ( from BF2012)
</t>
        </r>
      </text>
    </comment>
    <comment ref="AF4" authorId="0">
      <text>
        <r>
          <rPr>
            <b/>
            <sz val="9"/>
            <color indexed="81"/>
            <rFont val="Tahoma"/>
            <family val="2"/>
          </rPr>
          <t>Rikke Næraa:</t>
        </r>
        <r>
          <rPr>
            <sz val="9"/>
            <color indexed="81"/>
            <rFont val="Tahoma"/>
            <family val="2"/>
          </rPr>
          <t xml:space="preserve">
RAMSES data for 2010 ( from BF2012)
</t>
        </r>
      </text>
    </comment>
    <comment ref="AG4" authorId="0">
      <text>
        <r>
          <rPr>
            <b/>
            <sz val="9"/>
            <color indexed="81"/>
            <rFont val="Tahoma"/>
            <family val="2"/>
          </rPr>
          <t>Rikke Næraa:</t>
        </r>
        <r>
          <rPr>
            <sz val="9"/>
            <color indexed="81"/>
            <rFont val="Tahoma"/>
            <family val="2"/>
          </rPr>
          <t xml:space="preserve">
RAMSES data for 2010 ( from BF2012)
</t>
        </r>
      </text>
    </comment>
    <comment ref="AH4" authorId="0">
      <text>
        <r>
          <rPr>
            <b/>
            <sz val="9"/>
            <color indexed="81"/>
            <rFont val="Tahoma"/>
            <family val="2"/>
          </rPr>
          <t>Rikke Næraa:</t>
        </r>
        <r>
          <rPr>
            <sz val="9"/>
            <color indexed="81"/>
            <rFont val="Tahoma"/>
            <family val="2"/>
          </rPr>
          <t xml:space="preserve">
RAMSES data for 2010 ( from BF2012)
</t>
        </r>
      </text>
    </comment>
    <comment ref="AI4" authorId="0">
      <text>
        <r>
          <rPr>
            <b/>
            <sz val="9"/>
            <color indexed="81"/>
            <rFont val="Tahoma"/>
            <family val="2"/>
          </rPr>
          <t>Rikke Næraa:</t>
        </r>
        <r>
          <rPr>
            <sz val="9"/>
            <color indexed="81"/>
            <rFont val="Tahoma"/>
            <family val="2"/>
          </rPr>
          <t xml:space="preserve">
RAMSES data for 2010 ( from BF2012)
</t>
        </r>
      </text>
    </comment>
    <comment ref="AJ4" authorId="0">
      <text>
        <r>
          <rPr>
            <b/>
            <sz val="9"/>
            <color indexed="81"/>
            <rFont val="Tahoma"/>
            <family val="2"/>
          </rPr>
          <t>Rikke Næraa:</t>
        </r>
        <r>
          <rPr>
            <sz val="9"/>
            <color indexed="81"/>
            <rFont val="Tahoma"/>
            <family val="2"/>
          </rPr>
          <t xml:space="preserve">
RAMSES data for 2010 ( from BF2012)
</t>
        </r>
      </text>
    </comment>
    <comment ref="AK4" authorId="0">
      <text>
        <r>
          <rPr>
            <b/>
            <sz val="9"/>
            <color indexed="81"/>
            <rFont val="Tahoma"/>
            <family val="2"/>
          </rPr>
          <t>Rikke Næraa:</t>
        </r>
        <r>
          <rPr>
            <sz val="9"/>
            <color indexed="81"/>
            <rFont val="Tahoma"/>
            <family val="2"/>
          </rPr>
          <t xml:space="preserve">
RAMSES data for 2010 ( from BF2012)
</t>
        </r>
      </text>
    </comment>
    <comment ref="AL4" authorId="0">
      <text>
        <r>
          <rPr>
            <b/>
            <sz val="9"/>
            <color indexed="81"/>
            <rFont val="Tahoma"/>
            <family val="2"/>
          </rPr>
          <t>Rikke Næraa:</t>
        </r>
        <r>
          <rPr>
            <sz val="9"/>
            <color indexed="81"/>
            <rFont val="Tahoma"/>
            <family val="2"/>
          </rPr>
          <t xml:space="preserve">
RAMSES data for 2010 ( from BF2012)
</t>
        </r>
      </text>
    </comment>
    <comment ref="AM4" authorId="0">
      <text>
        <r>
          <rPr>
            <b/>
            <sz val="9"/>
            <color indexed="81"/>
            <rFont val="Tahoma"/>
            <family val="2"/>
          </rPr>
          <t>Rikke Næraa:</t>
        </r>
        <r>
          <rPr>
            <sz val="9"/>
            <color indexed="81"/>
            <rFont val="Tahoma"/>
            <family val="2"/>
          </rPr>
          <t xml:space="preserve">
RAMSES data for 2010 ( from BF2012)
</t>
        </r>
      </text>
    </comment>
    <comment ref="AN4" authorId="0">
      <text>
        <r>
          <rPr>
            <b/>
            <sz val="9"/>
            <color indexed="81"/>
            <rFont val="Tahoma"/>
            <family val="2"/>
          </rPr>
          <t>Rikke Næraa:</t>
        </r>
        <r>
          <rPr>
            <sz val="9"/>
            <color indexed="81"/>
            <rFont val="Tahoma"/>
            <family val="2"/>
          </rPr>
          <t xml:space="preserve">
RAMSES data for 2010 ( from BF2012)
</t>
        </r>
      </text>
    </comment>
    <comment ref="AO4" authorId="0">
      <text>
        <r>
          <rPr>
            <b/>
            <sz val="9"/>
            <color indexed="81"/>
            <rFont val="Tahoma"/>
            <family val="2"/>
          </rPr>
          <t>Rikke Næraa:</t>
        </r>
        <r>
          <rPr>
            <sz val="9"/>
            <color indexed="81"/>
            <rFont val="Tahoma"/>
            <family val="2"/>
          </rPr>
          <t xml:space="preserve">
RAMSES data for 2010 ( from BF2012)
</t>
        </r>
      </text>
    </comment>
    <comment ref="AP4" authorId="0">
      <text>
        <r>
          <rPr>
            <b/>
            <sz val="9"/>
            <color indexed="81"/>
            <rFont val="Tahoma"/>
            <family val="2"/>
          </rPr>
          <t>Rikke Næraa:</t>
        </r>
        <r>
          <rPr>
            <sz val="9"/>
            <color indexed="81"/>
            <rFont val="Tahoma"/>
            <family val="2"/>
          </rPr>
          <t xml:space="preserve">
RAMSES data for 2010 ( from BF2012)
</t>
        </r>
      </text>
    </comment>
    <comment ref="AQ4" authorId="0">
      <text>
        <r>
          <rPr>
            <b/>
            <sz val="9"/>
            <color indexed="81"/>
            <rFont val="Tahoma"/>
            <family val="2"/>
          </rPr>
          <t>Rikke Næraa:</t>
        </r>
        <r>
          <rPr>
            <sz val="9"/>
            <color indexed="81"/>
            <rFont val="Tahoma"/>
            <family val="2"/>
          </rPr>
          <t xml:space="preserve">
RAMSES data for 2010 ( from BF2012)
</t>
        </r>
      </text>
    </comment>
    <comment ref="AR4" authorId="0">
      <text>
        <r>
          <rPr>
            <b/>
            <sz val="9"/>
            <color indexed="81"/>
            <rFont val="Tahoma"/>
            <family val="2"/>
          </rPr>
          <t>Rikke Næraa:</t>
        </r>
        <r>
          <rPr>
            <sz val="9"/>
            <color indexed="81"/>
            <rFont val="Tahoma"/>
            <family val="2"/>
          </rPr>
          <t xml:space="preserve">
RAMSES data for 2010 ( from BF2012)
</t>
        </r>
      </text>
    </comment>
    <comment ref="AS4" authorId="0">
      <text>
        <r>
          <rPr>
            <b/>
            <sz val="9"/>
            <color indexed="81"/>
            <rFont val="Tahoma"/>
            <family val="2"/>
          </rPr>
          <t>Rikke Næraa:</t>
        </r>
        <r>
          <rPr>
            <sz val="9"/>
            <color indexed="81"/>
            <rFont val="Tahoma"/>
            <family val="2"/>
          </rPr>
          <t xml:space="preserve">
RAMSES data for 2010 ( from BF2012)
</t>
        </r>
      </text>
    </comment>
    <comment ref="K24" authorId="1">
      <text>
        <r>
          <rPr>
            <b/>
            <sz val="9"/>
            <color indexed="81"/>
            <rFont val="Tahoma"/>
            <family val="2"/>
          </rPr>
          <t>Jannick Hauschildt Buhl:</t>
        </r>
        <r>
          <rPr>
            <sz val="9"/>
            <color indexed="81"/>
            <rFont val="Tahoma"/>
            <family val="2"/>
          </rPr>
          <t xml:space="preserve">
SKM analysis nr. 3 page 32.</t>
        </r>
      </text>
    </comment>
  </commentList>
</comments>
</file>

<file path=xl/comments3.xml><?xml version="1.0" encoding="utf-8"?>
<comments xmlns="http://schemas.openxmlformats.org/spreadsheetml/2006/main">
  <authors>
    <author>Maurizio Gargiulo</author>
  </authors>
  <commentList>
    <comment ref="AR28" authorId="0">
      <text>
        <r>
          <rPr>
            <b/>
            <sz val="9"/>
            <color indexed="81"/>
            <rFont val="Tahoma"/>
            <family val="2"/>
          </rPr>
          <t>Maurizio Gargiulo:</t>
        </r>
        <r>
          <rPr>
            <sz val="9"/>
            <color indexed="81"/>
            <rFont val="Tahoma"/>
            <family val="2"/>
          </rPr>
          <t xml:space="preserve">
TO BE REVIEWED</t>
        </r>
      </text>
    </comment>
    <comment ref="AH29" authorId="0">
      <text>
        <r>
          <rPr>
            <b/>
            <sz val="9"/>
            <color indexed="81"/>
            <rFont val="Tahoma"/>
            <family val="2"/>
          </rPr>
          <t>Maurizio Gargiulo:</t>
        </r>
        <r>
          <rPr>
            <sz val="9"/>
            <color indexed="81"/>
            <rFont val="Tahoma"/>
            <family val="2"/>
          </rPr>
          <t xml:space="preserve">
I think these costs should be reviewed. </t>
        </r>
      </text>
    </comment>
    <comment ref="AK29" authorId="0">
      <text>
        <r>
          <rPr>
            <b/>
            <sz val="9"/>
            <color indexed="81"/>
            <rFont val="Tahoma"/>
            <family val="2"/>
          </rPr>
          <t>Maurizio Gargiulo:</t>
        </r>
        <r>
          <rPr>
            <sz val="9"/>
            <color indexed="81"/>
            <rFont val="Tahoma"/>
            <family val="2"/>
          </rPr>
          <t xml:space="preserve">
ASSUMPTION
From 2015 the upper share is based on the Max of 2010-2014
</t>
        </r>
      </text>
    </comment>
    <comment ref="AL29" authorId="0">
      <text>
        <r>
          <rPr>
            <b/>
            <sz val="9"/>
            <color indexed="81"/>
            <rFont val="Tahoma"/>
            <family val="2"/>
          </rPr>
          <t>Maurizio Gargiulo:</t>
        </r>
        <r>
          <rPr>
            <sz val="9"/>
            <color indexed="81"/>
            <rFont val="Tahoma"/>
            <family val="2"/>
          </rPr>
          <t xml:space="preserve">
ASSUMPTION
From 2015 the lower share is based on the Max of 2010-2014
</t>
        </r>
      </text>
    </comment>
    <comment ref="M39" authorId="0">
      <text>
        <r>
          <rPr>
            <b/>
            <sz val="9"/>
            <color indexed="81"/>
            <rFont val="Tahoma"/>
            <family val="2"/>
          </rPr>
          <t>Maurizio Gargiulo:</t>
        </r>
        <r>
          <rPr>
            <sz val="9"/>
            <color indexed="81"/>
            <rFont val="Tahoma"/>
            <family val="2"/>
          </rPr>
          <t xml:space="preserve">
NO AVAILABLE DATA ON AUXILIARY INPUT</t>
        </r>
      </text>
    </comment>
  </commentList>
</comments>
</file>

<file path=xl/comments4.xml><?xml version="1.0" encoding="utf-8"?>
<comments xmlns="http://schemas.openxmlformats.org/spreadsheetml/2006/main">
  <authors>
    <author>Mikkel Bosack</author>
  </authors>
  <commentList>
    <comment ref="B25" authorId="0">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comments5.xml><?xml version="1.0" encoding="utf-8"?>
<comments xmlns="http://schemas.openxmlformats.org/spreadsheetml/2006/main">
  <authors>
    <author>Rikke Næraa</author>
  </authors>
  <commentList>
    <comment ref="F22" authorId="0">
      <text>
        <r>
          <rPr>
            <b/>
            <sz val="9"/>
            <color indexed="81"/>
            <rFont val="Tahoma"/>
            <family val="2"/>
          </rPr>
          <t>Rikke Næraa:</t>
        </r>
        <r>
          <rPr>
            <sz val="9"/>
            <color indexed="81"/>
            <rFont val="Tahoma"/>
            <family val="2"/>
          </rPr>
          <t xml:space="preserve">
RAMSES data for 2010 ( from BF2012)
</t>
        </r>
      </text>
    </comment>
  </commentList>
</comments>
</file>

<file path=xl/comments6.xml><?xml version="1.0" encoding="utf-8"?>
<comments xmlns="http://schemas.openxmlformats.org/spreadsheetml/2006/main">
  <authors>
    <author>Rikke Næraa</author>
  </authors>
  <commentList>
    <comment ref="Q3" authorId="0">
      <text>
        <r>
          <rPr>
            <b/>
            <sz val="9"/>
            <color indexed="81"/>
            <rFont val="Tahoma"/>
            <family val="2"/>
          </rPr>
          <t>Rikke Næraa:</t>
        </r>
        <r>
          <rPr>
            <sz val="9"/>
            <color indexed="81"/>
            <rFont val="Tahoma"/>
            <family val="2"/>
          </rPr>
          <t xml:space="preserve">
RAMSES data for 2010 ( from BF2012)
</t>
        </r>
      </text>
    </comment>
    <comment ref="R3" authorId="0">
      <text>
        <r>
          <rPr>
            <b/>
            <sz val="9"/>
            <color indexed="81"/>
            <rFont val="Tahoma"/>
            <family val="2"/>
          </rPr>
          <t>Rikke Næraa:</t>
        </r>
        <r>
          <rPr>
            <sz val="9"/>
            <color indexed="81"/>
            <rFont val="Tahoma"/>
            <family val="2"/>
          </rPr>
          <t xml:space="preserve">
RAMSES data for 2010 ( from BF2012)
</t>
        </r>
      </text>
    </comment>
  </commentList>
</comments>
</file>

<file path=xl/comments7.xml><?xml version="1.0" encoding="utf-8"?>
<comments xmlns="http://schemas.openxmlformats.org/spreadsheetml/2006/main">
  <authors>
    <author>Rikke Næraa</author>
  </authors>
  <commentList>
    <comment ref="F22" authorId="0">
      <text>
        <r>
          <rPr>
            <b/>
            <sz val="9"/>
            <color indexed="81"/>
            <rFont val="Tahoma"/>
            <family val="2"/>
          </rPr>
          <t>Rikke Næraa:</t>
        </r>
        <r>
          <rPr>
            <sz val="9"/>
            <color indexed="81"/>
            <rFont val="Tahoma"/>
            <family val="2"/>
          </rPr>
          <t xml:space="preserve">
RAMSES data for 2010 ( from BF2012)
</t>
        </r>
      </text>
    </comment>
  </commentList>
</comments>
</file>

<file path=xl/sharedStrings.xml><?xml version="1.0" encoding="utf-8"?>
<sst xmlns="http://schemas.openxmlformats.org/spreadsheetml/2006/main" count="9103" uniqueCount="2204">
  <si>
    <t>Region</t>
  </si>
  <si>
    <t>TechName</t>
  </si>
  <si>
    <t>TechDesc</t>
  </si>
  <si>
    <t>CommName</t>
  </si>
  <si>
    <t>CommDesc</t>
  </si>
  <si>
    <t>CSet</t>
  </si>
  <si>
    <t>Unit</t>
  </si>
  <si>
    <t>~FI_T</t>
  </si>
  <si>
    <t>~FI_Comm</t>
  </si>
  <si>
    <t>LimType</t>
  </si>
  <si>
    <t>CTSLvl</t>
  </si>
  <si>
    <t>PeakTS</t>
  </si>
  <si>
    <t>Ctype</t>
  </si>
  <si>
    <t>Comm-OUT</t>
  </si>
  <si>
    <t>~FI_Process</t>
  </si>
  <si>
    <t>Sets</t>
  </si>
  <si>
    <t>Tact</t>
  </si>
  <si>
    <t>Tcap</t>
  </si>
  <si>
    <t>Tslvl</t>
  </si>
  <si>
    <t>PrimaryCG</t>
  </si>
  <si>
    <t>Vintage</t>
  </si>
  <si>
    <t>*TechDesc</t>
  </si>
  <si>
    <t>*Unit</t>
  </si>
  <si>
    <t>*Process Set Membership</t>
  </si>
  <si>
    <t>Region Name</t>
  </si>
  <si>
    <t>Technology Name</t>
  </si>
  <si>
    <t>Technology Description</t>
  </si>
  <si>
    <t>Activity Unit</t>
  </si>
  <si>
    <t>Capacity Unit</t>
  </si>
  <si>
    <t>TimeSlice level of Process Activity</t>
  </si>
  <si>
    <t>Primary Commodity Group</t>
  </si>
  <si>
    <t>Vintage Tracking</t>
  </si>
  <si>
    <t>*Commodity Set Membership</t>
  </si>
  <si>
    <t>Commodity Name</t>
  </si>
  <si>
    <t>Commodity Description</t>
  </si>
  <si>
    <t>Sense of the Balance EQN.</t>
  </si>
  <si>
    <t>Timeslice Level</t>
  </si>
  <si>
    <t>Peak Monitoring</t>
  </si>
  <si>
    <t>Electricity Indicator</t>
  </si>
  <si>
    <t>NRG</t>
  </si>
  <si>
    <t>COA</t>
  </si>
  <si>
    <t>NGA</t>
  </si>
  <si>
    <t>WST</t>
  </si>
  <si>
    <t>STR</t>
  </si>
  <si>
    <t>HFO</t>
  </si>
  <si>
    <t>DSL</t>
  </si>
  <si>
    <t>WIN</t>
  </si>
  <si>
    <t>HYD</t>
  </si>
  <si>
    <t>SOL</t>
  </si>
  <si>
    <t>Coal</t>
  </si>
  <si>
    <t>Heavy Fuel Oil</t>
  </si>
  <si>
    <t>Diesel</t>
  </si>
  <si>
    <t>Hydro</t>
  </si>
  <si>
    <t>Wind</t>
  </si>
  <si>
    <t>Solar</t>
  </si>
  <si>
    <t>Biogas</t>
  </si>
  <si>
    <t>Waste</t>
  </si>
  <si>
    <t>Straw</t>
  </si>
  <si>
    <t>GEO</t>
  </si>
  <si>
    <t>Geothermal</t>
  </si>
  <si>
    <t>Natural Gas</t>
  </si>
  <si>
    <t>IMP</t>
  </si>
  <si>
    <t>PJ</t>
  </si>
  <si>
    <t>COST</t>
  </si>
  <si>
    <t>COST~2020</t>
  </si>
  <si>
    <t>COST~2050</t>
  </si>
  <si>
    <t>COST~2040</t>
  </si>
  <si>
    <t>COST~2030</t>
  </si>
  <si>
    <t>Metanol</t>
  </si>
  <si>
    <t>Gasoil</t>
  </si>
  <si>
    <t>NatGas</t>
  </si>
  <si>
    <t>Wood pellets</t>
  </si>
  <si>
    <t>WPE</t>
  </si>
  <si>
    <t>WCH</t>
  </si>
  <si>
    <t>Wood chips and wood waste</t>
  </si>
  <si>
    <t>LPG</t>
  </si>
  <si>
    <t>GSL</t>
  </si>
  <si>
    <t>Gasoline</t>
  </si>
  <si>
    <t>Kerosene</t>
  </si>
  <si>
    <t>KER</t>
  </si>
  <si>
    <t>Comm-IN-A</t>
  </si>
  <si>
    <t>Comm-IN</t>
  </si>
  <si>
    <t>EFF</t>
  </si>
  <si>
    <t>VAROM</t>
  </si>
  <si>
    <t>BNDACT~LO~0</t>
  </si>
  <si>
    <t>Auxilary input fuels</t>
  </si>
  <si>
    <t>Primary input fuels</t>
  </si>
  <si>
    <t>Fuel Produced</t>
  </si>
  <si>
    <t>Fuel input level</t>
  </si>
  <si>
    <t>Efficiency</t>
  </si>
  <si>
    <t>Interpolation Rule</t>
  </si>
  <si>
    <t>*Refinery Name</t>
  </si>
  <si>
    <t>Input</t>
  </si>
  <si>
    <t>CRD</t>
  </si>
  <si>
    <t>Crude Oil</t>
  </si>
  <si>
    <t>Refinery Gas</t>
  </si>
  <si>
    <t>Aviation</t>
  </si>
  <si>
    <t>RFG</t>
  </si>
  <si>
    <t>Refinery gas</t>
  </si>
  <si>
    <t>Fuel oil</t>
  </si>
  <si>
    <t>LVN</t>
  </si>
  <si>
    <t xml:space="preserve">Aktuel matrice :  </t>
  </si>
  <si>
    <t>Navn</t>
  </si>
  <si>
    <t>Indhold</t>
  </si>
  <si>
    <t>Enhed</t>
  </si>
  <si>
    <t>Antal</t>
  </si>
  <si>
    <t>Gruppe</t>
  </si>
  <si>
    <t>Første år</t>
  </si>
  <si>
    <t>Sidste år</t>
  </si>
  <si>
    <t>Rækkeaggregeringer</t>
  </si>
  <si>
    <t>Rækker</t>
  </si>
  <si>
    <t>Søjler</t>
  </si>
  <si>
    <t>Form heading!</t>
  </si>
  <si>
    <t>TilGJ</t>
  </si>
  <si>
    <t>Supply and use of energy in heating values</t>
  </si>
  <si>
    <t>GJ</t>
  </si>
  <si>
    <t>Supply_Mgd_GJ</t>
  </si>
  <si>
    <t>Energy</t>
  </si>
  <si>
    <t>000700 120 Imports</t>
  </si>
  <si>
    <t>060000 004 Extraction of oil and gas</t>
  </si>
  <si>
    <t>006000 124 Exports</t>
  </si>
  <si>
    <t>03 Refinery gas</t>
  </si>
  <si>
    <t>04 LPG</t>
  </si>
  <si>
    <t>07 Motor gasoline, colored</t>
  </si>
  <si>
    <t>10 JP4</t>
  </si>
  <si>
    <t>15 Gasoil</t>
  </si>
  <si>
    <t>18 Fuel oil</t>
  </si>
  <si>
    <t>06 LVN</t>
  </si>
  <si>
    <t>01 Crude oil</t>
  </si>
  <si>
    <t>05 LPG for transport</t>
  </si>
  <si>
    <t>08 Motor gasoline, unleaded</t>
  </si>
  <si>
    <t>11 Kerosene</t>
  </si>
  <si>
    <t>20 Waste oil</t>
  </si>
  <si>
    <t>09 Motor gasoline, leaded</t>
  </si>
  <si>
    <t>12 Aviation gasoline</t>
  </si>
  <si>
    <t>13 Jet petroleum</t>
  </si>
  <si>
    <t>Række-
aggregat</t>
  </si>
  <si>
    <t>Søjle-
aggregat</t>
  </si>
  <si>
    <t>Min</t>
  </si>
  <si>
    <t>Average</t>
  </si>
  <si>
    <t>Max</t>
  </si>
  <si>
    <t>From 1998</t>
  </si>
  <si>
    <t>Crude oil</t>
  </si>
  <si>
    <t>PRE</t>
  </si>
  <si>
    <t>EFF~2012</t>
  </si>
  <si>
    <t>EFF~2015</t>
  </si>
  <si>
    <t>Emission Coefficient (kt/PJ)</t>
  </si>
  <si>
    <t>Share~UP~2015</t>
  </si>
  <si>
    <t>Efficiency from 2015</t>
  </si>
  <si>
    <t>kton</t>
  </si>
  <si>
    <t>East production from Statoil pdf</t>
  </si>
  <si>
    <t>West production from Shell</t>
  </si>
  <si>
    <t>Check</t>
  </si>
  <si>
    <t>ENV</t>
  </si>
  <si>
    <t>kt</t>
  </si>
  <si>
    <t>Source: Green Account Statoil and Shell</t>
  </si>
  <si>
    <t>Share~LO~2015</t>
  </si>
  <si>
    <t>Refinery relaxation factor</t>
  </si>
  <si>
    <t>%</t>
  </si>
  <si>
    <t>BNDACT~UP~0</t>
  </si>
  <si>
    <t>Efficiency (INPUT/OUTPUT)</t>
  </si>
  <si>
    <t xml:space="preserve">Navn på aggregering :  </t>
  </si>
  <si>
    <t>Supply of oil products</t>
  </si>
  <si>
    <t>Extraction (domestic)</t>
  </si>
  <si>
    <t>Imports</t>
  </si>
  <si>
    <t>Refinery feedstock</t>
  </si>
  <si>
    <t>Waste oil</t>
  </si>
  <si>
    <t>Bio oil</t>
  </si>
  <si>
    <t>Bunkring by Danish vessels operated abroad</t>
  </si>
  <si>
    <t>Unit: GJ</t>
  </si>
  <si>
    <t>Exports</t>
  </si>
  <si>
    <t>MIN</t>
  </si>
  <si>
    <t>MAX 2000-2012</t>
  </si>
  <si>
    <t>Date</t>
  </si>
  <si>
    <t>Name</t>
  </si>
  <si>
    <t>Sheet Name</t>
  </si>
  <si>
    <t xml:space="preserve">Cell no </t>
  </si>
  <si>
    <t>Explanation</t>
  </si>
  <si>
    <t>Olexandr Balyk</t>
  </si>
  <si>
    <t>Liquid petrol gas</t>
  </si>
  <si>
    <t>COMM</t>
  </si>
  <si>
    <t>Added new fuels to avoid errors in the transport sector</t>
  </si>
  <si>
    <t>$D$28:$F$29</t>
  </si>
  <si>
    <t>$E$25</t>
  </si>
  <si>
    <t>Updated fuel description as discussed</t>
  </si>
  <si>
    <t>$D$30:$D$31</t>
  </si>
  <si>
    <t>Changed fuel names, as discussed</t>
  </si>
  <si>
    <t>PROC</t>
  </si>
  <si>
    <t>Added fuel import processes for SNG and KRB</t>
  </si>
  <si>
    <t>Fuel_MIN-IMP</t>
  </si>
  <si>
    <t>$B$29:$N$30</t>
  </si>
  <si>
    <t>Added dummy prices for import processes of SNG and KRB</t>
  </si>
  <si>
    <t>BGA</t>
  </si>
  <si>
    <t>Naphtha (Petroleoum)</t>
  </si>
  <si>
    <t>DKK2014/GJ</t>
  </si>
  <si>
    <t>JP1</t>
  </si>
  <si>
    <t>Heating oil</t>
  </si>
  <si>
    <t>Gas oil</t>
  </si>
  <si>
    <t>COST~2012</t>
  </si>
  <si>
    <t>COST~2013</t>
  </si>
  <si>
    <t>COST~2014</t>
  </si>
  <si>
    <t>Kristoffer and Mauri</t>
  </si>
  <si>
    <r>
      <t xml:space="preserve">New fuel price projection. All prices are in </t>
    </r>
    <r>
      <rPr>
        <b/>
        <sz val="10"/>
        <rFont val="Arial"/>
        <family val="2"/>
      </rPr>
      <t>DKK2014</t>
    </r>
  </si>
  <si>
    <t>F7:F33;AS7:AS33</t>
  </si>
  <si>
    <t xml:space="preserve">~FI_T: </t>
  </si>
  <si>
    <t>CURR</t>
  </si>
  <si>
    <t>MKr14</t>
  </si>
  <si>
    <t>Currency unit</t>
  </si>
  <si>
    <t>Mauri</t>
  </si>
  <si>
    <t>new column CURR to specify currency. Deflactors in the SysSetting file</t>
  </si>
  <si>
    <t>column F</t>
  </si>
  <si>
    <t>RFS</t>
  </si>
  <si>
    <t>SUPELC</t>
  </si>
  <si>
    <t>SUPCO2</t>
  </si>
  <si>
    <t>*Fuel Tech</t>
  </si>
  <si>
    <t>ELCC</t>
  </si>
  <si>
    <t>Fuel Tech</t>
  </si>
  <si>
    <t>new sheet</t>
  </si>
  <si>
    <t>New sheet to introduce in the model SUPELC and SUPHET for the refinery</t>
  </si>
  <si>
    <t>Danish Energy Matrix dataxxxxxx</t>
  </si>
  <si>
    <t>Fuel aggregation key:</t>
  </si>
  <si>
    <t>CrudeOil</t>
  </si>
  <si>
    <t>RefFeedstock</t>
  </si>
  <si>
    <t>RefGas</t>
  </si>
  <si>
    <t>FuelOil</t>
  </si>
  <si>
    <t>Bunkring</t>
  </si>
  <si>
    <t>BioOil</t>
  </si>
  <si>
    <t>Elec</t>
  </si>
  <si>
    <t>DistHeat</t>
  </si>
  <si>
    <t>02 Refinery feedstocks</t>
  </si>
  <si>
    <t>14 Jet petroleum bunkered by Danish operated planes abroad</t>
  </si>
  <si>
    <t>42 Bio oil</t>
  </si>
  <si>
    <t>25 Natural gas 3 to industries and households</t>
  </si>
  <si>
    <t>44 Electricity</t>
  </si>
  <si>
    <t>45 District heat</t>
  </si>
  <si>
    <t>16 Diesel oil</t>
  </si>
  <si>
    <t>17 Diesel bunkered by Danish operated vehicles abroad</t>
  </si>
  <si>
    <t>19 Fuel oil bunkered by Danish operated ships abroad</t>
  </si>
  <si>
    <t>Refinery efficiency - different calcuation methods:</t>
  </si>
  <si>
    <t>Total output per input of crude oil:</t>
  </si>
  <si>
    <t>Total output per input of crude oil and ref feedstock:</t>
  </si>
  <si>
    <t>Total output/input Net balance:</t>
  </si>
  <si>
    <t>Output from refineries (TilGJ):</t>
  </si>
  <si>
    <t>1966-1997</t>
  </si>
  <si>
    <t>1998-2012</t>
  </si>
  <si>
    <t>REFINERIES</t>
  </si>
  <si>
    <t>Reffeedstock</t>
  </si>
  <si>
    <t>Electricity</t>
  </si>
  <si>
    <t>District heat</t>
  </si>
  <si>
    <t>Total input</t>
  </si>
  <si>
    <t>Total output</t>
  </si>
  <si>
    <t>Input to refineries (AnvGJ):</t>
  </si>
  <si>
    <t>Net output from refineries (GJ):</t>
  </si>
  <si>
    <t>Net input to refineries (GJ):</t>
  </si>
  <si>
    <t>Naphtha</t>
  </si>
  <si>
    <t>Variable O&amp;M (Mkr/PJ)</t>
  </si>
  <si>
    <t>Supply sector CO2</t>
  </si>
  <si>
    <t>Interpolation</t>
  </si>
  <si>
    <t>FLO_EMIS~SUPCO2</t>
  </si>
  <si>
    <t>Resulting prices</t>
  </si>
  <si>
    <t>Wood chips</t>
  </si>
  <si>
    <t>Wood chips - CIF (imported)</t>
  </si>
  <si>
    <t>Wood chips - central powerplant</t>
  </si>
  <si>
    <t>Wood chips - decentral power plant</t>
  </si>
  <si>
    <t>Wood pellets (industrial)</t>
  </si>
  <si>
    <t>Wood pellets - CIF (imported)</t>
  </si>
  <si>
    <t>Wood pellets - central power plant</t>
  </si>
  <si>
    <t>Wood pellets - decentral power plant</t>
  </si>
  <si>
    <t>Wood pellets (residential)</t>
  </si>
  <si>
    <t>Wood pellets residential - end-user</t>
  </si>
  <si>
    <t>Staw</t>
  </si>
  <si>
    <t>Straw - central power plant</t>
  </si>
  <si>
    <t>Straw - decentral power plant</t>
  </si>
  <si>
    <t>Solid biomass prices</t>
  </si>
  <si>
    <t>Kristoffer</t>
  </si>
  <si>
    <t>MIN-IMP-EXP</t>
  </si>
  <si>
    <t>New solid biomass prices</t>
  </si>
  <si>
    <t>Data update</t>
  </si>
  <si>
    <t>FLO_COST</t>
  </si>
  <si>
    <t>Commodity Cost</t>
  </si>
  <si>
    <t>Welfare economic prices of coal, petroleum products and natural gas</t>
  </si>
  <si>
    <t>Ea Energy Analyses, 7/3-2014</t>
  </si>
  <si>
    <t>Refinary margin and refining costs are used as operating costs in TIMES-DK for refineries.</t>
  </si>
  <si>
    <t>Ref Currency</t>
  </si>
  <si>
    <t>MIN-IMP-EXP, Refineries,PROC</t>
  </si>
  <si>
    <t>Removed the commodity RFG</t>
  </si>
  <si>
    <t>Kenneth Karlsson</t>
  </si>
  <si>
    <t>Refineries</t>
  </si>
  <si>
    <t>J36:M43</t>
  </si>
  <si>
    <t>Calculating relative costs for output as a function of import prices of the products</t>
  </si>
  <si>
    <t>C32:H47</t>
  </si>
  <si>
    <t>Data used for the refinery production costs on output - DEA report, see reference in sheet</t>
  </si>
  <si>
    <t>P7:P12</t>
  </si>
  <si>
    <t>New production cost based on DEA report made by Ea Energy Analyses</t>
  </si>
  <si>
    <t>Crude max. Flow level from 2015 DKW</t>
  </si>
  <si>
    <t>Crude max. Flow level from 2015 DKE</t>
  </si>
  <si>
    <t>Share-O~UP</t>
  </si>
  <si>
    <t>Share-O~UP~2012</t>
  </si>
  <si>
    <t>EXP</t>
  </si>
  <si>
    <t>Maurizio Gargiulo</t>
  </si>
  <si>
    <t>Introduced a waste price to avoid negative marginal price in the solution - to be reviewed later</t>
  </si>
  <si>
    <t>Set waste price equal to 0.1 MKr./PJ =&gt; same as used in Ramses</t>
  </si>
  <si>
    <t xml:space="preserve">Coal </t>
  </si>
  <si>
    <t>CIF</t>
  </si>
  <si>
    <t xml:space="preserve">Gasoline </t>
  </si>
  <si>
    <t>Natural gas</t>
  </si>
  <si>
    <t>COST~2011</t>
  </si>
  <si>
    <t>Fossile fuel prices (CIF import price)</t>
  </si>
  <si>
    <t>Wood chips - at dometic producer</t>
  </si>
  <si>
    <t>Wood pellets residential - CIF (imported)</t>
  </si>
  <si>
    <t>Mining technology - Natural gas</t>
  </si>
  <si>
    <t xml:space="preserve">Source: </t>
  </si>
  <si>
    <t>Import technology - Bio Kerosene</t>
  </si>
  <si>
    <t>Import technology - Bio Synt. Nat. Gas</t>
  </si>
  <si>
    <t>Import technology - Biodiesel</t>
  </si>
  <si>
    <t>Import technology - Bioethanol</t>
  </si>
  <si>
    <t>Import technology - Naphtha (Petroleoum)</t>
  </si>
  <si>
    <t>Import technology - Biogas</t>
  </si>
  <si>
    <t>Assumption</t>
  </si>
  <si>
    <t>Source</t>
  </si>
  <si>
    <t>Guestimate</t>
  </si>
  <si>
    <t>Lisa Bjergbakke (LBJ@ENS.DK)</t>
  </si>
  <si>
    <t>kr/GJ</t>
  </si>
  <si>
    <t>factor</t>
  </si>
  <si>
    <t>Same price as LPG</t>
  </si>
  <si>
    <t>Technology</t>
  </si>
  <si>
    <t>Mining technology - Crude Oil</t>
  </si>
  <si>
    <t>Export technology (general)</t>
  </si>
  <si>
    <t>unit</t>
  </si>
  <si>
    <t>Import technology - Waste</t>
  </si>
  <si>
    <t>Same assumption as in RAMSES</t>
  </si>
  <si>
    <t>RAMSES</t>
  </si>
  <si>
    <t>Kristoffer Steen Andersen</t>
  </si>
  <si>
    <t>Table added that explicitly deals with a number of crude price assumptions</t>
  </si>
  <si>
    <t>New prices added based on World Energy Outlook 2014 and forward prices of january 2015</t>
  </si>
  <si>
    <t>Mining NGA&amp;CRD</t>
  </si>
  <si>
    <t>Official projection of North Sea oil and natural gas production added</t>
  </si>
  <si>
    <t>PROC MINNGA added and official projection of natural gas and crude oil added to the model</t>
  </si>
  <si>
    <t>NETSCO2</t>
  </si>
  <si>
    <t>Non ETS CO2</t>
  </si>
  <si>
    <t>ETSCO2</t>
  </si>
  <si>
    <t>ETS CO2</t>
  </si>
  <si>
    <t>SUPHETC</t>
  </si>
  <si>
    <t>SUPHETD</t>
  </si>
  <si>
    <t>Added ETS and NON ETS commodities</t>
  </si>
  <si>
    <t>Updated the Fule Techs for HETC and HETD</t>
  </si>
  <si>
    <t>Split the FUEL Tech in HETC and HETD</t>
  </si>
  <si>
    <t>CRN</t>
  </si>
  <si>
    <t>Corn</t>
  </si>
  <si>
    <t>RPS</t>
  </si>
  <si>
    <t>Rapeseed</t>
  </si>
  <si>
    <t>MOB1</t>
  </si>
  <si>
    <t>MOB2</t>
  </si>
  <si>
    <t>Bio Methanol G1</t>
  </si>
  <si>
    <t>Bio Methanol G2</t>
  </si>
  <si>
    <t>LNB</t>
  </si>
  <si>
    <t>Bio Naphtha (Petroleoum)</t>
  </si>
  <si>
    <t>DDGS</t>
  </si>
  <si>
    <t>Ethanol</t>
  </si>
  <si>
    <t>SGB</t>
  </si>
  <si>
    <t>Sugar Beet</t>
  </si>
  <si>
    <t>SGP</t>
  </si>
  <si>
    <t>Sugar Beet Pulp</t>
  </si>
  <si>
    <t>GLY</t>
  </si>
  <si>
    <t>Glycerol</t>
  </si>
  <si>
    <t>RPC</t>
  </si>
  <si>
    <t>Rape Cake</t>
  </si>
  <si>
    <t>Added new commodities for the biorefineries set up</t>
  </si>
  <si>
    <t>Added the new IMP and EXP processes neede to set up bioorefineries</t>
  </si>
  <si>
    <t>Description of the new IMP and EXP processes for the biorefineries</t>
  </si>
  <si>
    <t>Import technology - Corn</t>
  </si>
  <si>
    <t>Import technology - Rapeseed</t>
  </si>
  <si>
    <t>Import technology - Sugar Beet</t>
  </si>
  <si>
    <t>Import technology - Bio Methanol G1</t>
  </si>
  <si>
    <t>Import technology - Bio Methanol G2</t>
  </si>
  <si>
    <t>Feedstocks</t>
  </si>
  <si>
    <t>Summary of feedstocks</t>
  </si>
  <si>
    <t>fuels sheet rows</t>
  </si>
  <si>
    <t>Opstrøm råstof emissioner beregnet ud fra energiforbrug (men ikke LUC/iLUC)</t>
  </si>
  <si>
    <t>DKK/GJ</t>
  </si>
  <si>
    <t>kg/GJ</t>
  </si>
  <si>
    <t>Energiindh.</t>
  </si>
  <si>
    <t>SØK pris an værk</t>
  </si>
  <si>
    <t>Opstrøm energiforbr</t>
  </si>
  <si>
    <t>Opstrøm energi kilde (dvs. transport/motor form for råstoffet)</t>
  </si>
  <si>
    <t xml:space="preserve">Netto energifrembringelse </t>
  </si>
  <si>
    <t>Proces CO2 ækv.</t>
  </si>
  <si>
    <t>Proces SO2 ækv.</t>
  </si>
  <si>
    <t>Proces NOx ækv.</t>
  </si>
  <si>
    <t>Proces energi, type</t>
  </si>
  <si>
    <t>Netto virkningsgrad importerede</t>
  </si>
  <si>
    <t>LUC/iLUC CO2 ækv.</t>
  </si>
  <si>
    <t>Sensitivity LUC/iLUC</t>
  </si>
  <si>
    <t>Y</t>
  </si>
  <si>
    <t>C</t>
  </si>
  <si>
    <t>F</t>
  </si>
  <si>
    <t>G</t>
  </si>
  <si>
    <t>Drivmiddel</t>
  </si>
  <si>
    <t>GJ/unit</t>
  </si>
  <si>
    <t>DKK/unit</t>
  </si>
  <si>
    <t>Type</t>
  </si>
  <si>
    <t>Hvede</t>
  </si>
  <si>
    <t>Sugarbeets</t>
  </si>
  <si>
    <t>Halm</t>
  </si>
  <si>
    <t>Rapsfrø</t>
  </si>
  <si>
    <t>Naturgas</t>
  </si>
  <si>
    <t>Træ</t>
  </si>
  <si>
    <t>Træpiller</t>
  </si>
  <si>
    <t>Elektricitet</t>
  </si>
  <si>
    <t>Oplade-el-brændsel</t>
  </si>
  <si>
    <t>Kul</t>
  </si>
  <si>
    <t>Råolie</t>
  </si>
  <si>
    <t>Biomasse</t>
  </si>
  <si>
    <t>Ethanol på sukkerrør</t>
  </si>
  <si>
    <t>Biodiesel på palmeolie</t>
  </si>
  <si>
    <t>Total opstrøm CO? emis</t>
  </si>
  <si>
    <t>Data for Feedstocks</t>
  </si>
  <si>
    <t>Emissions from process energy use in production of feedstock</t>
  </si>
  <si>
    <t>Unit emissions from upstream process, g/GJ</t>
  </si>
  <si>
    <t>Feedstock</t>
  </si>
  <si>
    <t>NOx</t>
  </si>
  <si>
    <t>Process</t>
  </si>
  <si>
    <t>g SO2/GJ</t>
  </si>
  <si>
    <t>g NOx/g</t>
  </si>
  <si>
    <t>Lastbil, by</t>
  </si>
  <si>
    <t>Skib</t>
  </si>
  <si>
    <t>Rapeseed cake</t>
  </si>
  <si>
    <t>Process energy use in production of feedstock</t>
  </si>
  <si>
    <t>Chosen year</t>
  </si>
  <si>
    <t>Note</t>
  </si>
  <si>
    <t>GJ/ton</t>
  </si>
  <si>
    <t>5, Concawe (2011): Well-to-wheels analysis of future automotive fuels and power-trains in the European Context. November 2011.</t>
  </si>
  <si>
    <t>Assumed same as whet</t>
  </si>
  <si>
    <t>No data</t>
  </si>
  <si>
    <t>WTT appendix 1, chapter 9 + 11, egne beregninger nederst</t>
  </si>
  <si>
    <t>GJ/1000 Nm³</t>
  </si>
  <si>
    <t>WTT appendix 1, chapter 9 + 11</t>
  </si>
  <si>
    <t>Antaget samme som træ</t>
  </si>
  <si>
    <t>GJ/GJ</t>
  </si>
  <si>
    <t>WTT appendix 2, chapter 3, excl. distribution</t>
  </si>
  <si>
    <t>WTT appendix 2, chapter 4, excl. distribution</t>
  </si>
  <si>
    <t>Assumed same as wood chips</t>
  </si>
  <si>
    <t>Assumed that process energy emission profile follows Danish marginal electricity profile</t>
  </si>
  <si>
    <t>Assumed weight of biomass is 1kg/l</t>
  </si>
  <si>
    <t>WTT appendix 2, chapter 3, excl. distribution, incl. low est. of ILUC at 18g (high is 71g)</t>
  </si>
  <si>
    <t>ILUC</t>
  </si>
  <si>
    <t>Old AD</t>
  </si>
  <si>
    <t>COWI/SDU</t>
  </si>
  <si>
    <t>IFPRI</t>
  </si>
  <si>
    <t>None</t>
  </si>
  <si>
    <t>low</t>
  </si>
  <si>
    <t>high</t>
  </si>
  <si>
    <t>kg CO2e/GJ</t>
  </si>
  <si>
    <t>19, Lorie Hamelin, 2011. Modeling land use changes in consequential LCA, presentation, meta study</t>
  </si>
  <si>
    <t xml:space="preserve">Assumed same as wheat for lack of other information for some ILUC emiossions in SDU ILUC. </t>
  </si>
  <si>
    <t>58, COWI/SDU 2013: Life Cycle Assessment of bioenergy pathways for the future Danish energy system</t>
  </si>
  <si>
    <t>N/A - no land use</t>
  </si>
  <si>
    <t>Assumed same as wood for lack of information</t>
  </si>
  <si>
    <t>Accounted for in technology sheet for Biomass</t>
  </si>
  <si>
    <t>Note: COWI/SDU emissions are also including process energy in harvesting. Hence, process energy from table in row 77 is subtracted</t>
  </si>
  <si>
    <t>Assumptions on by-products, both process energy and ILUC (if selected by modeller)</t>
  </si>
  <si>
    <t>Rape seed cake</t>
  </si>
  <si>
    <t>Assumed same as rapeseed</t>
  </si>
  <si>
    <t>Assumed same as wheat</t>
  </si>
  <si>
    <t>Chosen emission factors</t>
  </si>
  <si>
    <t>Level</t>
  </si>
  <si>
    <t>Woodchips</t>
  </si>
  <si>
    <t>Not corrected for energy use for torrefication</t>
  </si>
  <si>
    <t>Upstream emissions, world market wood</t>
  </si>
  <si>
    <t>**High bioenergy_Good governance**</t>
  </si>
  <si>
    <t>**High bioenergy_Bad governance**</t>
  </si>
  <si>
    <t>**Low bioenergy_Good governance**</t>
  </si>
  <si>
    <t>**Low bioenergy_Bad governance**</t>
  </si>
  <si>
    <t>Source: Biomass project, Copy of Database pathway heat test 051013-LG-08-10 2013.xlsm, sheet Globium</t>
  </si>
  <si>
    <t>Total emissions for system, prior to energy conversion and excluding pre-treatment (g/MJ)</t>
  </si>
  <si>
    <t>GWP100 (CO2 eq.)</t>
  </si>
  <si>
    <t>Nox</t>
  </si>
  <si>
    <t>SO2</t>
  </si>
  <si>
    <t>System consideration</t>
  </si>
  <si>
    <t>upper</t>
  </si>
  <si>
    <t>lower</t>
  </si>
  <si>
    <t>central</t>
  </si>
  <si>
    <t>spring barley, when straw is removed</t>
  </si>
  <si>
    <t>displacing spring barley (short-term marginal crop), which in turn generates ILUC</t>
  </si>
  <si>
    <t>spring barley, when straw is incorporated</t>
  </si>
  <si>
    <t>winter wheat, when straw is removed</t>
  </si>
  <si>
    <t>winter wheat, when straw is incorporated</t>
  </si>
  <si>
    <t>Silage maize</t>
  </si>
  <si>
    <t>Winter rape</t>
  </si>
  <si>
    <t>wheat straw, from Danish fields</t>
  </si>
  <si>
    <t>avoided incorporation of straw to soil (and related soil C changes)</t>
  </si>
  <si>
    <t>used in animal feed</t>
  </si>
  <si>
    <t>Assmed same as wheat</t>
  </si>
  <si>
    <t>rapeseed cake</t>
  </si>
  <si>
    <t>Assumed same as rape seed</t>
  </si>
  <si>
    <t>Source: Biomass project, Copy of Database pathway heat test 051013-LG-08-10 2013.xlsm, sheet Bottom-up</t>
  </si>
  <si>
    <t>BiomassCost</t>
  </si>
  <si>
    <t>Data for biomass prices added form the "Alternative Drivmiddel Katalog 2014"</t>
  </si>
  <si>
    <t>Equals the price of wheat from the "Alternative Drivmiddel Rapport"</t>
  </si>
  <si>
    <t>Equals the price of rapeseeds from the "Alternative Drivmiddel Rapport"</t>
  </si>
  <si>
    <t>Equals the price of sugarbeets from the "Alternative Drivmiddel Rapport"</t>
  </si>
  <si>
    <t>Equals the price of ehtanol from the "Alternative Drivmiddel Rapport"</t>
  </si>
  <si>
    <t>Price data</t>
  </si>
  <si>
    <t>Inflated to chosen price year, correction with sensitivity parameters</t>
  </si>
  <si>
    <t>Data</t>
  </si>
  <si>
    <t>Til model</t>
  </si>
  <si>
    <t>Pris</t>
  </si>
  <si>
    <t>pris år</t>
  </si>
  <si>
    <t>Dataår</t>
  </si>
  <si>
    <t>Prisår</t>
  </si>
  <si>
    <t>Inflator</t>
  </si>
  <si>
    <t>Sensitivity</t>
  </si>
  <si>
    <t>kommentar</t>
  </si>
  <si>
    <t>Kilde</t>
  </si>
  <si>
    <t>omkostning emisson CO2</t>
  </si>
  <si>
    <t>kr/ton</t>
  </si>
  <si>
    <t>El-pris vægtet Nordpool</t>
  </si>
  <si>
    <t>kr/MWh</t>
  </si>
  <si>
    <t>El-pris an virksomhed (brint)</t>
  </si>
  <si>
    <t>SØK brændselspris Naturgas an værk</t>
  </si>
  <si>
    <t>El-pris an husholdning (el-bil)</t>
  </si>
  <si>
    <t>Råolie pris CIF</t>
  </si>
  <si>
    <t>Kul pris</t>
  </si>
  <si>
    <t>Naturgas importpris</t>
  </si>
  <si>
    <t>Benzin pris CIF</t>
  </si>
  <si>
    <t>Diesel pris CIF</t>
  </si>
  <si>
    <t>JP1 pris CIF</t>
  </si>
  <si>
    <t>HFO pris CIF</t>
  </si>
  <si>
    <t>Benzin distribution</t>
  </si>
  <si>
    <t>Diesel distribution</t>
  </si>
  <si>
    <t>JP1 distribution</t>
  </si>
  <si>
    <t>Electricity distribution, EV</t>
  </si>
  <si>
    <t>Difference between power price ab plant and an consumer</t>
  </si>
  <si>
    <t>Electricity distribution, hydrogen</t>
  </si>
  <si>
    <t>Naturgas distribution an værk</t>
  </si>
  <si>
    <t>Naturgas distribution an forbruger</t>
  </si>
  <si>
    <t>Assumed 2,06 time world price on natural gas</t>
  </si>
  <si>
    <t>Fjernvarme</t>
  </si>
  <si>
    <t>Tabel 7</t>
  </si>
  <si>
    <t>DLG markedspris 2013-09-27, http://www.dlg.dk/da/vegetabilske-produkter/afgroeder/noteringer/boersnotering-moellehvede/</t>
  </si>
  <si>
    <t>http://www.sukkerroer.nu/irj/portal/nordzucker/da?NavigationTarget=navurl://13b776ae053328a67b3ed6386dd63317</t>
  </si>
  <si>
    <t>DLG markedspris 27-09-2013, http://www.dlg.dk/da/vegetabilske-produkter/afgroeder/noteringer/boersnotering-raps/</t>
  </si>
  <si>
    <t>Medium estimate</t>
  </si>
  <si>
    <t>Energy input to electricity production excl. conversion loss</t>
  </si>
  <si>
    <t>aflæst fra figur, gennemsnit af 4 aflæsninger i 2010, følger olieprisudviklingen i 2020 og 2035</t>
  </si>
  <si>
    <t>Benzin bil</t>
  </si>
  <si>
    <t>kr/km</t>
  </si>
  <si>
    <t>Diesel bil</t>
  </si>
  <si>
    <t>El bil</t>
  </si>
  <si>
    <t>Diesel lastbil</t>
  </si>
  <si>
    <t>Fly</t>
  </si>
  <si>
    <t>Tog Diesel</t>
  </si>
  <si>
    <t>Tog El</t>
  </si>
  <si>
    <t>Ingen</t>
  </si>
  <si>
    <t>Prisjusteringer</t>
  </si>
  <si>
    <t>Note: 2015 er antaget samme som 2012 i kilde. 2050 er antaget sammen som 2035 i kilde 1</t>
  </si>
  <si>
    <t>kilde: 3, Transportøkonomiske enhedspriser 2010, DTU , Institut for transport</t>
  </si>
  <si>
    <t>Export technology - Ethanol</t>
  </si>
  <si>
    <t>Export technology - Glycerol</t>
  </si>
  <si>
    <t>Export technology - Bio Naphtha (Petroleoum)</t>
  </si>
  <si>
    <t>Export technology - Rape Cake</t>
  </si>
  <si>
    <t>Export technology - Sugar Beet Pulp</t>
  </si>
  <si>
    <t>Export technology - Natural gas</t>
  </si>
  <si>
    <t>Export technology - Crude oil</t>
  </si>
  <si>
    <t>Mkr14/GJ</t>
  </si>
  <si>
    <t xml:space="preserve">Guestimate to avoid excessive export </t>
  </si>
  <si>
    <t>At some point we need to find better projection for these biomass related fuels…</t>
  </si>
  <si>
    <t>Add-on to the price of diesel</t>
  </si>
  <si>
    <t>Add-on to the price of gasoline</t>
  </si>
  <si>
    <t>Biomass feedstock and fuels</t>
  </si>
  <si>
    <t>COM_TAXNET</t>
  </si>
  <si>
    <t>*Commodity Name</t>
  </si>
  <si>
    <t>Attribute</t>
  </si>
  <si>
    <t>~FI_T: COST</t>
  </si>
  <si>
    <t>ETS_NETS_Prices</t>
  </si>
  <si>
    <t>CO2 qouta added for the ETS and non-ETS…</t>
  </si>
  <si>
    <t>D58:E67</t>
  </si>
  <si>
    <t>Error in Comm-IN and Comm-OUT corrected…</t>
  </si>
  <si>
    <t>KRB1</t>
  </si>
  <si>
    <t>Bio Kerosene G1</t>
  </si>
  <si>
    <t>KRB2</t>
  </si>
  <si>
    <t>Bio Kerosene G2</t>
  </si>
  <si>
    <t>SNG1</t>
  </si>
  <si>
    <t>Bio Synt. Nat. Gas G1</t>
  </si>
  <si>
    <t>SNG2</t>
  </si>
  <si>
    <t>Bio Synt. Nat. Gas G2</t>
  </si>
  <si>
    <t>DSB1</t>
  </si>
  <si>
    <t>Biodiesel G1</t>
  </si>
  <si>
    <t>DSB2</t>
  </si>
  <si>
    <t>Biodiesel G2</t>
  </si>
  <si>
    <t>GSB1</t>
  </si>
  <si>
    <t>Bioethanol G1</t>
  </si>
  <si>
    <t>GSB2</t>
  </si>
  <si>
    <t>Bioethanol G2</t>
  </si>
  <si>
    <t>Mkr14/Kton</t>
  </si>
  <si>
    <t>&lt;-</t>
  </si>
  <si>
    <t>Refinery Margin</t>
  </si>
  <si>
    <t>Refining cost</t>
  </si>
  <si>
    <t>Product premium</t>
  </si>
  <si>
    <t>Total flow cost</t>
  </si>
  <si>
    <t>Link:</t>
  </si>
  <si>
    <t>http://www.ens.dk/info/tal-kort/fremskrivninger-analyser-modeller/samfundsokonomiske-beregnings-forudsaetninger</t>
  </si>
  <si>
    <t>DKK 2013 / GJ</t>
  </si>
  <si>
    <t>Welfare economic prices of coal, petroleum products and natural gas, EA Energianalyse 2014, p. 28</t>
  </si>
  <si>
    <t>MKr13</t>
  </si>
  <si>
    <t>Modelling assumption</t>
  </si>
  <si>
    <t>To make sure that extracted crude oil is extracted …</t>
  </si>
  <si>
    <t>To vary the cost between outputs from the plants, information on average annual product premium are used</t>
  </si>
  <si>
    <t>Adjusted flow cost information on refineries based on product premiums from EA energy analyse rapport…</t>
  </si>
  <si>
    <t>(DKK2014/ton)</t>
  </si>
  <si>
    <t xml:space="preserve">ETSCO2-price </t>
  </si>
  <si>
    <t xml:space="preserve">Tabel I: </t>
  </si>
  <si>
    <t>TIMES_DK: Generic level of CO2-duty on fuels not covered by ETS</t>
  </si>
  <si>
    <t xml:space="preserve">Scen-file: </t>
  </si>
  <si>
    <t>VT_DK_SUP_V1p10</t>
  </si>
  <si>
    <t>Source:</t>
  </si>
  <si>
    <t>Ministry of Taxasion [DEA tax spreadsheet]</t>
  </si>
  <si>
    <t>Note:</t>
  </si>
  <si>
    <t>Adjustment to 2014-kr has been done using Ministry of Finance 2015 Converge programme (March of 2015)</t>
  </si>
  <si>
    <t>Dato:</t>
  </si>
  <si>
    <t>Tax name:</t>
  </si>
  <si>
    <t>CO2-afgift</t>
  </si>
  <si>
    <t>CO2-duty (NETS CO2 price)</t>
  </si>
  <si>
    <t>Set crude oil and natural gas extraction from the north sea is set to zero … instead north sea oil and naturgas extraction is handled in the scenario file "NorthSeaMining"</t>
  </si>
  <si>
    <t xml:space="preserve">Added quotas for non-ets! </t>
  </si>
  <si>
    <t>Corrected error in ETS CO2-price (somehow data for all year had been replaced by 0.14…)</t>
  </si>
  <si>
    <t>Export technology - Biofuels 1&amp;2G</t>
  </si>
  <si>
    <t xml:space="preserve">Data of extractions: 01-03-2016 / sdo@ens.dk </t>
  </si>
  <si>
    <t>Steffen Dockweiler</t>
  </si>
  <si>
    <t>C91:AU101</t>
  </si>
  <si>
    <t>Updated Fossil fuel prices (CIF import price)</t>
  </si>
  <si>
    <t xml:space="preserve">Note2:  "f:\KEO\Modelgruppen\Brændselspriser\Brændselspriser 2015 - BF2015\BF2015 2015.12.01 FM skøn\2015_11_12_Fuel add-on DK - WEO2015_dagspris.xlsm" </t>
  </si>
  <si>
    <t xml:space="preserve">Note1: The prices reflect World Energy Outlook 2015; forwards prices as of march 2015; and histocal prices from Statistics Denmark… </t>
  </si>
  <si>
    <t>Data of extractions: 01-03-2016 / sdo@ens.dk</t>
  </si>
  <si>
    <t xml:space="preserve">Note1: "f:\KEO\Modelgruppen\Brændselspriser\Brændselspriser 2015 - BF2015\Biomassepriser\2015_10_26_Biomass price model.xlsx" </t>
  </si>
  <si>
    <t>Rapsolie</t>
  </si>
  <si>
    <t>Opdateret fra Alternative Drivmiddel modellen 3.02 - d. 01-03-2016 - SDO@ens.dk</t>
  </si>
  <si>
    <t>SO₂</t>
  </si>
  <si>
    <t>64, JEC WTW study Version 4a,  2014</t>
  </si>
  <si>
    <t>Fratrukket energi i cake</t>
  </si>
  <si>
    <t>EU-mix</t>
  </si>
  <si>
    <t>14, Energistyrelsen. Energistatistik 2011.</t>
  </si>
  <si>
    <t>13, Concawe (2006): Well-to-wheels analysis of future automotive fuels and power-trains in the European Context. May 2006.</t>
  </si>
  <si>
    <t>Process CO₂ emission excluding ILUC</t>
  </si>
  <si>
    <t>57, Forudsætninger for samfundsøkonomiske analyser på energiområdet, Energistyrelsen, 2014</t>
  </si>
  <si>
    <t>23, Forudsætninger for samfundsøkonomiske analyser på energiområdet. Energistyrelsen. April 2011, opdateret dataark oktober 2012</t>
  </si>
  <si>
    <t>4, http://www.agri-outlook.org/</t>
  </si>
  <si>
    <t xml:space="preserve">41, Ea Enerrgy Analyses (2013)  "Analysis of biomass prices, future Danish prices for straw, wood chips and wood pellets (draft 21-03-2013)", </t>
  </si>
  <si>
    <t>http://www.indexmundi.com/commodities/?commodity=rapeseed-oil&amp;months=120</t>
  </si>
  <si>
    <t>Source: 29, Biogas i Danmark - status, barrierer og perspektiver, Biogas Taskforce, November 2013, Kap 8, Biogasøkonomi. Ea-energianalyser har leveret den bagvedliggende data.</t>
  </si>
  <si>
    <t>17, www.eof.dk</t>
  </si>
  <si>
    <t>Hydrogen an værk</t>
  </si>
  <si>
    <t xml:space="preserve">AD dataark </t>
  </si>
  <si>
    <t>Source: 23, Forudsætninger for samfundsøkonomiske analyser på energiområdet. Energistyrelsen. April 2011, opdateret dataark oktober 2012</t>
  </si>
  <si>
    <t>Updated Solid biomass prices</t>
  </si>
  <si>
    <t>C106-AS122</t>
  </si>
  <si>
    <t>All data</t>
  </si>
  <si>
    <t>Updated all data to the new AD model 3.02</t>
  </si>
  <si>
    <t>B10:AS24</t>
  </si>
  <si>
    <t>Updated ETS and NETS prices</t>
  </si>
  <si>
    <t>Description</t>
  </si>
  <si>
    <t>Purpose:</t>
  </si>
  <si>
    <t>Description:</t>
  </si>
  <si>
    <t>The data is based on the VMAS survey of energy services as well as the energy matrices from Statistics Denmark</t>
  </si>
  <si>
    <t>Relevant sectors</t>
  </si>
  <si>
    <t>Description of different sheets</t>
  </si>
  <si>
    <t>Processes</t>
  </si>
  <si>
    <t>Commodities</t>
  </si>
  <si>
    <t>Defines the commodities used in the processes</t>
  </si>
  <si>
    <t>SUP</t>
  </si>
  <si>
    <t>This sheet defines processes, commodities and existing stocks for upstream fuels including imports and export interface</t>
  </si>
  <si>
    <t>Defines the processes for fuel conversions</t>
  </si>
  <si>
    <t>Topology of mining, import and exports of fuels - costs</t>
  </si>
  <si>
    <t>Topology of co2 certificates - costs</t>
  </si>
  <si>
    <t>Topology for fuels used in upstream sector</t>
  </si>
  <si>
    <t>MIN-IMP-EXP Data</t>
  </si>
  <si>
    <t>Refinery data</t>
  </si>
  <si>
    <t>Topology for processes in refining of fuels</t>
  </si>
  <si>
    <t>Data for costs on biomass and other feedstocks</t>
  </si>
  <si>
    <t>Data on imports and exports of fuels (GJ) from energy matrix from Statistics Denmark</t>
  </si>
  <si>
    <t>Data on refinery production from energy matrix from Statistics Denmark</t>
  </si>
  <si>
    <t>Lars B. Termansen</t>
  </si>
  <si>
    <t>Added intro sheet. Color coded tabs</t>
  </si>
  <si>
    <t>Added the IMPWAV technology from the SubRes_ELC-Techs</t>
  </si>
  <si>
    <t>Added the WAV commodity from the SubRes_ELC-Techs</t>
  </si>
  <si>
    <t>WAV</t>
  </si>
  <si>
    <t>Wave</t>
  </si>
  <si>
    <t>Added the technology IMPWAV in the list</t>
  </si>
  <si>
    <t>Row 33</t>
  </si>
  <si>
    <t>Import technology - all second generation BIO</t>
  </si>
  <si>
    <t>+10% on 1st generation</t>
  </si>
  <si>
    <t>Introduced a 10% increase in the price of all second generation bio, guessing that second generation is more expensive than first generation.</t>
  </si>
  <si>
    <t>DME</t>
  </si>
  <si>
    <t>Dimethyl ether</t>
  </si>
  <si>
    <t>MNR</t>
  </si>
  <si>
    <t>Manure (Gylle)</t>
  </si>
  <si>
    <t>Aviation gasoline</t>
  </si>
  <si>
    <t>BIOCO2</t>
  </si>
  <si>
    <t>Biogenic CO2 emissions</t>
  </si>
  <si>
    <t>Jacopo tattini</t>
  </si>
  <si>
    <t>Com, Proc, Min-Imp-Exp</t>
  </si>
  <si>
    <t>Merged with Giada and with Jacopo</t>
  </si>
  <si>
    <t>AGSL</t>
  </si>
  <si>
    <t>MOV</t>
  </si>
  <si>
    <t>Movement - Dummy commodity for bike and walk</t>
  </si>
  <si>
    <t>Source: Energistyrelsens samfundsøkonomiske beregningsforudsætninger 2017 (til høring)</t>
  </si>
  <si>
    <t>2017-priser (kr./ton)</t>
  </si>
  <si>
    <t>CO2 kvotepris 2017kr/ton</t>
  </si>
  <si>
    <t>PYF (BVT-Deflator)</t>
  </si>
  <si>
    <t>CO2 kvotepris 2014kr/ton</t>
  </si>
  <si>
    <t>DKK/Ton</t>
  </si>
  <si>
    <t xml:space="preserve">Source: "samfundsøkonomiske beregningsforudsætninger 2017" ENS  </t>
  </si>
  <si>
    <t>Extrapolated from 2040 up till 2050 with the estimated valuyes given by the DEA</t>
  </si>
  <si>
    <t>* Values associate with commodities</t>
  </si>
  <si>
    <t>Commodity Emissions</t>
  </si>
  <si>
    <t>kg/GJ = kt/PJ</t>
  </si>
  <si>
    <t>Nat. Gas</t>
  </si>
  <si>
    <t>*Units</t>
  </si>
  <si>
    <t>SUPCO2W</t>
  </si>
  <si>
    <t>Waste CO2 emissions SUP</t>
  </si>
  <si>
    <t>Mikkel Bosack Simonsen</t>
  </si>
  <si>
    <t xml:space="preserve">Applied regional actbnd on fossil fuels, applied from Giada´s Straw analysis </t>
  </si>
  <si>
    <t>FIW</t>
  </si>
  <si>
    <t>Firewood</t>
  </si>
  <si>
    <t>Share~LO~0</t>
  </si>
  <si>
    <t>Share~UP~0</t>
  </si>
  <si>
    <t>GRS</t>
  </si>
  <si>
    <t>Grass</t>
  </si>
  <si>
    <t>~COMEMI</t>
  </si>
  <si>
    <t>SUPNGA</t>
  </si>
  <si>
    <t>SUPCOA</t>
  </si>
  <si>
    <t>SUPDSL</t>
  </si>
  <si>
    <t>SUPHFO</t>
  </si>
  <si>
    <t>SUPLPG</t>
  </si>
  <si>
    <t>SUPWST</t>
  </si>
  <si>
    <t>MCRD</t>
  </si>
  <si>
    <t>MNGA</t>
  </si>
  <si>
    <t>FT-MINNGA</t>
  </si>
  <si>
    <t>FT-MINCRD</t>
  </si>
  <si>
    <t>Mining Natural Gas</t>
  </si>
  <si>
    <t>Mining Crude Oil</t>
  </si>
  <si>
    <t>MINCO2</t>
  </si>
  <si>
    <t>Mining crude oil</t>
  </si>
  <si>
    <t>Mining Natural gas</t>
  </si>
  <si>
    <t>COST~0</t>
  </si>
  <si>
    <t>Deep Litter</t>
  </si>
  <si>
    <t>DLI</t>
  </si>
  <si>
    <t>HFB</t>
  </si>
  <si>
    <t>Heavy Fuel Bio Oil</t>
  </si>
  <si>
    <t>Fossil fuels</t>
  </si>
  <si>
    <t>Biomass</t>
  </si>
  <si>
    <t>Other renewables</t>
  </si>
  <si>
    <t>Renewable fuels</t>
  </si>
  <si>
    <t>Waste products</t>
  </si>
  <si>
    <t>Supply fuels</t>
  </si>
  <si>
    <t>H2</t>
  </si>
  <si>
    <t>Hydrogen</t>
  </si>
  <si>
    <t>H2G</t>
  </si>
  <si>
    <t>Hydrogen Gas</t>
  </si>
  <si>
    <t>MGO</t>
  </si>
  <si>
    <t>Marine Gas Oil</t>
  </si>
  <si>
    <t>AMM</t>
  </si>
  <si>
    <t>Ammonia (Liquid)</t>
  </si>
  <si>
    <t>Electro Kerosene</t>
  </si>
  <si>
    <t>KRE</t>
  </si>
  <si>
    <t>SNE</t>
  </si>
  <si>
    <t>Electro Synt. Nat. Gas</t>
  </si>
  <si>
    <t>DSE</t>
  </si>
  <si>
    <t>Electro Diesel</t>
  </si>
  <si>
    <t>GSE</t>
  </si>
  <si>
    <t>Electro Gasoline</t>
  </si>
  <si>
    <t>MOE</t>
  </si>
  <si>
    <t>Electro Methanol</t>
  </si>
  <si>
    <t>Other</t>
  </si>
  <si>
    <t>CO2SINK</t>
  </si>
  <si>
    <t>CO2 sink - non useable for fuels</t>
  </si>
  <si>
    <t>CCXCO2</t>
  </si>
  <si>
    <t>CO2 captured at plants</t>
  </si>
  <si>
    <t>Mining</t>
  </si>
  <si>
    <t>PEA</t>
  </si>
  <si>
    <t>Peat</t>
  </si>
  <si>
    <t>Added by MH for Sweden</t>
  </si>
  <si>
    <t>IWH</t>
  </si>
  <si>
    <t xml:space="preserve">Industrial waste heat </t>
  </si>
  <si>
    <t>BFG</t>
  </si>
  <si>
    <t>Blast furnace gas</t>
  </si>
  <si>
    <t>AMB</t>
  </si>
  <si>
    <t>Ambient Temperature for heat pump</t>
  </si>
  <si>
    <t>URN</t>
  </si>
  <si>
    <t>Nuclear fuel</t>
  </si>
  <si>
    <t>BLQ</t>
  </si>
  <si>
    <t>Black liquor</t>
  </si>
  <si>
    <t>Commodity</t>
  </si>
  <si>
    <t>Curr</t>
  </si>
  <si>
    <t>COST~2015</t>
  </si>
  <si>
    <t>COST~2016</t>
  </si>
  <si>
    <t>COST~2017</t>
  </si>
  <si>
    <t>COST~2018</t>
  </si>
  <si>
    <t>COST~2019</t>
  </si>
  <si>
    <t>COST~2021</t>
  </si>
  <si>
    <t>COST~2022</t>
  </si>
  <si>
    <t>COST~2023</t>
  </si>
  <si>
    <t>COST~2024</t>
  </si>
  <si>
    <t>COST~2025</t>
  </si>
  <si>
    <t>COST~2026</t>
  </si>
  <si>
    <t>COST~2027</t>
  </si>
  <si>
    <t>COST~2028</t>
  </si>
  <si>
    <t>COST~2029</t>
  </si>
  <si>
    <t>COST~2031</t>
  </si>
  <si>
    <t>COST~2032</t>
  </si>
  <si>
    <t>COST~2033</t>
  </si>
  <si>
    <t>COST~2034</t>
  </si>
  <si>
    <t>COST~2035</t>
  </si>
  <si>
    <t>COST~2036</t>
  </si>
  <si>
    <t>COST~2037</t>
  </si>
  <si>
    <t>COST~2038</t>
  </si>
  <si>
    <t>COST~2039</t>
  </si>
  <si>
    <t>COST~2041</t>
  </si>
  <si>
    <t>COST~2042</t>
  </si>
  <si>
    <t>COST~2043</t>
  </si>
  <si>
    <t>COST~2044</t>
  </si>
  <si>
    <t>COST~2045</t>
  </si>
  <si>
    <t>COST~2046</t>
  </si>
  <si>
    <t>COST~2047</t>
  </si>
  <si>
    <t>COST~2048</t>
  </si>
  <si>
    <t>COST~2049</t>
  </si>
  <si>
    <t>Tabel 4: CIF priser / priser ab producent</t>
  </si>
  <si>
    <t>2019-priser kr./GJ</t>
  </si>
  <si>
    <t>Importpriser (CIF-priser)</t>
  </si>
  <si>
    <t>ab DK producent</t>
  </si>
  <si>
    <t>Fuelolie</t>
  </si>
  <si>
    <t>Gasolie</t>
  </si>
  <si>
    <t>Benzin</t>
  </si>
  <si>
    <t>Træpiller (industri)</t>
  </si>
  <si>
    <t>Træpiller (konsum)</t>
  </si>
  <si>
    <t>Træflis</t>
  </si>
  <si>
    <t>Note: Der angives ikke en importpris for halm, da halm betragtes som en lokal ressource.</t>
  </si>
  <si>
    <t>From Danish "Samfundsøkonomiske analyseforudsætninger" made by energinet.dk and danish energy agency</t>
  </si>
  <si>
    <t>Data on fuel prices and their projections</t>
  </si>
  <si>
    <t>N/A</t>
  </si>
  <si>
    <t>similar to Export Price of fossil alternative</t>
  </si>
  <si>
    <t>Similar to Kerosene</t>
  </si>
  <si>
    <t>Double Natural Gas price</t>
  </si>
  <si>
    <t>Price from TIMES-DK (no source)</t>
  </si>
  <si>
    <t>similar to STR</t>
  </si>
  <si>
    <t>Similar to MNR</t>
  </si>
  <si>
    <t>25% of WCH</t>
  </si>
  <si>
    <t>Import technology - electro fuels</t>
  </si>
  <si>
    <t>Factor</t>
  </si>
  <si>
    <t>Semi dummy factor</t>
  </si>
  <si>
    <t>Similar factor as for bio dielsel</t>
  </si>
  <si>
    <r>
      <t>Tabel 14: Skøn for priser på CO</t>
    </r>
    <r>
      <rPr>
        <b/>
        <vertAlign val="subscript"/>
        <sz val="15"/>
        <rFont val="Calibri"/>
        <family val="2"/>
        <scheme val="minor"/>
      </rPr>
      <t>2</t>
    </r>
  </si>
  <si>
    <t>2019-priser kr./ton</t>
  </si>
  <si>
    <t>Skøn for CO2-kvotepris</t>
  </si>
  <si>
    <t>Skøn for pris på CO2-udledninger uden for kvotesektoren</t>
  </si>
  <si>
    <t xml:space="preserve">Kilder: </t>
  </si>
  <si>
    <t xml:space="preserve">Skøn for kvotepris: Finansministeriet, september 2019. </t>
  </si>
  <si>
    <r>
      <t>Skøn for omkostninger for CO</t>
    </r>
    <r>
      <rPr>
        <vertAlign val="subscript"/>
        <sz val="10"/>
        <color theme="1"/>
        <rFont val="Calibri"/>
        <family val="2"/>
        <scheme val="minor"/>
      </rPr>
      <t>2</t>
    </r>
    <r>
      <rPr>
        <sz val="10"/>
        <color theme="1"/>
        <rFont val="Calibri"/>
        <family val="2"/>
        <scheme val="minor"/>
      </rPr>
      <t>-udledning uden for kvotesektoren: EU’s Impact Assessment for 2030-pakken (http://eur-lex.europa.eu/legal-content/EN/TXT/PDF/?uri=CELEX:52014SC0015&amp;from=EN). Efter 2030 er omkostningen for CO</t>
    </r>
    <r>
      <rPr>
        <vertAlign val="subscript"/>
        <sz val="10"/>
        <color theme="1"/>
        <rFont val="Calibri"/>
        <family val="2"/>
        <scheme val="minor"/>
      </rPr>
      <t>2</t>
    </r>
    <r>
      <rPr>
        <sz val="10"/>
        <color theme="1"/>
        <rFont val="Calibri"/>
        <family val="2"/>
        <scheme val="minor"/>
      </rPr>
      <t>-udledning uden for kvotesektoren fastholdt på samme niveau, indtil kvoteprisen når dette niveau.</t>
    </r>
  </si>
  <si>
    <t>Note 1: Alle prisskøn i denne tabel er angivet i faktorpriser, og skal derfor ganges med nettoafgiftsfaktoren for at blive angivet i forbrugerpriser.</t>
  </si>
  <si>
    <t>Supply electricity</t>
  </si>
  <si>
    <t>Supply Decentral district heating</t>
  </si>
  <si>
    <t>Supply Central district heating</t>
  </si>
  <si>
    <t>Relating to wood waste</t>
  </si>
  <si>
    <t>Guestimate (based on stat)</t>
  </si>
  <si>
    <t>Same assumption as for waste</t>
  </si>
  <si>
    <t>Relating to coal price</t>
  </si>
  <si>
    <t>Free</t>
  </si>
  <si>
    <t>Elforsk, "El från nya och framtida anläggningar 2014"</t>
  </si>
  <si>
    <t>SEK14</t>
  </si>
  <si>
    <t>Related to Wood Waste</t>
  </si>
  <si>
    <t>Similar to waste</t>
  </si>
  <si>
    <t>Legend</t>
  </si>
  <si>
    <t>TIMES-DK data</t>
  </si>
  <si>
    <t>Share-O~UP~2011</t>
  </si>
  <si>
    <t>Share-O~UP~2013</t>
  </si>
  <si>
    <t>Share-O~UP~2014</t>
  </si>
  <si>
    <t>EFF~2011</t>
  </si>
  <si>
    <t>EFF~2013</t>
  </si>
  <si>
    <t>EFF~2014</t>
  </si>
  <si>
    <t>BNDACT~UP~NO2</t>
  </si>
  <si>
    <t>BNDACT~UP~2011~NO2</t>
  </si>
  <si>
    <t>BNDACT~UP~2012~NO2</t>
  </si>
  <si>
    <t>BNDACT~UP~2013~NO2</t>
  </si>
  <si>
    <t>BNDACT~UP~2014~NO2</t>
  </si>
  <si>
    <t>BNDACT~UP~2015~NO2</t>
  </si>
  <si>
    <t>Output share / Base year</t>
  </si>
  <si>
    <t>Output share / 2011</t>
  </si>
  <si>
    <t>Output share / 2012</t>
  </si>
  <si>
    <t>Output share / 2013</t>
  </si>
  <si>
    <t>Output share / 2014</t>
  </si>
  <si>
    <t>Crude level (PJ) NO2</t>
  </si>
  <si>
    <t>Upper Input share from 2015</t>
  </si>
  <si>
    <t>Lower Input share from 2015</t>
  </si>
  <si>
    <t>NO2</t>
  </si>
  <si>
    <t xml:space="preserve">Data source on refinary costs for Denmark: TIMES-DK </t>
  </si>
  <si>
    <t>UtslippEkv</t>
  </si>
  <si>
    <t>Internal reference code:</t>
  </si>
  <si>
    <t>External PROD</t>
  </si>
  <si>
    <t>Database:</t>
  </si>
  <si>
    <t>31.12.</t>
  </si>
  <si>
    <t>Emissions to air (1 000 tonnes CO2-equivalents)</t>
  </si>
  <si>
    <t>Reference period:</t>
  </si>
  <si>
    <t>Flow</t>
  </si>
  <si>
    <t>Emissions to air (1 000 tonnes CO2-equivalents):</t>
  </si>
  <si>
    <t>Data type:</t>
  </si>
  <si>
    <t>1 000 tonnes CO2-equivalents</t>
  </si>
  <si>
    <t>Units:</t>
  </si>
  <si>
    <t>Copyright</t>
  </si>
  <si>
    <t>eir@ssb.no</t>
  </si>
  <si>
    <t xml:space="preserve"> +47 944 89 464</t>
  </si>
  <si>
    <t>Crude</t>
  </si>
  <si>
    <t>Eirik Knutsen, Statistics Norway</t>
  </si>
  <si>
    <t>Export</t>
  </si>
  <si>
    <t>tmb@ssb.no</t>
  </si>
  <si>
    <t xml:space="preserve"> +47 408 11 425</t>
  </si>
  <si>
    <t>Trude Melby Bothner, Statistics Norway</t>
  </si>
  <si>
    <t>Elect eff</t>
  </si>
  <si>
    <t>Contact:</t>
  </si>
  <si>
    <t>Statistics Norway</t>
  </si>
  <si>
    <t>pj</t>
  </si>
  <si>
    <t>Primary inputs</t>
  </si>
  <si>
    <t>20190603 08:00</t>
  </si>
  <si>
    <t>tot</t>
  </si>
  <si>
    <t>Latest update:</t>
  </si>
  <si>
    <t>kt of CO2</t>
  </si>
  <si>
    <t>. = Category not applicable</t>
  </si>
  <si>
    <t>kt of CO2 / PJ extracted</t>
  </si>
  <si>
    <t>Primary production</t>
  </si>
  <si>
    <t>: = Not for publication</t>
  </si>
  <si>
    <t>Includes ocean transport and international air transport.</t>
  </si>
  <si>
    <t>from ktoe to pj</t>
  </si>
  <si>
    <t>New estimates of emissions from aviation and industry are under development. This may lead to changes in the time series when publishing final numbers 2018.
Due to rounding error, the total may not match the sum of subgroups.</t>
  </si>
  <si>
    <t>.</t>
  </si>
  <si>
    <t>Sulphurhexafluoride (SF6)</t>
  </si>
  <si>
    <t>K95</t>
  </si>
  <si>
    <t>Perfluorocarbons (PFK)</t>
  </si>
  <si>
    <t>K90</t>
  </si>
  <si>
    <t>:</t>
  </si>
  <si>
    <t>Hydrofluorocarbons (HFK)</t>
  </si>
  <si>
    <t>K80</t>
  </si>
  <si>
    <t>Nitrous oxide (N2O)</t>
  </si>
  <si>
    <t>K13</t>
  </si>
  <si>
    <t>Methane (CH4)</t>
  </si>
  <si>
    <t>K12</t>
  </si>
  <si>
    <t>Carbon dioxide (CO2)</t>
  </si>
  <si>
    <t>K11</t>
  </si>
  <si>
    <t>Oil and gas extraction, including service activities and transport via pipelines</t>
  </si>
  <si>
    <t>N.02.02.00-02.03.00</t>
  </si>
  <si>
    <t>Mining and quarrying</t>
  </si>
  <si>
    <t>N.02.01.00</t>
  </si>
  <si>
    <t>2018</t>
  </si>
  <si>
    <t>2017</t>
  </si>
  <si>
    <t>2016</t>
  </si>
  <si>
    <t>2015</t>
  </si>
  <si>
    <t>2014</t>
  </si>
  <si>
    <t>2013</t>
  </si>
  <si>
    <t>2012</t>
  </si>
  <si>
    <t>2011</t>
  </si>
  <si>
    <t>2010</t>
  </si>
  <si>
    <t>09288: Greenhouse gases from Norwegian economic activity, by industry, pollutant, contents and year</t>
  </si>
  <si>
    <t>From SSB</t>
  </si>
  <si>
    <t>B_101014</t>
  </si>
  <si>
    <t>Liquid biofuels blended in gasoline/diesel</t>
  </si>
  <si>
    <t>Memo item:</t>
  </si>
  <si>
    <t>B_102200</t>
  </si>
  <si>
    <t>Statistical differences</t>
  </si>
  <si>
    <t>B_102040</t>
  </si>
  <si>
    <t>Non-specified (Other)</t>
  </si>
  <si>
    <t>+</t>
  </si>
  <si>
    <t>B_102020</t>
  </si>
  <si>
    <t>Fishing</t>
  </si>
  <si>
    <t>B_102030</t>
  </si>
  <si>
    <t>Agriculture / Forestry</t>
  </si>
  <si>
    <t>B_102010</t>
  </si>
  <si>
    <t>Residential</t>
  </si>
  <si>
    <t>B_102035</t>
  </si>
  <si>
    <t>Services</t>
  </si>
  <si>
    <t>B_102000</t>
  </si>
  <si>
    <t>Other Sectors</t>
  </si>
  <si>
    <t>B_101950</t>
  </si>
  <si>
    <t>Non-specified (Transport)</t>
  </si>
  <si>
    <t>B_101945</t>
  </si>
  <si>
    <t>Pipeline transport</t>
  </si>
  <si>
    <t>B_101940</t>
  </si>
  <si>
    <t>Domestic Navigation</t>
  </si>
  <si>
    <t>B_101932</t>
  </si>
  <si>
    <t>Domestic aviation</t>
  </si>
  <si>
    <t>B_101931</t>
  </si>
  <si>
    <t>International aviation</t>
  </si>
  <si>
    <t>B_101920</t>
  </si>
  <si>
    <t>Road</t>
  </si>
  <si>
    <t>B_101910</t>
  </si>
  <si>
    <t>Rail</t>
  </si>
  <si>
    <t>B_101900</t>
  </si>
  <si>
    <t>Transport</t>
  </si>
  <si>
    <t>B_101853</t>
  </si>
  <si>
    <t>Non-specified (Industry)</t>
  </si>
  <si>
    <t>B_101835</t>
  </si>
  <si>
    <t>Textile and Leather</t>
  </si>
  <si>
    <t>B_101852</t>
  </si>
  <si>
    <t>Construction</t>
  </si>
  <si>
    <t>B_101851</t>
  </si>
  <si>
    <t>Wood and Wood Products</t>
  </si>
  <si>
    <t>B_101840</t>
  </si>
  <si>
    <t>Paper, Pulp and Print</t>
  </si>
  <si>
    <t>B_101830</t>
  </si>
  <si>
    <t>Food and Tabasco</t>
  </si>
  <si>
    <t>B_101825</t>
  </si>
  <si>
    <t>Mining and Quarrying</t>
  </si>
  <si>
    <t>B_101847</t>
  </si>
  <si>
    <t>Machinery</t>
  </si>
  <si>
    <t>B_101846</t>
  </si>
  <si>
    <t>Transport Equipment</t>
  </si>
  <si>
    <t>B_101820</t>
  </si>
  <si>
    <t>Non-metallic Minerals (Glass, pottery &amp; building mat. Industry)</t>
  </si>
  <si>
    <t>B_101810</t>
  </si>
  <si>
    <t>Non-ferrous metal industry</t>
  </si>
  <si>
    <t>B_101815</t>
  </si>
  <si>
    <t>Chemical and Petrochemical industry</t>
  </si>
  <si>
    <t>B_101805</t>
  </si>
  <si>
    <t>Iron &amp; steel industry</t>
  </si>
  <si>
    <t>B_101800</t>
  </si>
  <si>
    <t>Industry</t>
  </si>
  <si>
    <t>B_101700</t>
  </si>
  <si>
    <t>Final energy consumption</t>
  </si>
  <si>
    <t>B_101608</t>
  </si>
  <si>
    <t>Non-Energy Use in Industry, Transformation and Energy Sectors</t>
  </si>
  <si>
    <t>B_101607</t>
  </si>
  <si>
    <t>Non-Energy Use in Other sectors</t>
  </si>
  <si>
    <t>B_101606</t>
  </si>
  <si>
    <t>Non-Energy Use in Transport sector</t>
  </si>
  <si>
    <t>B_101601</t>
  </si>
  <si>
    <t>of which Non-Energy Use in Chemical/Petrochemical Industry</t>
  </si>
  <si>
    <t>B_101605</t>
  </si>
  <si>
    <t>Non-Energy Use in Industry sector</t>
  </si>
  <si>
    <t>B_101604</t>
  </si>
  <si>
    <t>Non-Energy Use in Energy sector</t>
  </si>
  <si>
    <t>B_101603</t>
  </si>
  <si>
    <t>Non-Energy Use in Transformation sector</t>
  </si>
  <si>
    <t>B_101600</t>
  </si>
  <si>
    <t>Final non-energy consumption</t>
  </si>
  <si>
    <t>B_101500</t>
  </si>
  <si>
    <t>Available for Final Consumption</t>
  </si>
  <si>
    <t>B_101400</t>
  </si>
  <si>
    <t>Distribution losses</t>
  </si>
  <si>
    <t>B_101321</t>
  </si>
  <si>
    <t>Charcoal production plants (Energy)</t>
  </si>
  <si>
    <t>B_101320</t>
  </si>
  <si>
    <t>Non-specified (Energy)</t>
  </si>
  <si>
    <t>B_101319</t>
  </si>
  <si>
    <t>Gas-to-Liquids (GTL) Plants (Energy)</t>
  </si>
  <si>
    <t>B_101318</t>
  </si>
  <si>
    <t>Gasification plants for biogas</t>
  </si>
  <si>
    <t>B_101317</t>
  </si>
  <si>
    <t>Liquefaction (LNG) / regasification plants</t>
  </si>
  <si>
    <t>B_101316</t>
  </si>
  <si>
    <t>Coal Liquefaction Plants</t>
  </si>
  <si>
    <t>B_101315</t>
  </si>
  <si>
    <t>Blast Furnaces</t>
  </si>
  <si>
    <t>B_101314</t>
  </si>
  <si>
    <t>Gas works</t>
  </si>
  <si>
    <t>B_101313</t>
  </si>
  <si>
    <t>BKB / PB Plants</t>
  </si>
  <si>
    <t>B_101312</t>
  </si>
  <si>
    <t>Coke Ovens</t>
  </si>
  <si>
    <t>B_101311</t>
  </si>
  <si>
    <t>Patent fuel plants</t>
  </si>
  <si>
    <t>B_101310</t>
  </si>
  <si>
    <t>Coal Mines</t>
  </si>
  <si>
    <t>B_101308</t>
  </si>
  <si>
    <t>Nuclear industry</t>
  </si>
  <si>
    <t>B_101307</t>
  </si>
  <si>
    <t>Oil refineries (Petroleum Refineries)</t>
  </si>
  <si>
    <t>B_101305</t>
  </si>
  <si>
    <t>Oil and Natural Gas extraction plants</t>
  </si>
  <si>
    <t>15_107037</t>
  </si>
  <si>
    <t>El. Gen. Autoproducer electricity only - Pumped Hydro</t>
  </si>
  <si>
    <t>15_107036</t>
  </si>
  <si>
    <t>El. Gen. Main Activity electricity only - Pumped Hydro</t>
  </si>
  <si>
    <t>17_107301</t>
  </si>
  <si>
    <t>Production in pumped storage power station</t>
  </si>
  <si>
    <t>-</t>
  </si>
  <si>
    <t>17_107302</t>
  </si>
  <si>
    <t>Used for pumped storage</t>
  </si>
  <si>
    <t>B_101302</t>
  </si>
  <si>
    <t>Pumped storage power stations balance (Pumping stations)</t>
  </si>
  <si>
    <t>B_101301</t>
  </si>
  <si>
    <t>Own Use in Electricity, CHP and Heat Plants</t>
  </si>
  <si>
    <t>B_101300</t>
  </si>
  <si>
    <t>Consumption of the energy branch</t>
  </si>
  <si>
    <t>B_101230</t>
  </si>
  <si>
    <t>Petrochemical industry (Returns from petrochem. Industry)</t>
  </si>
  <si>
    <t>B_101220</t>
  </si>
  <si>
    <t>Products transferred</t>
  </si>
  <si>
    <t>B_101210</t>
  </si>
  <si>
    <t>Interproduct tranfers</t>
  </si>
  <si>
    <t>B_101200</t>
  </si>
  <si>
    <t>Exchanges and transfers, returns</t>
  </si>
  <si>
    <t>14_1070711</t>
  </si>
  <si>
    <t>Heat Prod. Autoproducer heat only plants - Solar Thermal</t>
  </si>
  <si>
    <t>15_107089</t>
  </si>
  <si>
    <t>Heat Prod. Autoproducer heat only plants - Other Sources</t>
  </si>
  <si>
    <t>15_107085</t>
  </si>
  <si>
    <t>Heat Prod. Autoproducer heat only plants - Heat from Chemical Sources</t>
  </si>
  <si>
    <t>15_107083</t>
  </si>
  <si>
    <t>Heat Prod. Autoproducer heat only plants - Electric Boilers</t>
  </si>
  <si>
    <t>15_107079</t>
  </si>
  <si>
    <t>Heat Prod. Autoproducer heat only plants - Heat Pumps</t>
  </si>
  <si>
    <t>15_107075</t>
  </si>
  <si>
    <t>Heat Prod. Autoproducer heat only plants - Combustible Fuels</t>
  </si>
  <si>
    <t>15_107067</t>
  </si>
  <si>
    <t>Heat Prod. Autoproducer heat only plants - Geothermal</t>
  </si>
  <si>
    <t>15_107063</t>
  </si>
  <si>
    <t>Heat Prod. Autoproducer heat only plants - Nuclear</t>
  </si>
  <si>
    <t>14_1070691</t>
  </si>
  <si>
    <t>Heat Prod. Main activity heat only plants - Solar Thermal</t>
  </si>
  <si>
    <t>15_107087</t>
  </si>
  <si>
    <t>Heat Prod. Main activity heat only plants - Other Sources</t>
  </si>
  <si>
    <t>15_107081</t>
  </si>
  <si>
    <t>Heat Prod. Main activity heat only plants - Electric Boilers</t>
  </si>
  <si>
    <t>15_107077</t>
  </si>
  <si>
    <t>Heat Prod. Main activity heat only plants - Heat Pumps</t>
  </si>
  <si>
    <t>15_107073</t>
  </si>
  <si>
    <t>Heat Prod. Main activity heat only plants - Combustible Fuels</t>
  </si>
  <si>
    <t>15_107065</t>
  </si>
  <si>
    <t>Heat Prod. Main activity heat only plants - Geothermal</t>
  </si>
  <si>
    <t>15_107061</t>
  </si>
  <si>
    <t>Heat Prod. Main activity heat only plants - Nuclear</t>
  </si>
  <si>
    <t>B_101109</t>
  </si>
  <si>
    <t>District Heating Plants</t>
  </si>
  <si>
    <t>B_101115</t>
  </si>
  <si>
    <t>Charcoal production plants</t>
  </si>
  <si>
    <t>B_101111</t>
  </si>
  <si>
    <t>B_101110</t>
  </si>
  <si>
    <t>Patent Fuel Plants</t>
  </si>
  <si>
    <t>B_101108</t>
  </si>
  <si>
    <t>B_101107</t>
  </si>
  <si>
    <t>B_101106</t>
  </si>
  <si>
    <t>Blast-furnaces</t>
  </si>
  <si>
    <t>B_101104</t>
  </si>
  <si>
    <t>Coke-ovens</t>
  </si>
  <si>
    <t>15_107062</t>
  </si>
  <si>
    <t>Heat Prod. Autoproducer CHP plants - Nuclear</t>
  </si>
  <si>
    <t>15_107060</t>
  </si>
  <si>
    <t>Heat Prod. Main Activity CHP plants - Nuclear</t>
  </si>
  <si>
    <t>15_107033</t>
  </si>
  <si>
    <t>El. Gen. Autoproducer CHP plants - Nuclear</t>
  </si>
  <si>
    <t>15_107032</t>
  </si>
  <si>
    <t>El. Gen. Autoproducer electricity only - Nuclear</t>
  </si>
  <si>
    <t>15_107031</t>
  </si>
  <si>
    <t>El. Gen. Main Activity CHP plants - Nuclear</t>
  </si>
  <si>
    <t>15_107030</t>
  </si>
  <si>
    <t>El. Gen. Main Activity electricity only - Nuclear</t>
  </si>
  <si>
    <t>B_101102</t>
  </si>
  <si>
    <t>Nuclear power stations</t>
  </si>
  <si>
    <t>14_1070701</t>
  </si>
  <si>
    <t>Heat Prod. Autoproducer CHP plants - Solar Thermal</t>
  </si>
  <si>
    <t>15_107088</t>
  </si>
  <si>
    <t>Heat Prod. Autoproducer CHP plants - Other Sources</t>
  </si>
  <si>
    <t>15_107084</t>
  </si>
  <si>
    <t>Heat Prod. Autoproducer CHP plants - Heat from Chemical Sources</t>
  </si>
  <si>
    <t>15_107082</t>
  </si>
  <si>
    <t>Heat Prod. Autoproducer CHP plants - Electric Boilers</t>
  </si>
  <si>
    <t>15_107078</t>
  </si>
  <si>
    <t>Heat Prod. Autoproducer CHP plants - Heat Pumps</t>
  </si>
  <si>
    <t>15_107074</t>
  </si>
  <si>
    <t>Heat Prod. Autoproducer CHP plants - Combustible Fuels</t>
  </si>
  <si>
    <t>15_107066</t>
  </si>
  <si>
    <t>Heat Prod. Autoproducer CHP plants - Geothermal</t>
  </si>
  <si>
    <t>14_1070433</t>
  </si>
  <si>
    <t>El. Gen. Autoproducer CHP plants - Solar Thermal</t>
  </si>
  <si>
    <t>15_107057</t>
  </si>
  <si>
    <t>El. Gen. Autoproducer CHP plants - Other Sources</t>
  </si>
  <si>
    <t>15_107053</t>
  </si>
  <si>
    <t>El. Gen. Autoproducer CHP plants - Heat from Chemical Sources</t>
  </si>
  <si>
    <t>15_107051</t>
  </si>
  <si>
    <t>El. Gen. Autoproducer CHP plants - Combustible Fuels</t>
  </si>
  <si>
    <t>15_107041</t>
  </si>
  <si>
    <t>El. Gen. Autoproducer CHP plants - Geothermal</t>
  </si>
  <si>
    <t>14_1070432</t>
  </si>
  <si>
    <t>El. Gen. Autoproducer electricity only - Solar Thermal</t>
  </si>
  <si>
    <t>15_107056</t>
  </si>
  <si>
    <t>El. Gen. Autoproducer electricity only - Other Sources</t>
  </si>
  <si>
    <t>15_107052</t>
  </si>
  <si>
    <t>El. Gen. Autoproducer electricity only - Heat from Chemical Sources</t>
  </si>
  <si>
    <t>15_107050</t>
  </si>
  <si>
    <t>El. Gen. Autoproducer electricity only - Combustible Fuels</t>
  </si>
  <si>
    <t>15_107040</t>
  </si>
  <si>
    <t>El. Gen. Autoproducer electricity only - Geothermal</t>
  </si>
  <si>
    <t>B_101122</t>
  </si>
  <si>
    <t>Autoproducer Conventional Thermal Power Stations</t>
  </si>
  <si>
    <t>14_1070681</t>
  </si>
  <si>
    <t>Heat Prod. Main activity CHP plants - Solar Thermal</t>
  </si>
  <si>
    <t>15_107086</t>
  </si>
  <si>
    <t>Heat Prod. Main activity CHP plants - Other Sources</t>
  </si>
  <si>
    <t>15_107080</t>
  </si>
  <si>
    <t>Heat Prod. Main activity CHP plants - Electric Boilers</t>
  </si>
  <si>
    <t>15_107076</t>
  </si>
  <si>
    <t>Heat Prod. Main activity CHP plants - Heat Pumps</t>
  </si>
  <si>
    <t>15_107072</t>
  </si>
  <si>
    <t>Heat Prod. Main activity CHP plants - Combustible Fuels</t>
  </si>
  <si>
    <t>15_107064</t>
  </si>
  <si>
    <t>Heat Prod. Main activity CHP plants - Geothermal</t>
  </si>
  <si>
    <t>14_1070423</t>
  </si>
  <si>
    <t>El. Gen. Main activity CHP plants - Solar Thermal</t>
  </si>
  <si>
    <t>15_107055</t>
  </si>
  <si>
    <t>El. Gen. Main activity CHP plants - Other Sources</t>
  </si>
  <si>
    <t>15_107049</t>
  </si>
  <si>
    <t>El. Gen. Main activity CHP plants - Combustible Fuels</t>
  </si>
  <si>
    <t>15_107039</t>
  </si>
  <si>
    <t>El. Gen. Main activity CHP plants - Geothermal</t>
  </si>
  <si>
    <t>14_1070422</t>
  </si>
  <si>
    <t>El. Gen. Main activity electricity only - Solar Thermal</t>
  </si>
  <si>
    <t>15_107054</t>
  </si>
  <si>
    <t>El. Gen. Main activity electricity only - Other Sources</t>
  </si>
  <si>
    <t>15_107048</t>
  </si>
  <si>
    <t>El. Gen. Main activity electricity only - Combustible Fuels</t>
  </si>
  <si>
    <t>15_107038</t>
  </si>
  <si>
    <t>El. Gen. Main activity electricity only - Geothermal</t>
  </si>
  <si>
    <t>B_101121</t>
  </si>
  <si>
    <t>Main Activity Producer Conventional Thermal Power Stations</t>
  </si>
  <si>
    <t>B_101101</t>
  </si>
  <si>
    <t>Conventional Thermal Power Stations</t>
  </si>
  <si>
    <t>B_101100</t>
  </si>
  <si>
    <t>Transformation output</t>
  </si>
  <si>
    <t>B_101020</t>
  </si>
  <si>
    <t>Non-specified Transformation Input</t>
  </si>
  <si>
    <t>B_101016</t>
  </si>
  <si>
    <t>Gas-to-Liquids (GTL) Plants (transformation)</t>
  </si>
  <si>
    <t>B_101015</t>
  </si>
  <si>
    <t>Charcoal production plants (transformation)</t>
  </si>
  <si>
    <t>B_101013</t>
  </si>
  <si>
    <t>For Blended Natural Gas</t>
  </si>
  <si>
    <t>B_101012</t>
  </si>
  <si>
    <t>B_101011</t>
  </si>
  <si>
    <t>B_101010</t>
  </si>
  <si>
    <t>B_101323</t>
  </si>
  <si>
    <t>Used for electric boilers</t>
  </si>
  <si>
    <t>B_101322</t>
  </si>
  <si>
    <t>Used for heat pumps</t>
  </si>
  <si>
    <t>B_101039</t>
  </si>
  <si>
    <t>Autoproducer Heat Only Plants</t>
  </si>
  <si>
    <t>B_101038</t>
  </si>
  <si>
    <t>Main Activity Producer Heat Only Plants</t>
  </si>
  <si>
    <t>B_101009</t>
  </si>
  <si>
    <t>District heating plants</t>
  </si>
  <si>
    <t>B_101008</t>
  </si>
  <si>
    <t>B_101007</t>
  </si>
  <si>
    <t>B_101006</t>
  </si>
  <si>
    <t>B_101004</t>
  </si>
  <si>
    <t>B_101002</t>
  </si>
  <si>
    <t>Nuclear Power Stations</t>
  </si>
  <si>
    <t>B_101017</t>
  </si>
  <si>
    <t>Used for electricity generation</t>
  </si>
  <si>
    <t>B_101035</t>
  </si>
  <si>
    <t>Autoproducer CHP Plants</t>
  </si>
  <si>
    <t>B_101034</t>
  </si>
  <si>
    <t>Autoproducer Electricity Plants</t>
  </si>
  <si>
    <t>B_101022</t>
  </si>
  <si>
    <t>B_101032</t>
  </si>
  <si>
    <t>Main Activity Producer CHP Plants</t>
  </si>
  <si>
    <t>B_101031</t>
  </si>
  <si>
    <t>Main Activity Producer Electricity Plants</t>
  </si>
  <si>
    <t>B_101021</t>
  </si>
  <si>
    <t>B_101001</t>
  </si>
  <si>
    <t>B_101000</t>
  </si>
  <si>
    <t>Transformation input</t>
  </si>
  <si>
    <t>B_100900</t>
  </si>
  <si>
    <t>Gross inland consumption</t>
  </si>
  <si>
    <t>B_100112</t>
  </si>
  <si>
    <t>Direct use</t>
  </si>
  <si>
    <t>B_100800</t>
  </si>
  <si>
    <t>Bunkers</t>
  </si>
  <si>
    <t>B_100500</t>
  </si>
  <si>
    <t>B_100400</t>
  </si>
  <si>
    <t>Stock changes</t>
  </si>
  <si>
    <t>B_100300</t>
  </si>
  <si>
    <t>B_100210</t>
  </si>
  <si>
    <t>Recycled products</t>
  </si>
  <si>
    <t>B_150204</t>
  </si>
  <si>
    <t>of which From Coal</t>
  </si>
  <si>
    <t>B_150203</t>
  </si>
  <si>
    <t>of which From Renewables</t>
  </si>
  <si>
    <t>B_150202</t>
  </si>
  <si>
    <t>of which From Natural Gas</t>
  </si>
  <si>
    <t>B_150201</t>
  </si>
  <si>
    <t>of which From Oil Products</t>
  </si>
  <si>
    <t>B_100200</t>
  </si>
  <si>
    <t>From other sources (Recovered products)</t>
  </si>
  <si>
    <t>B_100110</t>
  </si>
  <si>
    <t>Primary production receipt</t>
  </si>
  <si>
    <t>B_100100</t>
  </si>
  <si>
    <t>Derived heat</t>
  </si>
  <si>
    <t>Nuclear heat</t>
  </si>
  <si>
    <t>Municial wastes (non-ren.)</t>
  </si>
  <si>
    <t>Industrial wastes</t>
  </si>
  <si>
    <t>Wastes (non ren.)</t>
  </si>
  <si>
    <t>Geo-thermal</t>
  </si>
  <si>
    <t>Other liquid biofuels</t>
  </si>
  <si>
    <t>Bio jet kerosene</t>
  </si>
  <si>
    <t>Biodiesel</t>
  </si>
  <si>
    <t>Bio gasoline</t>
  </si>
  <si>
    <t>Municipal wastes (renew.)</t>
  </si>
  <si>
    <t>Biogas (all)</t>
  </si>
  <si>
    <t>Charcoal</t>
  </si>
  <si>
    <t>Solid biomass</t>
  </si>
  <si>
    <t>Solar PV</t>
  </si>
  <si>
    <t>Solar thermal</t>
  </si>
  <si>
    <t>Tide, wave and ocean</t>
  </si>
  <si>
    <t>Wind power</t>
  </si>
  <si>
    <t>Hydro power</t>
  </si>
  <si>
    <t>Total Renewables</t>
  </si>
  <si>
    <t>Other recovered gas</t>
  </si>
  <si>
    <t>Gasworks gas</t>
  </si>
  <si>
    <t xml:space="preserve">Coke oven gas </t>
  </si>
  <si>
    <t>Gas</t>
  </si>
  <si>
    <t>Other Products</t>
  </si>
  <si>
    <t>Paraffin Waxes</t>
  </si>
  <si>
    <t>Petroleum Coke</t>
  </si>
  <si>
    <t>Bitumen</t>
  </si>
  <si>
    <t>Lubricants</t>
  </si>
  <si>
    <t>White spirit and SBP</t>
  </si>
  <si>
    <t>Fuel Oil</t>
  </si>
  <si>
    <t>Gas/Diesel Oil (w/o bio)</t>
  </si>
  <si>
    <t>Other Kerosene</t>
  </si>
  <si>
    <t>Kerosene Type Jet Fuel</t>
  </si>
  <si>
    <t>Gasoline Type Jet Fuel</t>
  </si>
  <si>
    <t>Aviation Gasoline</t>
  </si>
  <si>
    <t>Motor Gasoline (w/o bio)</t>
  </si>
  <si>
    <t>Ethane</t>
  </si>
  <si>
    <t>Other Hydrocarb. (w/o bio)</t>
  </si>
  <si>
    <t>Additives / Oxygenates</t>
  </si>
  <si>
    <t>Refinery Feedstocks</t>
  </si>
  <si>
    <t>Natural Gas Liguids</t>
  </si>
  <si>
    <t>Oil (total)</t>
  </si>
  <si>
    <t>Oil shale &amp; oil sands</t>
  </si>
  <si>
    <t>Peat products</t>
  </si>
  <si>
    <t>BKB</t>
  </si>
  <si>
    <t>Coal tar</t>
  </si>
  <si>
    <t>Gas coke</t>
  </si>
  <si>
    <t>Coke oven coke</t>
  </si>
  <si>
    <t>Patent Fuels</t>
  </si>
  <si>
    <t>Lignite / Brown Coal</t>
  </si>
  <si>
    <t>Sub-bituminous coal</t>
  </si>
  <si>
    <t>Other bituminous coal</t>
  </si>
  <si>
    <t>Coking coal</t>
  </si>
  <si>
    <t>Anthracite</t>
  </si>
  <si>
    <t>Solid fuels</t>
  </si>
  <si>
    <t>Total all products</t>
  </si>
  <si>
    <t>Norway</t>
  </si>
  <si>
    <t>ktoe</t>
  </si>
  <si>
    <t>3270A</t>
  </si>
  <si>
    <t>0000</t>
  </si>
  <si>
    <t>WP_CCS</t>
  </si>
  <si>
    <t>WOOD_WASTE</t>
  </si>
  <si>
    <t>WOOD_PELLETS</t>
  </si>
  <si>
    <t>WOOD_CPH</t>
  </si>
  <si>
    <t>WOOD</t>
  </si>
  <si>
    <t>STRAW_CPH</t>
  </si>
  <si>
    <t>STRAW</t>
  </si>
  <si>
    <t>SHALE</t>
  </si>
  <si>
    <t>PEAT</t>
  </si>
  <si>
    <t>ORIMULSION</t>
  </si>
  <si>
    <t>NUCLEAR</t>
  </si>
  <si>
    <t>NG_CCS</t>
  </si>
  <si>
    <t>NAT_GAS</t>
  </si>
  <si>
    <t>MUNI_WASTE_CPH</t>
  </si>
  <si>
    <t>MUNI_WASTE</t>
  </si>
  <si>
    <t>LIGNITE</t>
  </si>
  <si>
    <t>LIGHTOIL</t>
  </si>
  <si>
    <t>GEO_WOOD</t>
  </si>
  <si>
    <t>FUELOIL</t>
  </si>
  <si>
    <t>COAL_CCS</t>
  </si>
  <si>
    <t>COAL</t>
  </si>
  <si>
    <t>BIOOIL</t>
  </si>
  <si>
    <t>BIOGAS_net</t>
  </si>
  <si>
    <t>BIOGAS_EC_net</t>
  </si>
  <si>
    <t>BIOGAS_EC</t>
  </si>
  <si>
    <t>BIOGAS</t>
  </si>
  <si>
    <t>BIO_PEAKgas</t>
  </si>
  <si>
    <t>BIO_PEAK</t>
  </si>
  <si>
    <t>DKK2015/GJ</t>
  </si>
  <si>
    <t>Euro2015/GJ</t>
  </si>
  <si>
    <t>2050</t>
  </si>
  <si>
    <t>2040</t>
  </si>
  <si>
    <t>2030</t>
  </si>
  <si>
    <t>2020</t>
  </si>
  <si>
    <t>Row Labels</t>
  </si>
  <si>
    <t>NORWAY</t>
  </si>
  <si>
    <t>NORDICS</t>
  </si>
  <si>
    <t>Column Labels</t>
  </si>
  <si>
    <t>Average of Price</t>
  </si>
  <si>
    <t>01_grid-invest_8</t>
  </si>
  <si>
    <t>caseName</t>
  </si>
  <si>
    <t>01_grid-invest_11</t>
  </si>
  <si>
    <t>DKK 2015</t>
  </si>
  <si>
    <t>Euro 2015</t>
  </si>
  <si>
    <t>Source Official DTU - P. E. Grohnheit, DTU Management Engineering, 1999-2016, updated 05-02-2016</t>
  </si>
  <si>
    <t>Conversion</t>
  </si>
  <si>
    <t>$offtext</t>
  </si>
  <si>
    <t>Nat GAS</t>
  </si>
  <si>
    <t>€/MWh</t>
  </si>
  <si>
    <t xml:space="preserve"> €/MWh</t>
  </si>
  <si>
    <t>total - IEA</t>
  </si>
  <si>
    <t>total</t>
  </si>
  <si>
    <t>refining</t>
  </si>
  <si>
    <t>Price difference to IEA</t>
  </si>
  <si>
    <t>€ vs DKK</t>
  </si>
  <si>
    <t>Wood Pellets</t>
  </si>
  <si>
    <t>Wood Chips</t>
  </si>
  <si>
    <t xml:space="preserve"> € vs $</t>
  </si>
  <si>
    <t>High</t>
  </si>
  <si>
    <t>Med</t>
  </si>
  <si>
    <t>Low</t>
  </si>
  <si>
    <t>Year</t>
  </si>
  <si>
    <t xml:space="preserve">GJ/Mbtu </t>
  </si>
  <si>
    <t>GJ/tønde</t>
  </si>
  <si>
    <t>http://energinet.dk/DA/El/Udvikling-af-elsystemet/Analyseforudsaetninger/Sider/Baggrundsnotater.aspx</t>
  </si>
  <si>
    <t>BIOMASS PRICES</t>
  </si>
  <si>
    <t>OECD STEAM COAL ($/tonne)</t>
  </si>
  <si>
    <t>NATGAS ($/Mbtu)</t>
  </si>
  <si>
    <t>CRUDE ($/barrel)</t>
  </si>
  <si>
    <t>IEA WEO 2014 (2013 prices)</t>
  </si>
  <si>
    <t>Fuel Price change calculator</t>
  </si>
  <si>
    <t>NATGAS($/Mbtu)</t>
  </si>
  <si>
    <t>CRUDE($/barrel)</t>
  </si>
  <si>
    <t>IEA WEO 2013 (2012 prices)</t>
  </si>
  <si>
    <t>2040/2035</t>
  </si>
  <si>
    <t>2013/2012</t>
  </si>
  <si>
    <t>450 Scenario</t>
  </si>
  <si>
    <t>Current Policy</t>
  </si>
  <si>
    <t>New Policy</t>
  </si>
  <si>
    <t>2014.SE4</t>
  </si>
  <si>
    <t>2013.SE4</t>
  </si>
  <si>
    <t>2012.SE4</t>
  </si>
  <si>
    <t>2011.SE4</t>
  </si>
  <si>
    <t>2010.SE4</t>
  </si>
  <si>
    <t>2014.SE3</t>
  </si>
  <si>
    <t>2013.SE3</t>
  </si>
  <si>
    <t>2012.SE3</t>
  </si>
  <si>
    <t>2011.SE3</t>
  </si>
  <si>
    <t>2010.SE3</t>
  </si>
  <si>
    <t>2014.SE2</t>
  </si>
  <si>
    <t>2013.SE2</t>
  </si>
  <si>
    <t>2012.SE2</t>
  </si>
  <si>
    <t>2011.SE2</t>
  </si>
  <si>
    <t>2010.SE2</t>
  </si>
  <si>
    <t>2014.SE1</t>
  </si>
  <si>
    <t>2013.SE1</t>
  </si>
  <si>
    <t>2012.SE1</t>
  </si>
  <si>
    <t>2011.SE1</t>
  </si>
  <si>
    <t>2010.SE1</t>
  </si>
  <si>
    <t>2014.DK</t>
  </si>
  <si>
    <t>2014.FINLAND</t>
  </si>
  <si>
    <t>2014.UK</t>
  </si>
  <si>
    <t>2013.UK</t>
  </si>
  <si>
    <t>2012.UK</t>
  </si>
  <si>
    <t>2014.Ger</t>
  </si>
  <si>
    <t>2013.Ger</t>
  </si>
  <si>
    <t>2012.Ger</t>
  </si>
  <si>
    <t>2011.Ger</t>
  </si>
  <si>
    <t>2010.Ger</t>
  </si>
  <si>
    <t>NOTES FOR LATER</t>
  </si>
  <si>
    <t>$ontext</t>
  </si>
  <si>
    <t>FUELPRICE(YYY,AAA,FFF)=FUELPRICE(YYY,AAA,FFF)/3.6;</t>
  </si>
  <si>
    <t>*translate prices into €/Gj from €/MWh</t>
  </si>
  <si>
    <t>FUELPRICE(YYY,AAA,FFF)$((YYY.val &gt; 2014) and (FUELPRICE(YYY,AAA,FFF) EQ 0))=FUELPRICE(YYY,'DK1_large',FFF);</t>
  </si>
  <si>
    <t>FUELPRICE('2012',AAA,FFF)$(FUELPRICE('2012',AAA,FFF) EQ 0)=FUELPRICE('2012','DK1_large',FFF);</t>
  </si>
  <si>
    <t>* the values for  'DK1_large'  are used for all A:</t>
  </si>
  <si>
    <t>* Unless other values are assigned in the TABLE FUELPRICE above,</t>
  </si>
  <si>
    <t>FUELPRICE(YYY,AAA,FFF) = SUM(RRR, FUELPRICE1(YYY,RRR,FFF)*RRRAAA(RRR,AAA));</t>
  </si>
  <si>
    <t xml:space="preserve">PARAMETER FUELPRICE(YYY,AAA,FFF); </t>
  </si>
  <si>
    <t>;</t>
  </si>
  <si>
    <t>2030.DK1</t>
  </si>
  <si>
    <t>2029.DK1</t>
  </si>
  <si>
    <t>2028.DK1</t>
  </si>
  <si>
    <t>2027.DK1</t>
  </si>
  <si>
    <t>2026.DK1</t>
  </si>
  <si>
    <t>2025.DK1</t>
  </si>
  <si>
    <t>2024.DK1</t>
  </si>
  <si>
    <t>2023.DK1</t>
  </si>
  <si>
    <t>2022.DK1</t>
  </si>
  <si>
    <t>2021.DK1</t>
  </si>
  <si>
    <t>2020.DK1</t>
  </si>
  <si>
    <t>2019.DK1</t>
  </si>
  <si>
    <t>2018.DK1</t>
  </si>
  <si>
    <t>2017.DK1</t>
  </si>
  <si>
    <t>2016.DK1</t>
  </si>
  <si>
    <t>2015.DK1</t>
  </si>
  <si>
    <t>WASTEHEAT</t>
  </si>
  <si>
    <t>OTHERGAS</t>
  </si>
  <si>
    <t>WOODPELLETS</t>
  </si>
  <si>
    <t>DRYWOODCHIPS</t>
  </si>
  <si>
    <t>WOODCHIPS</t>
  </si>
  <si>
    <t>WOODWASTE</t>
  </si>
  <si>
    <t>RECYCLEDWOOD</t>
  </si>
  <si>
    <t>MUNIWASTE</t>
  </si>
  <si>
    <t>FUELOIL_EXETS</t>
  </si>
  <si>
    <t>COAL_EXETS</t>
  </si>
  <si>
    <t>NATGAS_EXETS</t>
  </si>
  <si>
    <t>LNG</t>
  </si>
  <si>
    <t>HEAVYFUELOIL</t>
  </si>
  <si>
    <t>NATGAS</t>
  </si>
  <si>
    <t>*</t>
  </si>
  <si>
    <t>* FUTURE PRICE DEVELOPMENT - SAME PRICE FOR ALL AREAS</t>
  </si>
  <si>
    <t>2012.EE</t>
  </si>
  <si>
    <t>*/</t>
  </si>
  <si>
    <t>/*</t>
  </si>
  <si>
    <t>DUMMY</t>
  </si>
  <si>
    <t>HYDROGEN</t>
  </si>
  <si>
    <t>2012.NO5</t>
  </si>
  <si>
    <t>2012.NO4</t>
  </si>
  <si>
    <t>2012.NO3</t>
  </si>
  <si>
    <t>2012.NO2</t>
  </si>
  <si>
    <t>2012.Fin</t>
  </si>
  <si>
    <t>2012.Ne</t>
  </si>
  <si>
    <t>2012.DK2</t>
  </si>
  <si>
    <t>***REGION SPESIFIC PRICES:             (If entered value is zero, the price will equal DK1A)</t>
  </si>
  <si>
    <t>Units</t>
  </si>
  <si>
    <t>2012.DK1</t>
  </si>
  <si>
    <t>FDN2O</t>
  </si>
  <si>
    <t>FDSO2</t>
  </si>
  <si>
    <t>FDCO2</t>
  </si>
  <si>
    <t>FDNB</t>
  </si>
  <si>
    <t>FDACRONYM</t>
  </si>
  <si>
    <t>Fuel oil according to Thomson reuters</t>
  </si>
  <si>
    <t>** base year prices:</t>
  </si>
  <si>
    <t>TABLE FUELPRICE1(YYY,RRR,FFF)  'Fuel prices (Money/MWh)'</t>
  </si>
  <si>
    <t>* Units: EUR2012/GJ</t>
  </si>
  <si>
    <t>DKK 2012</t>
  </si>
  <si>
    <t>Euro 2012</t>
  </si>
  <si>
    <t>* UK gas - national balancing point: ~21£/MWh, 1£ = 0.81087 €</t>
  </si>
  <si>
    <t>SRMC with CO2</t>
  </si>
  <si>
    <t>Fuel price (€/MWh)</t>
  </si>
  <si>
    <t>Fuel &amp; CO2-cost/GJ</t>
  </si>
  <si>
    <t>CO2-cost (€/GJ)</t>
  </si>
  <si>
    <t>EUR12/t CO2</t>
  </si>
  <si>
    <t>Fuel price (€/GJ)</t>
  </si>
  <si>
    <t>* Data source Finland: http://www.stat.fi/til/ehi/2014/02/ehi_2014_02_2014-09-18_tie_001_en.html (CO2 tax not included here)</t>
  </si>
  <si>
    <t>SRMC Calculator:</t>
  </si>
  <si>
    <t>* Woodwaste: assumption made according to observed prices in Finland</t>
  </si>
  <si>
    <t>MKr12</t>
  </si>
  <si>
    <t>Import technology - Coal</t>
  </si>
  <si>
    <t>IMPCOA</t>
  </si>
  <si>
    <t>* Straw: same as wood</t>
  </si>
  <si>
    <t>Import technology - Wood pellets</t>
  </si>
  <si>
    <t>IMPWPE</t>
  </si>
  <si>
    <t>* Lignite: half of the price of coal, orimulsion and peat: same as lignite</t>
  </si>
  <si>
    <t>Import technology - Hydro</t>
  </si>
  <si>
    <t>IMPHYD</t>
  </si>
  <si>
    <t>* Oil, gas and coal: Data from Reuters, UK energy and climate, and projections from IEA</t>
  </si>
  <si>
    <t>From 2012 to 2015</t>
  </si>
  <si>
    <t>Import technology - Wind</t>
  </si>
  <si>
    <t>IMPWIN</t>
  </si>
  <si>
    <t>* Nuclear and wood: data from NVE report</t>
  </si>
  <si>
    <t>IMPBGA</t>
  </si>
  <si>
    <t xml:space="preserve">* Data Source Germany: http://www.bafa.de/bafa/de/energie/steinkohle/drittlandskohlepreis/index.html and http://www.bafa.de/bafa/de/energie/erdgas/index.html
</t>
  </si>
  <si>
    <t>MKr10</t>
  </si>
  <si>
    <t>MKr15</t>
  </si>
  <si>
    <t>G_CUREX</t>
  </si>
  <si>
    <t>Import technology - Heavy Fuel Oil</t>
  </si>
  <si>
    <t>IMPHFO</t>
  </si>
  <si>
    <t>* Lignite assumed 50 % of coal</t>
  </si>
  <si>
    <t>Import technology - Wood chips</t>
  </si>
  <si>
    <t>IMPWCH</t>
  </si>
  <si>
    <t>*SWEDEN - http://www.energimyndigheten.se/contentassets/5b5e7fbcd0f249458f53cbd82675aef1/tidserier_tradbransle_och_torvpriser_master_webben-ver01.xls</t>
  </si>
  <si>
    <t>IMPWST</t>
  </si>
  <si>
    <t>Import technology - Natural Gas</t>
  </si>
  <si>
    <t>IMPNGA</t>
  </si>
  <si>
    <t>MKr11</t>
  </si>
  <si>
    <t>Import technology - Diesel</t>
  </si>
  <si>
    <t>IMPDSL</t>
  </si>
  <si>
    <t>* PARAMETER FUELPRICE contains average fuel prices through the year.</t>
  </si>
  <si>
    <t>DKK2012/GJ</t>
  </si>
  <si>
    <t>From SysSettings</t>
  </si>
  <si>
    <t>*------------------------------------------------------------------------------</t>
  </si>
  <si>
    <t>* This file is part of the Balmorel model, version 2.11 Alpha (April 2004).</t>
  </si>
  <si>
    <t>* File Fuelp.incnat</t>
  </si>
  <si>
    <t>SOURCE: TIMES-DK</t>
  </si>
  <si>
    <t>MSEK14</t>
  </si>
  <si>
    <t>SUPKRB</t>
  </si>
  <si>
    <t>Supply Bio Kerosene</t>
  </si>
  <si>
    <t>SUPSNG</t>
  </si>
  <si>
    <t>SUPDSB</t>
  </si>
  <si>
    <t>SUPGSB</t>
  </si>
  <si>
    <t>SUPMOB</t>
  </si>
  <si>
    <t>Supply Bio Synt. Nat. Gas</t>
  </si>
  <si>
    <t>Supply Biodiesel</t>
  </si>
  <si>
    <t>Supply Bioethanol</t>
  </si>
  <si>
    <t>Supply Bio Methanol</t>
  </si>
  <si>
    <t>SUPCRD</t>
  </si>
  <si>
    <t>Input~2011</t>
  </si>
  <si>
    <t>Input~2012</t>
  </si>
  <si>
    <t>Input~2013</t>
  </si>
  <si>
    <t>Input~2014</t>
  </si>
  <si>
    <t>DAct~FI_T</t>
  </si>
  <si>
    <t>Old Refinery structure</t>
  </si>
  <si>
    <t>New refinery structure based on EUROstats and danish refinary data to determine overall efficiency</t>
  </si>
  <si>
    <t>Share~UP~2018</t>
  </si>
  <si>
    <t>Input~2015</t>
  </si>
  <si>
    <t>Input~2018</t>
  </si>
  <si>
    <t>EFF~2018</t>
  </si>
  <si>
    <t>Input CRD share / Base year</t>
  </si>
  <si>
    <t>Input CRD share / 2012</t>
  </si>
  <si>
    <t>Input CRD share from 2015</t>
  </si>
  <si>
    <t>Crude level 2010 (PJ)</t>
  </si>
  <si>
    <t>Crude max. Flow level from 2015</t>
  </si>
  <si>
    <t>OTH</t>
  </si>
  <si>
    <t>SUPLVN</t>
  </si>
  <si>
    <t>Pja</t>
  </si>
  <si>
    <t>kg CO2</t>
  </si>
  <si>
    <t>GJ/toe</t>
  </si>
  <si>
    <t>https://www.ssb.no/en/forskning/discussion-papers/_attachment/225118</t>
  </si>
  <si>
    <t>Based on NO studies on oil and gas extractions</t>
  </si>
  <si>
    <t>Input~2020</t>
  </si>
  <si>
    <t>\I:</t>
  </si>
  <si>
    <t>Triple the price of kerosene</t>
  </si>
  <si>
    <t>Triple the price natural gas</t>
  </si>
  <si>
    <t>1.5 time the cost of biofuels</t>
  </si>
  <si>
    <t>MKr19</t>
  </si>
  <si>
    <t>Eas CIF værdier</t>
  </si>
  <si>
    <t>Inflation correction</t>
  </si>
  <si>
    <t>TOTCO2</t>
  </si>
  <si>
    <t>Total CO2 emissions</t>
  </si>
  <si>
    <t>FT-MINNGA2</t>
  </si>
  <si>
    <t>FT-MINCRD2</t>
  </si>
  <si>
    <t>Assuming electricity consumption in Oil and gas production can become 100 % electricified would result in a 50% less fuel consumption compared to Natural gas</t>
  </si>
  <si>
    <t>Start</t>
  </si>
  <si>
    <t>Figur 3.10</t>
  </si>
  <si>
    <t>Produksjon og anslått framtidig produksjon av petroleum på norsk sokkel</t>
  </si>
  <si>
    <t xml:space="preserve">Mill. Sm3 o.e </t>
  </si>
  <si>
    <t>MtOe</t>
  </si>
  <si>
    <t>Old data on Oil production</t>
  </si>
  <si>
    <t>Old data on Gas production</t>
  </si>
  <si>
    <t>FT-MINNGA3</t>
  </si>
  <si>
    <t>FT-MINCRD3</t>
  </si>
  <si>
    <t xml:space="preserve">Values are cabilrated with 5% </t>
  </si>
  <si>
    <t>Oil and oil products (excl. bio)</t>
  </si>
  <si>
    <t>Biofuels</t>
  </si>
  <si>
    <t>District heating</t>
  </si>
  <si>
    <t>Total</t>
  </si>
  <si>
    <t>Crude petroleum and natural gas production</t>
  </si>
  <si>
    <t>Oil refineries</t>
  </si>
  <si>
    <t>Total supply</t>
  </si>
  <si>
    <t>Tabell 1: Own use of energy (PJ) in the supply sector according to Staticstics Norway (SSB). 2019 numbers.</t>
  </si>
  <si>
    <t>FX</t>
  </si>
  <si>
    <t>Other non energy related commodities</t>
  </si>
  <si>
    <t>Refinery Azerbaijan 1</t>
  </si>
  <si>
    <t>SYN</t>
  </si>
  <si>
    <t>RE syn gas</t>
  </si>
  <si>
    <t>HETCP</t>
  </si>
  <si>
    <t>HETDP</t>
  </si>
  <si>
    <t>FIXOM</t>
  </si>
  <si>
    <t>CAP2ACT</t>
  </si>
  <si>
    <t>AFA</t>
  </si>
  <si>
    <t>LIFE</t>
  </si>
  <si>
    <t>ELCHIG</t>
  </si>
  <si>
    <t>Power transmission line medium voltage</t>
  </si>
  <si>
    <t>ELCMID</t>
  </si>
  <si>
    <t>Power transmission line low voltage</t>
  </si>
  <si>
    <t>ELCLOW</t>
  </si>
  <si>
    <t>Electricity high voltage</t>
  </si>
  <si>
    <t>Electricity medium voltage</t>
  </si>
  <si>
    <t>Electricity low voltage</t>
  </si>
  <si>
    <t>Gas distribution grid transmission lines</t>
  </si>
  <si>
    <t>NGAT</t>
  </si>
  <si>
    <t>*Source</t>
  </si>
  <si>
    <t>Danish technology catalogue</t>
  </si>
  <si>
    <t>Following national statistics a total power loss results in a convetion loss of</t>
  </si>
  <si>
    <t>Loss according to danish technology catalogue</t>
  </si>
  <si>
    <t>Loss according to Azerbajainian system</t>
  </si>
  <si>
    <t>ELC</t>
  </si>
  <si>
    <t>DAYNITE</t>
  </si>
  <si>
    <t>From Subres files on Transmissions</t>
  </si>
  <si>
    <t/>
  </si>
  <si>
    <t>Fixed O&amp;M Cost</t>
  </si>
  <si>
    <t>MEUR/MW/year</t>
  </si>
  <si>
    <t>NGAD</t>
  </si>
  <si>
    <t>Gas distribution grid distribution lines</t>
  </si>
  <si>
    <t>Gas grid in Transmission lines</t>
  </si>
  <si>
    <t>Gas grid in distribution lines</t>
  </si>
  <si>
    <t>Annual avaiability factor</t>
  </si>
  <si>
    <t>Variable O&amp;M Cost</t>
  </si>
  <si>
    <t>MEUR/PJ</t>
  </si>
  <si>
    <t>MEUR15</t>
  </si>
  <si>
    <t>terajoule</t>
  </si>
  <si>
    <t xml:space="preserve">Total all products </t>
  </si>
  <si>
    <t>Crude oil  (including gas condensate)</t>
  </si>
  <si>
    <t>Refinery feedstocks</t>
  </si>
  <si>
    <t>Petroleum products, total</t>
  </si>
  <si>
    <t>including:</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</si>
  <si>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</si>
  <si>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</si>
  <si>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</si>
  <si>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</si>
  <si>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</si>
  <si>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</si>
  <si>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</si>
  <si>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</si>
  <si>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</si>
  <si>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</si>
  <si>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</si>
  <si>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 xml:space="preserve">Fuel oil </t>
  </si>
  <si>
    <t xml:space="preserve">Bitumen </t>
  </si>
  <si>
    <t>Other petroleum products</t>
  </si>
  <si>
    <t>Import</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</si>
  <si>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</si>
  <si>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</si>
  <si>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</si>
  <si>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</si>
  <si>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</si>
  <si>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</si>
  <si>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</si>
  <si>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</si>
  <si>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</si>
  <si>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</si>
  <si>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</si>
  <si>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Blast furnaces</t>
  </si>
  <si>
    <t>Petrochemical plants</t>
  </si>
  <si>
    <t>Other transformation processes</t>
  </si>
  <si>
    <t xml:space="preserve">Energy industries own use </t>
  </si>
  <si>
    <t>Losses</t>
  </si>
  <si>
    <t>Final consumption</t>
  </si>
  <si>
    <t xml:space="preserve">Final energy consumption </t>
  </si>
  <si>
    <t>Mt CO2 from natural gas to power&amp;heat</t>
  </si>
  <si>
    <t xml:space="preserve">Industry and construction </t>
  </si>
  <si>
    <t>Mt CO2 from natural gas to end use</t>
  </si>
  <si>
    <t>Iron and steel</t>
  </si>
  <si>
    <t>Mt CO2 from oil products</t>
  </si>
  <si>
    <t>Chemical and petrochemical</t>
  </si>
  <si>
    <t>Non-ferrous metal</t>
  </si>
  <si>
    <t>Mt CO2e</t>
  </si>
  <si>
    <t>Non-metallic minerals</t>
  </si>
  <si>
    <t>Upstream natural gas consumption, ELC</t>
  </si>
  <si>
    <t>Transport equipment</t>
  </si>
  <si>
    <t>Upstream Oil consumption in refineries, SUP</t>
  </si>
  <si>
    <t>End use natural gas</t>
  </si>
  <si>
    <t>End use Oil products</t>
  </si>
  <si>
    <t>Food and tobacco</t>
  </si>
  <si>
    <t>Total from energy sector</t>
  </si>
  <si>
    <t>Paper, pulp and printing</t>
  </si>
  <si>
    <t>methane leakage</t>
  </si>
  <si>
    <t>Wood and wood products</t>
  </si>
  <si>
    <t>Total from energy sector incl leakage</t>
  </si>
  <si>
    <t>Textile and leather</t>
  </si>
  <si>
    <t>Non-specified</t>
  </si>
  <si>
    <t>https://ourworldindata.org/co2/country/azerbaijan</t>
  </si>
  <si>
    <t xml:space="preserve">Road </t>
  </si>
  <si>
    <t>AGR</t>
  </si>
  <si>
    <t>Buildings</t>
  </si>
  <si>
    <t>Domestic navigation</t>
  </si>
  <si>
    <t>Manufacturing</t>
  </si>
  <si>
    <t>Transport not elsewhere specified</t>
  </si>
  <si>
    <t>Other fields of economy</t>
  </si>
  <si>
    <t>Other fuel combustion</t>
  </si>
  <si>
    <t xml:space="preserve">Agriculture, forestry and fishing </t>
  </si>
  <si>
    <t>Avi/Shipping</t>
  </si>
  <si>
    <t>Commerce and public services</t>
  </si>
  <si>
    <t>LULUCF</t>
  </si>
  <si>
    <t>Households</t>
  </si>
  <si>
    <t>Total GHG emissions</t>
  </si>
  <si>
    <t>Not elsewhere-specified</t>
  </si>
  <si>
    <t>CO2 emissions´ish</t>
  </si>
  <si>
    <t>Non-energy use</t>
  </si>
  <si>
    <t>SUPNOX</t>
  </si>
  <si>
    <t>SUPCH4</t>
  </si>
  <si>
    <t>Supply sector Mehtnae emissions</t>
  </si>
  <si>
    <t>kt CO2e</t>
  </si>
  <si>
    <t>Supply sector NOx emissions</t>
  </si>
  <si>
    <t>Methane emissions</t>
  </si>
  <si>
    <t>Annual tranmission</t>
  </si>
  <si>
    <t>PJ annual flow</t>
  </si>
  <si>
    <t xml:space="preserve">Pipeline </t>
  </si>
  <si>
    <t>Fuel oil - low sulphur</t>
  </si>
  <si>
    <t>Energy balance by products in 2010</t>
  </si>
  <si>
    <t>2.2  Energy balance by products in 2015</t>
  </si>
  <si>
    <t>Diesel fuel (gas oil)</t>
  </si>
  <si>
    <t>Pipeline</t>
  </si>
  <si>
    <t>Comment</t>
  </si>
  <si>
    <t>Emissions diviate from subres strucutre to match historical leakage of methane emissions, assumed to belong dominantly within the gas transmissions system</t>
  </si>
  <si>
    <t>District heating distribution grid Urban lines existing</t>
  </si>
  <si>
    <t>District heating distribution grid Suburban lines existing</t>
  </si>
  <si>
    <t>District heating distribution grid Rural lines existing</t>
  </si>
  <si>
    <t>HETC</t>
  </si>
  <si>
    <t>HETD</t>
  </si>
  <si>
    <t>Heat from district heating system central</t>
  </si>
  <si>
    <t>Heat from district heating system decentral</t>
  </si>
  <si>
    <t>NCAP_AFA</t>
  </si>
  <si>
    <t>CAPACT</t>
  </si>
  <si>
    <r>
      <t>GHG emissions, Gg CO</t>
    </r>
    <r>
      <rPr>
        <b/>
        <vertAlign val="subscript"/>
        <sz val="9"/>
        <rFont val="Arial"/>
        <family val="2"/>
      </rPr>
      <t>2</t>
    </r>
    <r>
      <rPr>
        <b/>
        <sz val="9"/>
        <rFont val="Arial"/>
        <family val="2"/>
        <charset val="1"/>
      </rPr>
      <t xml:space="preserve"> equivalent</t>
    </r>
  </si>
  <si>
    <t>1990</t>
  </si>
  <si>
    <t>1991</t>
  </si>
  <si>
    <t>1992</t>
  </si>
  <si>
    <t>1993</t>
  </si>
  <si>
    <t>1994</t>
  </si>
  <si>
    <t>1995</t>
  </si>
  <si>
    <t>1996</t>
  </si>
  <si>
    <t>1997</t>
  </si>
  <si>
    <t>1998</t>
  </si>
  <si>
    <t>1999</t>
  </si>
  <si>
    <t>2000</t>
  </si>
  <si>
    <t>2001</t>
  </si>
  <si>
    <t>2002</t>
  </si>
  <si>
    <t>2003</t>
  </si>
  <si>
    <t>2004</t>
  </si>
  <si>
    <t>2005</t>
  </si>
  <si>
    <t>2006</t>
  </si>
  <si>
    <t>2007</t>
  </si>
  <si>
    <t>2008</t>
  </si>
  <si>
    <t>2009</t>
  </si>
  <si>
    <t>Summary Total</t>
  </si>
  <si>
    <r>
      <t>CO</t>
    </r>
    <r>
      <rPr>
        <vertAlign val="subscript"/>
        <sz val="9"/>
        <rFont val="Arial"/>
        <family val="2"/>
      </rPr>
      <t>2</t>
    </r>
    <r>
      <rPr>
        <sz val="9"/>
        <rFont val="Arial"/>
        <family val="2"/>
        <charset val="1"/>
      </rPr>
      <t xml:space="preserve"> emissions without LULUCF / LUCF</t>
    </r>
  </si>
  <si>
    <r>
      <t>CO</t>
    </r>
    <r>
      <rPr>
        <vertAlign val="subscript"/>
        <sz val="9"/>
        <rFont val="Arial"/>
        <family val="2"/>
      </rPr>
      <t>2</t>
    </r>
    <r>
      <rPr>
        <sz val="9"/>
        <rFont val="Arial"/>
        <family val="2"/>
        <charset val="1"/>
      </rPr>
      <t xml:space="preserve"> net emissions/removals by LULUCF / LUCF</t>
    </r>
  </si>
  <si>
    <r>
      <t>CO</t>
    </r>
    <r>
      <rPr>
        <vertAlign val="subscript"/>
        <sz val="9"/>
        <rFont val="Arial"/>
        <family val="2"/>
      </rPr>
      <t>2</t>
    </r>
    <r>
      <rPr>
        <sz val="9"/>
        <rFont val="Arial"/>
        <family val="2"/>
        <charset val="1"/>
      </rPr>
      <t xml:space="preserve"> net emissions/removals with LULUCF / LUCF</t>
    </r>
  </si>
  <si>
    <t>GHG emissions without LULUCF / LUCF</t>
  </si>
  <si>
    <t>GHG net emissions/removals by LULUCF / LUCF</t>
  </si>
  <si>
    <t>GHG net emissions/removals with LULUCF / LUCF</t>
  </si>
  <si>
    <t>Breakdown by sub-sectors</t>
  </si>
  <si>
    <t xml:space="preserve">1. Energy </t>
  </si>
  <si>
    <t>1.A.1. Energy industries</t>
  </si>
  <si>
    <t>1.A.2. Manufacturing industries and construction</t>
  </si>
  <si>
    <t>1.A.3. Transport</t>
  </si>
  <si>
    <t>1.A.4. Other sectors</t>
  </si>
  <si>
    <t>1.A.5. Other</t>
  </si>
  <si>
    <t>NO</t>
  </si>
  <si>
    <t>1.B. Fugitive emissions from Fuels</t>
  </si>
  <si>
    <t>2. Industrial Processes</t>
  </si>
  <si>
    <t>2.A. Mineral Products</t>
  </si>
  <si>
    <t>2.B. Chemical Industry</t>
  </si>
  <si>
    <t>2.C. Metal Production</t>
  </si>
  <si>
    <t>2.D. Other Production</t>
  </si>
  <si>
    <t>2.E. Production of Halocarbons and SF6</t>
  </si>
  <si>
    <t>2.F. Consumption of Halocarbons and SF6</t>
  </si>
  <si>
    <t>2.G. Other</t>
  </si>
  <si>
    <t>NA</t>
  </si>
  <si>
    <t>3. Solvents</t>
  </si>
  <si>
    <t xml:space="preserve">4. Agriculture </t>
  </si>
  <si>
    <t>4.A. Enteric Fermentation</t>
  </si>
  <si>
    <t>4.B. Manure Management</t>
  </si>
  <si>
    <t>4.C. Rice Cultivation</t>
  </si>
  <si>
    <t>4.D. Agricultural Soils</t>
  </si>
  <si>
    <t>4.E. Prescribed Burning of Savannas</t>
  </si>
  <si>
    <t>4.F. Field Burning of Agricultural Residues</t>
  </si>
  <si>
    <t>4.G. Other</t>
  </si>
  <si>
    <t>5bis. Land-Use Change and Forestry</t>
  </si>
  <si>
    <t>5bis.A. Changes in Forest and Other Woody Biomass Stocks</t>
  </si>
  <si>
    <t>5bis.B. Forest and Grassland Conversion</t>
  </si>
  <si>
    <t>5bis.C. Abandonment of Managed Lands</t>
  </si>
  <si>
    <t>5bis.D. CO2 Emissions and Removals from Soil</t>
  </si>
  <si>
    <t>5bis.E. Other</t>
  </si>
  <si>
    <t>6. Waste</t>
  </si>
  <si>
    <t>6.A. Solid Waste Disposal on Land</t>
  </si>
  <si>
    <t>6.B. Wastewater Handling</t>
  </si>
  <si>
    <t>6.C. Waste Incineration</t>
  </si>
  <si>
    <t>6.D. Other</t>
  </si>
  <si>
    <t>7. Other</t>
  </si>
  <si>
    <t>Average annual changes, in percent</t>
  </si>
  <si>
    <t>EMISSIONS~SUPCH4~0</t>
  </si>
  <si>
    <t>EMISSIONS~SUPCH4~2019</t>
  </si>
  <si>
    <t>EMISSIONS~SUPCH4~2010</t>
  </si>
  <si>
    <t>2.10  Energy balance by products in 2019</t>
  </si>
  <si>
    <t>FT-GRDELCMID</t>
  </si>
  <si>
    <t>FT-GRDELCLOW</t>
  </si>
  <si>
    <t>FT-GRDHETSPE</t>
  </si>
  <si>
    <t>FT-GRDHETRPE</t>
  </si>
  <si>
    <t>FT-GRDNGAD</t>
  </si>
  <si>
    <t>FT-GRDHETUPE</t>
  </si>
  <si>
    <t>FT-GRDNGAT</t>
  </si>
  <si>
    <t>NCAP_BND</t>
  </si>
  <si>
    <t>NCAP_BND~0</t>
  </si>
  <si>
    <t>HETSP</t>
  </si>
  <si>
    <t>Heat from district heating system Suburban</t>
  </si>
  <si>
    <t>Mining technology - Biomass</t>
  </si>
  <si>
    <t>ACTBND~UP~DE3</t>
  </si>
  <si>
    <t>ACTBND~UP~2015~DE3</t>
  </si>
  <si>
    <t>ACTBND~UP~2020~DE3</t>
  </si>
  <si>
    <t>ACTBND~UP~0~DE3</t>
  </si>
  <si>
    <t>ACTBND~UP~DE2</t>
  </si>
  <si>
    <t>ACTBND~UP~2015~DE2</t>
  </si>
  <si>
    <t>ACTBND~UP~2020~DE2</t>
  </si>
  <si>
    <t>ACTBND~UP~0~DE2</t>
  </si>
  <si>
    <t>ACTBND~UP~DE1</t>
  </si>
  <si>
    <t>ACTBND~UP~2015~DE1</t>
  </si>
  <si>
    <t>ACTBND~UP~2020~DE1</t>
  </si>
  <si>
    <t>ACTBND~UP~0~DE1</t>
  </si>
  <si>
    <t>~FI_T: DE1</t>
  </si>
  <si>
    <t>BNDACT~FX~DE1</t>
  </si>
  <si>
    <t>BNDACT~FX~2015~DE1</t>
  </si>
  <si>
    <t>BNDACT~FX~2019~DE1</t>
  </si>
  <si>
    <t>BNDACT~FX~2020~DE1</t>
  </si>
  <si>
    <t>BNDACT~LO~2025~DE1</t>
  </si>
  <si>
    <t>BNDACT~LO~2030~DE1</t>
  </si>
  <si>
    <t>BNDACT~LO~2035~DE1</t>
  </si>
  <si>
    <t>SREFDE1</t>
  </si>
  <si>
    <t>DE1</t>
  </si>
  <si>
    <t>Share between DE1 and NO2</t>
  </si>
  <si>
    <t>BNDACT~UP~DE1</t>
  </si>
  <si>
    <t>BNDACT~UP~2011~DE1</t>
  </si>
  <si>
    <t>BNDACT~UP~2012~DE1</t>
  </si>
  <si>
    <t>BNDACT~UP~2013~DE1</t>
  </si>
  <si>
    <t>BNDACT~UP~2014~DE1</t>
  </si>
  <si>
    <t>BNDACT~UP~2015~DE1</t>
  </si>
  <si>
    <t>Crude level 2010 (PJ) DE1</t>
  </si>
  <si>
    <t>2012.DE1</t>
  </si>
  <si>
    <t>Not in reference scenario!!</t>
  </si>
  <si>
    <t>!! Source: https://tyndp.entsoe.eu/tyndp2018/projects/projects/126</t>
  </si>
  <si>
    <t xml:space="preserve">XKFX(YYY,'SE3','SE2')$(YVALUE(YYY) GE 2030) = XKFX(YYY,'SE3','SE2') + 1500;             </t>
  </si>
  <si>
    <t>!! Project name: SE North-south reinforcements       Status: Under consideration</t>
  </si>
  <si>
    <t xml:space="preserve">XKFX(YYY,'SE2','SE3')$(YVALUE(YYY) GE 2030) = XKFX(YYY,'SE2','SE3') + 1500;             </t>
  </si>
  <si>
    <t>!! Source: https://tyndp.entsoe.eu/tyndp2018/projects/projects/260</t>
  </si>
  <si>
    <t xml:space="preserve">XKFX(YYY,'NL','UK')$(YVALUE(YYY) GE 2030) = XKFX(YYY,'NL','UK') + 2000;             </t>
  </si>
  <si>
    <t>!! Project name: New Great Britain - Netherlands interconnection       Status: In permitting</t>
  </si>
  <si>
    <t xml:space="preserve">XKFX(YYY,'UK','NL')$(YVALUE(YYY) GE 2030) = XKFX(YYY,'UK','NL') + 2000;             </t>
  </si>
  <si>
    <t>!! Source: https://tyndp.entsoe.eu/tyndp2018/projects/projects/296</t>
  </si>
  <si>
    <t xml:space="preserve">XKFX(YYY,'UK','FR')$(YVALUE(YYY) GE 2024) = XKFX(YYY,'UK','FR') + 1800;             </t>
  </si>
  <si>
    <t>!! Project name: Birtib       Status: In permitting</t>
  </si>
  <si>
    <t xml:space="preserve">XKFX(YYY,'FR','UK')$(YVALUE(YYY) GE 2024) = XKFX(YYY,'FR','UK') + 1800;             </t>
  </si>
  <si>
    <t>!! Source: https://tyndp.entsoe.eu/tyndp2018/projects/projects/247</t>
  </si>
  <si>
    <t xml:space="preserve">XKFX(YYY,'UK','FR')$(YVALUE(YYY) GE 2022) = XKFX(YYY,'UK','FR') + 2000;             </t>
  </si>
  <si>
    <t>!! Project name: AQUIND       Status: In permitting</t>
  </si>
  <si>
    <t xml:space="preserve">XKFX(YYY,'FR','UK')$(YVALUE(YYY) GE 2022) = XKFX(YYY,'FR','UK') + 2000;             </t>
  </si>
  <si>
    <t>!! Source: https://tyndp.entsoe.eu/tyndp2018/projects/projects/239</t>
  </si>
  <si>
    <t xml:space="preserve">XKFX(YYY,'FIN','SE2')$(YVALUE(YYY) GE 2029) = XKFX(YYY,'FIN','SE2') + 800;             </t>
  </si>
  <si>
    <t>!! Project name: Fenno-Skan 1 renewal         Status Under consideration</t>
  </si>
  <si>
    <t xml:space="preserve">XKFX(YYY,'SE2','FIN')$(YVALUE(YYY) GE 2029) = XKFX(YYY,'SE2','FIN') + 800;             </t>
  </si>
  <si>
    <t>!! Source: https://tyndp.entsoe.eu/tyndp2018/projects/projects/234</t>
  </si>
  <si>
    <t xml:space="preserve">XKFX(YYY,'PL','DK2')$(YVALUE(YYY) GE 2033) = XKFX(YYY,'PL','DK2') + 600;             </t>
  </si>
  <si>
    <t>!! Project name: DKE - PL-1        Status: Under consideration</t>
  </si>
  <si>
    <t xml:space="preserve">XKFX(YYY,'DK2','PL')$(YVALUE(YYY) GE 2033) = XKFX(YYY,'DK2','PL') + 600;             </t>
  </si>
  <si>
    <t>!! Source: https://tyndp.entsoe.eu/tyndp2018/projects/projects/175</t>
  </si>
  <si>
    <t xml:space="preserve">XKFX(YYY,'DK2','DK1')$(YVALUE(YYY) GE 2030) = XKFX(YYY,'DK2','DK1') + 600;             </t>
  </si>
  <si>
    <t>!! Project name: Great Belt II        Status: Under consideration</t>
  </si>
  <si>
    <t xml:space="preserve">XKFX(YYY,'DK1','DK2')$(YVALUE(YYY) GE 2030) = XKFX(YYY,'DK1','DK2') + 600;             </t>
  </si>
  <si>
    <t>!! Source: https://tyndp.entsoe.eu/tyndp2018/projects/projects/179</t>
  </si>
  <si>
    <t xml:space="preserve">XKFX(YYY,'DK2','DE4-E')$(YVALUE(YYY) GE 2030) = XKFX(YYY,'DK2','DE4-E') + 600;             </t>
  </si>
  <si>
    <t>!! Project name: DKE - DE (Kontek2)       Status: Under consideration</t>
  </si>
  <si>
    <t xml:space="preserve">XKFX(YYY,'DE4-E','DK2')$(YVALUE(YYY) GE 2030) = XKFX(YYY,'DE4-E','DK2') + 600;             </t>
  </si>
  <si>
    <t>!! Source: https://tyndp.entsoe.eu/tyndp2018/projects/projects/267</t>
  </si>
  <si>
    <t xml:space="preserve">XKFX(YYY,'SE4','DE4-E')$(YVALUE(YYY) GE 2030) = XKFX(YYY,'SE4','DE4-E') + 700;             </t>
  </si>
  <si>
    <t>!! Project name: Hansa PowerBridge II        Status: Under consideration</t>
  </si>
  <si>
    <t xml:space="preserve">XKFX(YYY,'DE4-E','SE4')$(YVALUE(YYY) GE 2030) = XKFX(YYY,'DE4-E','SE4') + 700;             </t>
  </si>
  <si>
    <t>!! Source: https://tyndp.entsoe.eu/tyndp2018/projects/projects/228</t>
  </si>
  <si>
    <t xml:space="preserve">XKFX(YYY,'FR','DE4-S')$(YVALUE(YYY) GE 2025) = XKFX(YYY,'FR','DE4-S') + 300;             </t>
  </si>
  <si>
    <t>!! Project name: Muhlbach - Eichstetten          Status: Planned but not yet permitting</t>
  </si>
  <si>
    <t xml:space="preserve">XKFX(YYY,'DE4-S','FR')$(YVALUE(YYY) GE 2025) = XKFX(YYY,'DE4-S','FR') + 300;             </t>
  </si>
  <si>
    <t>!! Source: https://tyndp.entsoe.eu/tyndp2018/projects/projects/377</t>
  </si>
  <si>
    <t xml:space="preserve">XKFX(YYY,'NL','BE')$(YVALUE(YYY) GE 2030) = XKFX(YYY,'NL','BE') + 1000;             </t>
  </si>
  <si>
    <t>!! Project name: Upgrade BE-NL interconnector VanEyck-Maasbracht          Status: Under consideration</t>
  </si>
  <si>
    <t xml:space="preserve">XKFX(YYY,'BE','NL')$(YVALUE(YYY) GE 2030) = XKFX(YYY,'BE','NL') + 1000;             </t>
  </si>
  <si>
    <t>!! Source: https://tyndp.entsoe.eu/tyndp2018/projects/projects/121</t>
  </si>
  <si>
    <t xml:space="preserve">XKFX(YYY,'UK','BE')$(YVALUE(YYY) GE 2028) = XKFX(YYY,'UK','BE') + 1400;             </t>
  </si>
  <si>
    <t>!! Project name: Nautilus: 2nd interconnector Belgium - UK       Status: Under consideration</t>
  </si>
  <si>
    <t xml:space="preserve">XKFX(YYY,'BE','UK')$(YVALUE(YYY) GE 2028) = XKFX(YYY,'BE','UK') + 1400;             </t>
  </si>
  <si>
    <t>!! Source: https://tyndp.entsoe.eu/tyndp2018/projects/projects/280</t>
  </si>
  <si>
    <t xml:space="preserve">XKFX(YYY,'FR','BE')$(YVALUE(YYY) GE 2030) = XKFX(YYY,'FR','BE') + 1000;             </t>
  </si>
  <si>
    <t>!! Project name: study Lonny-Achene-Gramme, Status: Under consideration</t>
  </si>
  <si>
    <t xml:space="preserve">XKFX(YYY,'BE','FR')$(YVALUE(YYY) GE 2030) = XKFX(YYY,'BE','FR') + 1000;             </t>
  </si>
  <si>
    <t>!! Source: https://tyndp.entsoe.eu/tyndp2018/projects/projects/225</t>
  </si>
  <si>
    <t xml:space="preserve">XKFX(YYY,'DE4-W','BE')$(YVALUE(YYY) GE 2028) = XKFX(YYY,'DE4-W','BE') + 1000;             </t>
  </si>
  <si>
    <t>!! Project name: 2nd interconnector Belgium - Germany,        Status: Under consideration</t>
  </si>
  <si>
    <t xml:space="preserve">XKFX(YYY,'BE','DE4-W')$(YVALUE(YYY) GE 2028) = XKFX(YYY,'BE','DE4-W') + 1000;             </t>
  </si>
  <si>
    <t>OPEX  [M€/Y]</t>
  </si>
  <si>
    <t>CAPEX [MEURO]</t>
  </si>
  <si>
    <t>* Other projects in TYNDP before 2035</t>
  </si>
  <si>
    <t>!! Source: https://www.montelnews.com/news/1254368/france-approves-route-of-22-gw-interconnector-with-spain</t>
  </si>
  <si>
    <t xml:space="preserve">XKFX(YYY,'ES','FR')$(YVALUE(YYY) GE 2027) = XKFX(YYY,'ES','FR') + 2200;             </t>
  </si>
  <si>
    <t xml:space="preserve">XKFX(YYY,'FR','ES')$(YVALUE(YYY) GE 2027) = XKFX(YYY,'FR','ES') + 2200;             </t>
  </si>
  <si>
    <t>!! Source: https://tyndp.entsoe.eu/tyndp2018/projects/projects/309</t>
  </si>
  <si>
    <t xml:space="preserve">XKFX(YYY,'UK','DE4-W')$(YVALUE(YYY) GE 2022) = XKFX(YYY,'UK','DE4-W') + 1400;             </t>
  </si>
  <si>
    <t>!! Project name: NeuConnect</t>
  </si>
  <si>
    <t xml:space="preserve">XKFX(YYY,'DE4-W','UK')$(YVALUE(YYY) GE 2022) = XKFX(YYY,'DE4-W','UK') + 1400;             </t>
  </si>
  <si>
    <t>!! Source: https://tyndp.entsoe.eu/Documents/TYNDP%20documents/TYNDP2018/consultation/Main%20Report/TYNDP18%20Exec%20Report%20appendix.pdf</t>
  </si>
  <si>
    <t xml:space="preserve">XKFX(YYY,'SE4','SE3')$(YVALUE(YYY) GE 2027) = XKFX(YYY,'SE4','SE3') + 400;             </t>
  </si>
  <si>
    <t>!! Difference between Reference 2020 and 2027</t>
  </si>
  <si>
    <t xml:space="preserve">XKFX(YYY,'SE3','SE4')$(YVALUE(YYY) GE 2027) = XKFX(YYY,'SE3','SE4') + 700;             </t>
  </si>
  <si>
    <t>!! Source: https://tyndp.entsoe.eu/Documents/TYNDP%20documents/TYNDP2018/consultation/Main%20Report/TYNDP18%20Exec%20Report%20appendix.pdf , https://tyndp.entsoe.eu/tyndp2018/projects/projects/170</t>
  </si>
  <si>
    <t xml:space="preserve">XKFX(YYY,'LT','PL')$(YVALUE(YYY) GE 2025) = XKFX(YYY,'LT','PL') + 500;             </t>
  </si>
  <si>
    <t>!! Project name: Baltics synchro with CE</t>
  </si>
  <si>
    <t xml:space="preserve">XKFX(YYY,'PL','LT')$(YVALUE(YYY) GE 2025) = XKFX(YYY,'PL','LT') + 500;             </t>
  </si>
  <si>
    <t>!! Source: https://tyndp.entsoe.eu/tyndp2018/projects/projects/190</t>
  </si>
  <si>
    <t xml:space="preserve">XKFX(YYY,'NO5','UK')$(YVALUE(YYY) GE 2022) = XKFX(YYY,'NO5','UK') + 1400;             </t>
  </si>
  <si>
    <t>!! Project name: NorthConnect</t>
  </si>
  <si>
    <t xml:space="preserve">XKFX(YYY,'UK','NO5')$(YVALUE(YYY) GE 2022) = XKFX(YYY,'UK','NO5') + 1400;             </t>
  </si>
  <si>
    <t>!! Source: https://tyndp.entsoe.eu/tyndp2018/projects/projects/110</t>
  </si>
  <si>
    <t xml:space="preserve">XKFX(YYY,'NO2','UK')$(YVALUE(YYY) GE 2021) = XKFX(YYY,'NO2','UK') + 1400;             </t>
  </si>
  <si>
    <t>!! Project name: North Sea Link</t>
  </si>
  <si>
    <t xml:space="preserve">XKFX(YYY,'UK','NO2')$(YVALUE(YYY) GE 2021) = XKFX(YYY,'UK','NO2') + 1400;             </t>
  </si>
  <si>
    <t>!! Source: https://tyndp.entsoe.eu/tyndp2018/projects/projects/285</t>
  </si>
  <si>
    <t xml:space="preserve">XKFX(YYY,'UK','FR')$(YVALUE(YYY) GE 2022) = XKFX(YYY,'UK','FR') + 1400;             </t>
  </si>
  <si>
    <t>!! Project name: GridLink</t>
  </si>
  <si>
    <t xml:space="preserve">XKFX(YYY,'FR','UK')$(YVALUE(YYY) GE 2022) = XKFX(YYY,'FR','UK') + 1400;             </t>
  </si>
  <si>
    <t>!! Source: https://tyndp.entsoe.eu/tyndp2018/projects/projects/153</t>
  </si>
  <si>
    <t>!! Project name: France-Alderney-Britain</t>
  </si>
  <si>
    <t>!! Source: https://tyndp.entsoe.eu/tyndp2018/projects/projects/25</t>
  </si>
  <si>
    <t xml:space="preserve">XKFX(YYY,'UK','FR')$(YVALUE(YYY) GE 2020) = XKFX(YYY,'UK','FR') + 1000;             </t>
  </si>
  <si>
    <t>!! Project name: IFA2</t>
  </si>
  <si>
    <t xml:space="preserve">XKFX(YYY,'FR','UK')$(YVALUE(YYY) GE 2020) = XKFX(YYY,'FR','UK') + 1000;             </t>
  </si>
  <si>
    <t>!! Source: https://tyndp.entsoe.eu/tyndp2018/projects/projects/172</t>
  </si>
  <si>
    <t xml:space="preserve">XKFX(YYY,'UK','FR')$(YVALUE(YYY) GE 2019) = XKFX(YYY,'UK','FR') + 1000;             </t>
  </si>
  <si>
    <t>!! Project name: ElecLink</t>
  </si>
  <si>
    <t xml:space="preserve">XKFX(YYY,'FR','UK')$(YVALUE(YYY) GE 2019) = XKFX(YYY,'FR','UK') + 1000;             </t>
  </si>
  <si>
    <t>!! Source: https://tyndp.entsoe.eu/tyndp2018/projects/projects/111</t>
  </si>
  <si>
    <t xml:space="preserve">XKFX(YYY,'FIN','SE1')$(YVALUE(YYY) GE 2025) = XKFX(YYY,'FIN','SE1') + 900;             </t>
  </si>
  <si>
    <t>!! Project name: 3rd AC Finland-Sweden north , NTC fitted to match numbers in tyndp 2027</t>
  </si>
  <si>
    <t xml:space="preserve">XKFX(YYY,'SE1','FIN')$(YVALUE(YYY) GE 2025) = XKFX(YYY,'SE1','FIN') + 500;             </t>
  </si>
  <si>
    <t>!! Source: https://tyndp.entsoe.eu/tyndp2018/projects/projects/62</t>
  </si>
  <si>
    <t xml:space="preserve">XKFX(YYY,'LV','EE')$(YVALUE(YYY) GE 2021) = XKFX(YYY,'LV','EE') + 500;             </t>
  </si>
  <si>
    <t>!! Project name: Estonia-Latvia 3rd IC , NTC fitted to match numbers in tyndp 2027</t>
  </si>
  <si>
    <t xml:space="preserve">XKFX(YYY,'EE','LV')$(YVALUE(YYY) GE 2021) = XKFX(YYY,'EE','LV') + 400;             </t>
  </si>
  <si>
    <t>!! Source: https://tyndp.entsoe.eu/tyndp2018/projects/projects/167</t>
  </si>
  <si>
    <t xml:space="preserve">XKFX(YYY,'UK','DK1')$(YVALUE(YYY) GE 2023) = XKFX(YYY,'UK','DK1') + 1400;             </t>
  </si>
  <si>
    <t>!! Project name: Viking DKW-GB</t>
  </si>
  <si>
    <t xml:space="preserve">XKFX(YYY,'DK1','UK')$(YVALUE(YYY) GE 2023) = XKFX(YYY,'DK1','UK') + 1400;             </t>
  </si>
  <si>
    <t>!! Source: https://tyndp.entsoe.eu/tyndp2018/projects/projects/176</t>
  </si>
  <si>
    <t xml:space="preserve">XKFX(YYY,'SE4','DE4-E')$(YVALUE(YYY) GE 2026) = XKFX(YYY,'SE4','DE4-E') + 700;             </t>
  </si>
  <si>
    <t>!! Project name: Hansa PowerBridge I</t>
  </si>
  <si>
    <t xml:space="preserve">XKFX(YYY,'DE4-E','SE4')$(YVALUE(YYY) GE 2026) = XKFX(YYY,'DE4-E','SE4') + 700;             </t>
  </si>
  <si>
    <t>!! Source: https://tyndp.entsoe.eu/tyndp2018/projects/projects/94</t>
  </si>
  <si>
    <t xml:space="preserve">XKFX(YYY,'PL','DE4-E')$(YVALUE(YYY) GE 2021) = XKFX(YYY,'PL','DE4-E') + 500;             </t>
  </si>
  <si>
    <t>!! Project name: GerPol Improvements</t>
  </si>
  <si>
    <t xml:space="preserve">XKFX(YYY,'DE4-E','PL')$(YVALUE(YYY) GE 2021) = XKFX(YYY,'DE4-E','PL') + 1500;             </t>
  </si>
  <si>
    <t xml:space="preserve">XKFX(YYY,'NL','DE4-W')$(YVALUE(YYY) GE 2027) = XKFX(YYY,'NL','DE4-W') + 750;             </t>
  </si>
  <si>
    <t xml:space="preserve">XKFX(YYY,'DE4-W','NL')$(YVALUE(YYY) GE 2027) = XKFX(YYY,'DE4-W','NL') + 750;             </t>
  </si>
  <si>
    <t xml:space="preserve">XKFX(YYY,'FR','DE4-S')$(YVALUE(YYY) GE 2027) = XKFX(YYY,'FR','DE4-S') + 1200;             </t>
  </si>
  <si>
    <t xml:space="preserve">XKFX(YYY,'DE4-S','FR')$(YVALUE(YYY) GE 2027) = XKFX(YYY,'DE4-S','FR') + 700;             </t>
  </si>
  <si>
    <t>!! Source: https://tyndp.entsoe.eu/tyndp2018/projects/projects/244</t>
  </si>
  <si>
    <t xml:space="preserve">XKFX(YYY,'FR','DE4-S')$(YVALUE(YYY) GE 2027) = XKFX(YYY,'FR','DE4-S') + 1500;             </t>
  </si>
  <si>
    <t>!! Project name: Vigy - Uchtelfangen area          Status: Planned but not yet permitting</t>
  </si>
  <si>
    <t xml:space="preserve">XKFX(YYY,'DE4-S','FR')$(YVALUE(YYY) GE 2027) = XKFX(YYY,'DE4-S','FR') + 1500;             </t>
  </si>
  <si>
    <t>!! Source: https://tyndp.entsoe.eu/tyndp2018/projects/projects/183</t>
  </si>
  <si>
    <t xml:space="preserve">XKFX(YYY,'DK1','DE4-N')$(YVALUE(YYY) GE 2023) = XKFX(YYY,'DK1','DE4-N') + 500;             </t>
  </si>
  <si>
    <t>!! Project name: DKW-DE, Westcoast          Status: In permitting</t>
  </si>
  <si>
    <t xml:space="preserve">XKFX(YYY,'DE4-N','DK1')$(YVALUE(YYY) GE 2023) = XKFX(YYY,'DE4-N','DK1') + 500;             </t>
  </si>
  <si>
    <t xml:space="preserve">XKFX(YYY,'NL','BE')$(YVALUE(YYY) GE 2022) = XKFX(YYY,'NL','BE') + 1000;             </t>
  </si>
  <si>
    <t>!! Source: https://tyndp.entsoe.eu/tyndp2018/projects/projects/262</t>
  </si>
  <si>
    <t>!! Project name: Zandvliet-Rilland          Status: Planned but not yet permitting</t>
  </si>
  <si>
    <t xml:space="preserve">XKFX(YYY,'BE','NL')$(YVALUE(YYY) GE 2022) = XKFX(YYY,'BE','NL') + 1000;             </t>
  </si>
  <si>
    <t>!! Source: https://tyndp.entsoe.eu/tyndp2018/projects/projects/23</t>
  </si>
  <si>
    <t xml:space="preserve">XKFX(YYY,'FR','BE')$(YVALUE(YYY) GE 2021) = XKFX(YYY,'FR','BE') + 1000;             </t>
  </si>
  <si>
    <t>!! Project name: Avelin/Mastaing-Avelgem-Horta HTLS AC</t>
  </si>
  <si>
    <t xml:space="preserve">XKFX(YYY,'BE','FR')$(YVALUE(YYY) GE 2021) = XKFX(YYY,'BE','FR') + 1000;             </t>
  </si>
  <si>
    <t>* Upgrades in CBA reference 2027</t>
  </si>
  <si>
    <t>!! Source: https://tyndp.entsoe.eu/Documents/TYNDP%20documents/TYNDP2018/consultation/Main%20Report/TYNDP18%20Exec%20Report%20appendix.pdf , https://www.nordpoolgroup.com/globalassets/download-center/tso/max-ntc.pdf</t>
  </si>
  <si>
    <t xml:space="preserve">XKFX(YYY,'SE4','SE3')$(YVALUE(YYY) GE 2020) = XKFX(YYY,'SE4','SE3') + 1200;             </t>
  </si>
  <si>
    <t>!! Difference between Nordpool spot NTC and TYNDP NTC 2020</t>
  </si>
  <si>
    <t xml:space="preserve">XKFX(YYY,'SE3','SE4')$(YVALUE(YYY) GE 2020) = XKFX(YYY,'SE3','SE4') + 1200;             </t>
  </si>
  <si>
    <t xml:space="preserve">XKFX(YYY,'SE3','SE2')$(YVALUE(YYY) GE 2020) = XKFX(YYY,'SE3','SE2') + 500;             </t>
  </si>
  <si>
    <t xml:space="preserve">XKFX(YYY,'SE2','SE3')$(YVALUE(YYY) GE 2020) = XKFX(YYY,'SE2','SE3') + 500;             </t>
  </si>
  <si>
    <t>!! Source: https://www.nordpoolgroup.com/globalassets/download-center/tso/max-ntc.pdf</t>
  </si>
  <si>
    <t xml:space="preserve">XKFX(YYY,'NO5','NO3')$(YVALUE(YYY) GE 2020) = XKFX(YYY,'NO5','NO3') + 700;             </t>
  </si>
  <si>
    <t xml:space="preserve">XKFX(YYY,'NO3','NO5')$(YVALUE(YYY) GE 2020) = XKFX(YYY,'NO3','NO5') + 700;             </t>
  </si>
  <si>
    <t xml:space="preserve">XKFX(YYY,'NO4','NO3')$(YVALUE(YYY) GE 2017) = XKFX(YYY,'NO4','NO3') + 200;             </t>
  </si>
  <si>
    <t xml:space="preserve">XKFX(YYY,'NO3','NO4')$(YVALUE(YYY) GE 2018) = XKFX(YYY,'NO3','NO4') + 200;             </t>
  </si>
  <si>
    <t>!! Uncertain NTC effect</t>
  </si>
  <si>
    <t xml:space="preserve">XKFX(YYY,'NO5','NO2')$(YVALUE(YYY) GE 2020) = XKFX(YYY,'NO5','NO2') + 1000;             </t>
  </si>
  <si>
    <t>!! Project name: Vestre korridor</t>
  </si>
  <si>
    <t xml:space="preserve">XKFX(YYY,'NO2','NO5')$(YVALUE(YYY) GE 2020) = XKFX(YYY,'NO2','NO5') + 1000;             </t>
  </si>
  <si>
    <t xml:space="preserve">XKFX(YYY,'NO1','NO5')$(YVALUE(YYY) GE 2017) = XKFX(YYY,'NO1','NO5') + 300;             </t>
  </si>
  <si>
    <t xml:space="preserve">XKFX(YYY,'LV','LT')$(YVALUE(YYY) GE 2020) = XKFX(YYY,'LV','LT') + 266;             </t>
  </si>
  <si>
    <t xml:space="preserve">XKFX(YYY,'LT','LV')$(YVALUE(YYY) GE 2020) = XKFX(YYY,'LT','LV') + 516;             </t>
  </si>
  <si>
    <t>!! Source: https://tyndp.entsoe.eu/tyndp2018/projects/projects/71</t>
  </si>
  <si>
    <t xml:space="preserve">XKFX(YYY,'NL','DK1')$(YVALUE(YYY) GE 2019) = XKFX(YYY,'NL','DK1') + 700;             </t>
  </si>
  <si>
    <t>!! Project name: COBRA cable VSC DC</t>
  </si>
  <si>
    <t xml:space="preserve">XKFX(YYY,'DK1','NL')$(YVALUE(YYY) GE 2019) = XKFX(YYY,'DK1','NL') + 700;             </t>
  </si>
  <si>
    <t>!! Source: https://tyndp.entsoe.eu/tyndp2018/projects/projects/39</t>
  </si>
  <si>
    <t xml:space="preserve">XKFX(YYY,'DK1','DE4-N')$(YVALUE(YYY) GE 2020) = XKFX(YYY,'DK1','DE4-N') + 740;             </t>
  </si>
  <si>
    <t>!! Project name: DKW-DE, step 3</t>
  </si>
  <si>
    <t xml:space="preserve">XKFX(YYY,'DE4-N','DK1')$(YVALUE(YYY) GE 2020) = XKFX(YYY,'DE4-N','DK1') + 1000;             </t>
  </si>
  <si>
    <t>!! Source: https://tyndp.entsoe.eu/tyndp2018/projects/projects/37</t>
  </si>
  <si>
    <t xml:space="preserve">XKFX(YYY,'NO2','DE4-N')$(YVALUE(YYY) GE 2020) = XKFX(YYY,'NO2','DE4-N') + 1400;             </t>
  </si>
  <si>
    <t>!! Project name: Nordlink</t>
  </si>
  <si>
    <t xml:space="preserve">XKFX(YYY,'DE4-N','NO2')$(YVALUE(YYY) GE 2020) = XKFX(YYY,'DE4-N','NO2') + 1400;             </t>
  </si>
  <si>
    <t>!! Source: https://tyndp.entsoe.eu/tyndp2018/projects/projects/245 , https://tyndp.entsoe.eu/tyndp2018/projects/projects/113 , https://tyndp.entsoe.eu/Documents/TYNDP%20documents/TYNDP2018/consultation/Main%20Report/TYNDP18%20Exec%20Report%20appendix.pdf</t>
  </si>
  <si>
    <t xml:space="preserve">XKFX(YYY,'NL','DE4-W')$(YVALUE(YYY) GE 2018) = XKFX(YYY,'NL','DE4-W') + 1150;             </t>
  </si>
  <si>
    <t>!! Project name: Meeden Diele &amp; Niederrhein Doetinchem</t>
  </si>
  <si>
    <t xml:space="preserve">XKFX(YYY,'DE4-W','NL')$(YVALUE(YYY) GE 2018) = XKFX(YYY,'DE4-W','NL') + 350;             </t>
  </si>
  <si>
    <t>!! Source: https://tyndp.entsoe.eu/tyndp2018/projects/projects/36</t>
  </si>
  <si>
    <t xml:space="preserve">XKFX(YYY,'DK2','DE4-E')$(YVALUE(YYY) GE 2019) = XKFX(YYY,'DK2','DE4-E') + 400;             </t>
  </si>
  <si>
    <t xml:space="preserve">!! Project name: Kriegers Flak CGS </t>
  </si>
  <si>
    <t xml:space="preserve">XKFX(YYY,'DE4-E','DK2')$(YVALUE(YYY) GE 2019) = XKFX(YYY,'DE4-E','DK2') + 400;             </t>
  </si>
  <si>
    <t>!! Source: https://tyndp.entsoe.eu/tyndp2018/projects/projects/74</t>
  </si>
  <si>
    <t xml:space="preserve">XKFX(YYY,'UK','BE')$(YVALUE(YYY) GE 2019) = XKFX(YYY,'UK','BE') + 1000;             </t>
  </si>
  <si>
    <t>!! Project name: NEMO Link HVDC</t>
  </si>
  <si>
    <t xml:space="preserve">XKFX(YYY,'BE','UK')$(YVALUE(YYY) GE 2019) = XKFX(YYY,'BE','UK') + 1000;             </t>
  </si>
  <si>
    <t>!! Source: https://tyndp.entsoe.eu/tyndp2018/projects/projects/92</t>
  </si>
  <si>
    <t xml:space="preserve">XKFX(YYY,'DE4-W','BE')$(YVALUE(YYY) GE 2020) = XKFX(YYY,'DE4-W','BE') + 1000;             </t>
  </si>
  <si>
    <t>!! Project name: ALEGrO 100 km HVDC</t>
  </si>
  <si>
    <t>XKFX(YYY,'BE','DE4-W')$(YVALUE(YYY) GE 2020) = XKFX(YYY,'BE','DE4-W') + 1000;</t>
  </si>
  <si>
    <t>* Upgrades before 2020</t>
  </si>
  <si>
    <t>XKFX(YYY,IRRRE,IRRRI)$(YYY.VAL GT 2016) = XKFX('2016',IRRRE,IRRRI);</t>
  </si>
  <si>
    <t>PT</t>
  </si>
  <si>
    <t>ES</t>
  </si>
  <si>
    <t>CZ</t>
  </si>
  <si>
    <t>AT</t>
  </si>
  <si>
    <t>CH</t>
  </si>
  <si>
    <t>IT</t>
  </si>
  <si>
    <t>SE4</t>
  </si>
  <si>
    <t>SE3</t>
  </si>
  <si>
    <t>SE2</t>
  </si>
  <si>
    <t>SE1</t>
  </si>
  <si>
    <t>PL</t>
  </si>
  <si>
    <t>NO5</t>
  </si>
  <si>
    <t>NO4</t>
  </si>
  <si>
    <t>NO3</t>
  </si>
  <si>
    <t>NO1</t>
  </si>
  <si>
    <t>NL</t>
  </si>
  <si>
    <t>LV</t>
  </si>
  <si>
    <t>LT</t>
  </si>
  <si>
    <t>UK</t>
  </si>
  <si>
    <t>FR</t>
  </si>
  <si>
    <t>FIN</t>
  </si>
  <si>
    <t>EE</t>
  </si>
  <si>
    <t>DK2</t>
  </si>
  <si>
    <t>DK1</t>
  </si>
  <si>
    <t>DE4-S</t>
  </si>
  <si>
    <t>DE4-E</t>
  </si>
  <si>
    <t>DE4-W</t>
  </si>
  <si>
    <t>DE4-N</t>
  </si>
  <si>
    <t>BE</t>
  </si>
  <si>
    <t>TABLE XKFX(YYY,IRRRE,IRRRI)  'Initial transmission capacity between regions'</t>
  </si>
  <si>
    <t>* Germany separated in four regions according to the major bottlenecks (Frauke 6.2.18)</t>
  </si>
  <si>
    <t>* Last update: 09.04.2019, Gustav</t>
  </si>
  <si>
    <t>* Capacities beyond 2016 are based on ENTSO-E TYNDP 2018</t>
  </si>
  <si>
    <t>* Capacities for 2016 are based on Nordpool NTC map, Nordic ETP and ENTSO-e TYNDP 2018.</t>
  </si>
  <si>
    <t xml:space="preserve">* data sources nordic countries: http://nordpoolspot.com/globalassets/download-center/tso/max_ntc_-valid-from-3-july-2014.pdf </t>
  </si>
  <si>
    <t>* the transmisison line, but at most (XCAPINIT*XLOSS) MW may be extracted.</t>
  </si>
  <si>
    <t>* Thus, if there is a loss, a maximum of XCAPINIT MW may be sent into</t>
  </si>
  <si>
    <t>* disregarding an eventual loss (see the table XLOSS).</t>
  </si>
  <si>
    <t>* The electrical transmission capacity is the capacity</t>
  </si>
  <si>
    <t>* Units: MW.</t>
  </si>
  <si>
    <t>* between pairs of regions.</t>
  </si>
  <si>
    <t>* PARAMETER XKFX contains the intital electrical transmission capacities</t>
  </si>
  <si>
    <t>Import technology - Electricity to DE3 West</t>
  </si>
  <si>
    <t>Import technology - Electricity to DE5 East</t>
  </si>
  <si>
    <t>Import technology - Electricity to DE4 South</t>
  </si>
  <si>
    <t xml:space="preserve">Import technology - Electricity to DE2 North </t>
  </si>
  <si>
    <t>Import technology - Electricity to DE3 East</t>
  </si>
  <si>
    <t>Export technology - Electricity to Holland</t>
  </si>
  <si>
    <t>Export technology - Electricity to France</t>
  </si>
  <si>
    <t>Export technology - Electricity to Switzerland</t>
  </si>
  <si>
    <t>Export technology - Electricity to Austria</t>
  </si>
  <si>
    <t>Export technology - Electricity to Czech</t>
  </si>
  <si>
    <t>Export technology - Electricity to Poland</t>
  </si>
  <si>
    <t>IMPELC-NLDE3</t>
  </si>
  <si>
    <t>IMPELC-FRDE4</t>
  </si>
  <si>
    <t>IMPELC-CHDE4</t>
  </si>
  <si>
    <t>IMPELC-ATDE4</t>
  </si>
  <si>
    <t>IMPELC-CZDE4</t>
  </si>
  <si>
    <t>IMPELC-DK2DE5</t>
  </si>
  <si>
    <t>IMPELC-PLDE5</t>
  </si>
  <si>
    <t>IMPELC-CZDE5</t>
  </si>
  <si>
    <t>EXPELC-NLDE3</t>
  </si>
  <si>
    <t>EXPELC-FRDE4</t>
  </si>
  <si>
    <t>EXPELC-CHDE4</t>
  </si>
  <si>
    <t>EXPELC-ATDE4</t>
  </si>
  <si>
    <t>EXPELC-CZDE4</t>
  </si>
  <si>
    <t>EXPELC-DK2DE5</t>
  </si>
  <si>
    <t>EXPELC-PLDE5</t>
  </si>
  <si>
    <t>EXPELC-CZDE5</t>
  </si>
  <si>
    <t>IMPELC-BEDE3</t>
  </si>
  <si>
    <t>IMPELC-NODE2</t>
  </si>
  <si>
    <t>IMPELC-DK1DE2</t>
  </si>
  <si>
    <t>EXPELC-BEDE3</t>
  </si>
  <si>
    <t>EXPELC-NODE2</t>
  </si>
  <si>
    <t>EXPELC-DK1DE2</t>
  </si>
  <si>
    <t>Export technology - Electricity to Denmark2</t>
  </si>
  <si>
    <t>IMPELC-SE4DE2</t>
  </si>
  <si>
    <t>EXPELC-SE4DE2</t>
  </si>
  <si>
    <t>Export technology - Electricity to Denmark1</t>
  </si>
  <si>
    <t>Export technology - Electricity to Sweden4</t>
  </si>
  <si>
    <t>EXPELC-SE4DE5</t>
  </si>
  <si>
    <t>IMPELC-SE4DE5</t>
  </si>
  <si>
    <t>IMPELC-UKDE3</t>
  </si>
  <si>
    <t>EXPELC-UKDE3</t>
  </si>
  <si>
    <t>Export technology - Electricity to Belgium</t>
  </si>
  <si>
    <t>Export technology - Electricity to Norway</t>
  </si>
  <si>
    <t xml:space="preserve">Export technology - Electricity to Denmark2 </t>
  </si>
  <si>
    <t>Export technology - Electricity to United Kingdom</t>
  </si>
  <si>
    <t>Power transmission line high voltage</t>
  </si>
  <si>
    <t>STOCK~DE1</t>
  </si>
  <si>
    <t>STOCK~DE2</t>
  </si>
  <si>
    <t>STOCK~DE3</t>
  </si>
  <si>
    <t>STOCK~DE1~2020</t>
  </si>
  <si>
    <t>STOCK~DE2~2020</t>
  </si>
  <si>
    <t>STOCK~DE3~2020</t>
  </si>
  <si>
    <t>STOCK~DE1~2070</t>
  </si>
  <si>
    <t>STOCK~DE2~2070</t>
  </si>
  <si>
    <t>STOCK~DE3~2070</t>
  </si>
  <si>
    <t>Import technology - Electricity to DE3 North</t>
  </si>
  <si>
    <t>FT-GRDELCHIGH</t>
  </si>
  <si>
    <t>STOCK~DE4</t>
  </si>
  <si>
    <t>STOCK~DE5</t>
  </si>
  <si>
    <t>STOCK~DE4~2020</t>
  </si>
  <si>
    <t>STOCK~DE5~2020</t>
  </si>
  <si>
    <t>STOCK~DE4~2070</t>
  </si>
  <si>
    <t>STOCK~DE5~2070</t>
  </si>
  <si>
    <t>ACTBND~UP~DE4</t>
  </si>
  <si>
    <t>ACTBND~UP~2015~DE4</t>
  </si>
  <si>
    <t>ACTBND~UP~2020~DE4</t>
  </si>
  <si>
    <t>ACTBND~UP~0~DE4</t>
  </si>
  <si>
    <t>ACTBND~UP~DE5</t>
  </si>
  <si>
    <t>ACTBND~UP~2015~DE5</t>
  </si>
  <si>
    <t>ACTBND~UP~2020~DE5</t>
  </si>
  <si>
    <t>ACTBND~UP~0~DE5</t>
  </si>
</sst>
</file>

<file path=xl/styles.xml><?xml version="1.0" encoding="utf-8"?>
<styleSheet xmlns="http://schemas.openxmlformats.org/spreadsheetml/2006/main" xmlns:mc="http://schemas.openxmlformats.org/markup-compatibility/2006" xmlns:x14ac="http://schemas.microsoft.com/office/spreadsheetml/2009/9/ac" mc:Ignorable="x14ac">
  <numFmts count="36">
    <numFmt numFmtId="43" formatCode="_ * #,##0.00_ ;_ * \-#,##0.00_ ;_ * &quot;-&quot;??_ ;_ @_ "/>
    <numFmt numFmtId="164" formatCode="_-* #,##0_-;\-* #,##0_-;_-* &quot;-&quot;_-;_-@_-"/>
    <numFmt numFmtId="165" formatCode="_-* #,##0.00_-;\-* #,##0.00_-;_-* &quot;-&quot;??_-;_-@_-"/>
    <numFmt numFmtId="166" formatCode="_(* #,##0.00_);_(* \(#,##0.00\);_(* &quot;-&quot;??_);_(@_)"/>
    <numFmt numFmtId="167" formatCode="_-&quot;€&quot;\ * #,##0.00_-;\-&quot;€&quot;\ * #,##0.00_-;_-&quot;€&quot;\ * &quot;-&quot;??_-;_-@_-"/>
    <numFmt numFmtId="168" formatCode="#,##0;\-\ #,##0;_-\ &quot;- &quot;"/>
    <numFmt numFmtId="169" formatCode="_-[$€-2]\ * #,##0.00_-;\-[$€-2]\ * #,##0.00_-;_-[$€-2]\ * &quot;-&quot;??_-"/>
    <numFmt numFmtId="170" formatCode="0.000"/>
    <numFmt numFmtId="171" formatCode="0.0"/>
    <numFmt numFmtId="172" formatCode="\Te\x\t"/>
    <numFmt numFmtId="173" formatCode="_([$€]* #,##0.00_);_([$€]* \(#,##0.00\);_([$€]* &quot;-&quot;??_);_(@_)"/>
    <numFmt numFmtId="174" formatCode="#,##0.0"/>
    <numFmt numFmtId="175" formatCode="_ * #,##0.0_ ;_ * \-#,##0.0_ ;_ * &quot;-&quot;??_ ;_ @_ "/>
    <numFmt numFmtId="176" formatCode="_(* #,##0_);_(* \(#,##0\);_(* &quot;-&quot;??_);_(@_)"/>
    <numFmt numFmtId="177" formatCode="0.0%"/>
    <numFmt numFmtId="178" formatCode="_-[$€-2]* #,##0.00_-;\-[$€-2]* #,##0.00_-;_-[$€-2]* &quot;-&quot;??_-"/>
    <numFmt numFmtId="179" formatCode="0_ ;\-0\ "/>
    <numFmt numFmtId="180" formatCode="0.0_ ;\-0.0\ "/>
    <numFmt numFmtId="181" formatCode="0.000_ ;\-0.000\ "/>
    <numFmt numFmtId="182" formatCode="0.00_ ;\-0.00\ "/>
    <numFmt numFmtId="183" formatCode="0.0000_ ;\-0.0000\ "/>
    <numFmt numFmtId="184" formatCode="0.00000_ ;\-0.00000\ "/>
    <numFmt numFmtId="185" formatCode="0.000000_ ;\-0.000000\ "/>
    <numFmt numFmtId="186" formatCode="#,##0;#\ ##0"/>
    <numFmt numFmtId="187" formatCode="0.0;\-0.0;0"/>
    <numFmt numFmtId="188" formatCode="#,##0;\-#,##0;&quot;&quot;"/>
    <numFmt numFmtId="189" formatCode="0.0000"/>
    <numFmt numFmtId="190" formatCode="#,##0.0000"/>
    <numFmt numFmtId="191" formatCode="_-* #,##0.000_-;\-* #,##0.000_-;_-* &quot;-&quot;??_-;_-@_-"/>
    <numFmt numFmtId="192" formatCode="0.0\ %"/>
    <numFmt numFmtId="193" formatCode="#,##0.000"/>
    <numFmt numFmtId="194" formatCode="0.0000000000000%"/>
    <numFmt numFmtId="195" formatCode="0.00000"/>
    <numFmt numFmtId="196" formatCode="0.000000"/>
    <numFmt numFmtId="197" formatCode="0.00%;\-0.00%;&quot;–&quot;;@"/>
    <numFmt numFmtId="198" formatCode="_-* #,##0.00_-;\-* #,##0.00_-;_-* \-??_-;_-@_-"/>
  </numFmts>
  <fonts count="19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color indexed="12"/>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8"/>
      <name val="Arial"/>
      <family val="2"/>
    </font>
    <font>
      <sz val="10"/>
      <name val="Calibri"/>
      <family val="2"/>
    </font>
    <font>
      <sz val="8"/>
      <name val="Calibri"/>
      <family val="2"/>
    </font>
    <font>
      <sz val="9"/>
      <color indexed="81"/>
      <name val="Tahoma"/>
      <family val="2"/>
    </font>
    <font>
      <b/>
      <sz val="9"/>
      <color indexed="81"/>
      <name val="Tahoma"/>
      <family val="2"/>
    </font>
    <font>
      <sz val="10"/>
      <name val="Helv"/>
    </font>
    <font>
      <sz val="11"/>
      <name val="Calibri"/>
      <family val="2"/>
    </font>
    <font>
      <sz val="10"/>
      <name val="Arial"/>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b/>
      <sz val="10"/>
      <name val="Arial"/>
      <family val="2"/>
    </font>
    <font>
      <sz val="9"/>
      <name val="Calibri"/>
      <family val="2"/>
    </font>
    <font>
      <sz val="7"/>
      <name val="Calibri"/>
      <family val="2"/>
    </font>
    <font>
      <sz val="11"/>
      <color indexed="8"/>
      <name val="Calibri"/>
      <family val="2"/>
    </font>
    <font>
      <b/>
      <sz val="11"/>
      <color indexed="8"/>
      <name val="Calibri"/>
      <family val="2"/>
    </font>
    <font>
      <sz val="11"/>
      <color indexed="62"/>
      <name val="Calibri"/>
      <family val="2"/>
    </font>
    <font>
      <b/>
      <sz val="10"/>
      <color indexed="62"/>
      <name val="Calibri"/>
      <family val="2"/>
    </font>
    <font>
      <sz val="10"/>
      <color indexed="62"/>
      <name val="Calibri"/>
      <family val="2"/>
    </font>
    <font>
      <b/>
      <sz val="12"/>
      <color indexed="62"/>
      <name val="Calibri"/>
      <family val="2"/>
    </font>
    <font>
      <b/>
      <sz val="11"/>
      <color indexed="62"/>
      <name val="Calibri"/>
      <family val="2"/>
    </font>
    <font>
      <b/>
      <sz val="10"/>
      <color indexed="10"/>
      <name val="Arial"/>
      <family val="2"/>
    </font>
    <font>
      <b/>
      <sz val="12"/>
      <color indexed="62"/>
      <name val="Calibri"/>
      <family val="2"/>
    </font>
    <font>
      <b/>
      <sz val="11"/>
      <color indexed="12"/>
      <name val="Calibri"/>
      <family val="2"/>
    </font>
    <font>
      <sz val="10"/>
      <color indexed="8"/>
      <name val="Calibri"/>
      <family val="2"/>
    </font>
    <font>
      <sz val="9"/>
      <name val="Geneva"/>
      <family val="2"/>
    </font>
    <font>
      <sz val="10"/>
      <name val="Arial"/>
      <family val="2"/>
    </font>
    <font>
      <i/>
      <sz val="10"/>
      <name val="Calibri"/>
      <family val="2"/>
    </font>
    <font>
      <b/>
      <sz val="11"/>
      <name val="Calibri"/>
      <family val="2"/>
    </font>
    <font>
      <u/>
      <sz val="8"/>
      <color indexed="12"/>
      <name val="Arial"/>
      <family val="2"/>
    </font>
    <font>
      <sz val="10"/>
      <name val="Arial"/>
      <family val="2"/>
    </font>
    <font>
      <sz val="11"/>
      <color theme="1"/>
      <name val="Calibri"/>
      <family val="2"/>
      <scheme val="minor"/>
    </font>
    <font>
      <sz val="10"/>
      <color rgb="FF9C0006"/>
      <name val="Calibri"/>
      <family val="2"/>
    </font>
    <font>
      <sz val="10"/>
      <color rgb="FF0000FF"/>
      <name val="Calibri"/>
      <family val="2"/>
    </font>
    <font>
      <b/>
      <sz val="11"/>
      <color rgb="FFFA7D00"/>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sz val="10"/>
      <color rgb="FF00B050"/>
      <name val="Calibri"/>
      <family val="2"/>
    </font>
    <font>
      <sz val="11"/>
      <color theme="1"/>
      <name val="Calibri"/>
      <family val="2"/>
    </font>
    <font>
      <sz val="10"/>
      <color theme="1"/>
      <name val="Calibri"/>
      <family val="2"/>
    </font>
    <font>
      <b/>
      <sz val="11"/>
      <color rgb="FF3F3F3F"/>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1"/>
      <color theme="1"/>
      <name val="Calibri"/>
      <family val="2"/>
      <scheme val="minor"/>
    </font>
    <font>
      <sz val="10"/>
      <color rgb="FFFF0000"/>
      <name val="Calibri"/>
      <family val="2"/>
    </font>
    <font>
      <sz val="10"/>
      <name val="Calibri"/>
      <family val="2"/>
      <scheme val="minor"/>
    </font>
    <font>
      <b/>
      <sz val="16"/>
      <color theme="0"/>
      <name val="Calibri"/>
      <family val="2"/>
    </font>
    <font>
      <b/>
      <sz val="10"/>
      <name val="Calibri"/>
      <family val="2"/>
      <scheme val="minor"/>
    </font>
    <font>
      <sz val="8"/>
      <name val="Calibri"/>
      <family val="2"/>
      <scheme val="minor"/>
    </font>
    <font>
      <b/>
      <sz val="11"/>
      <name val="Calibri"/>
      <family val="2"/>
      <scheme val="minor"/>
    </font>
    <font>
      <sz val="10"/>
      <color rgb="FF0000FF"/>
      <name val="Calibri"/>
      <family val="2"/>
      <scheme val="minor"/>
    </font>
    <font>
      <sz val="10"/>
      <color indexed="17"/>
      <name val="Calibri"/>
      <family val="2"/>
      <scheme val="minor"/>
    </font>
    <font>
      <sz val="10"/>
      <color rgb="FF00B050"/>
      <name val="Calibri"/>
      <family val="2"/>
      <scheme val="minor"/>
    </font>
    <font>
      <sz val="10"/>
      <color rgb="FF9C0006"/>
      <name val="Calibri"/>
      <family val="2"/>
      <scheme val="minor"/>
    </font>
    <font>
      <sz val="10"/>
      <color rgb="FFFF0000"/>
      <name val="Calibri"/>
      <family val="2"/>
      <scheme val="minor"/>
    </font>
    <font>
      <sz val="11"/>
      <name val="Calibri"/>
      <family val="2"/>
      <scheme val="minor"/>
    </font>
    <font>
      <sz val="9"/>
      <name val="Geneva"/>
      <family val="2"/>
    </font>
    <font>
      <i/>
      <sz val="11"/>
      <color theme="1"/>
      <name val="Calibri"/>
      <family val="2"/>
      <scheme val="minor"/>
    </font>
    <font>
      <b/>
      <sz val="18"/>
      <color theme="3"/>
      <name val="Cambria"/>
      <family val="2"/>
      <scheme val="maj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Arial"/>
      <family val="2"/>
    </font>
    <font>
      <sz val="8"/>
      <color indexed="8"/>
      <name val="Arial"/>
      <family val="2"/>
    </font>
    <font>
      <sz val="10"/>
      <name val="Times New Roman"/>
      <family val="1"/>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u/>
      <sz val="10"/>
      <color indexed="12"/>
      <name val="Arial"/>
      <family val="2"/>
    </font>
    <font>
      <sz val="18"/>
      <color theme="3"/>
      <name val="Cambria"/>
      <family val="2"/>
      <scheme val="major"/>
    </font>
    <font>
      <b/>
      <sz val="7"/>
      <color indexed="45"/>
      <name val="Arial"/>
      <family val="2"/>
    </font>
    <font>
      <sz val="7"/>
      <color indexed="45"/>
      <name val="Arial"/>
      <family val="2"/>
    </font>
    <font>
      <u/>
      <sz val="10"/>
      <color theme="10"/>
      <name val="Arial"/>
      <family val="2"/>
    </font>
    <font>
      <b/>
      <sz val="14"/>
      <color rgb="FFFF0000"/>
      <name val="Calibri"/>
      <family val="2"/>
      <scheme val="minor"/>
    </font>
    <font>
      <sz val="9"/>
      <name val="Geneva"/>
    </font>
    <font>
      <sz val="10"/>
      <color theme="1"/>
      <name val="Calibri"/>
      <family val="2"/>
      <scheme val="minor"/>
    </font>
    <font>
      <sz val="10"/>
      <color indexed="9"/>
      <name val="Calibri"/>
      <family val="2"/>
      <scheme val="minor"/>
    </font>
    <font>
      <sz val="10"/>
      <color indexed="10"/>
      <name val="Calibri"/>
      <family val="2"/>
    </font>
    <font>
      <sz val="10"/>
      <color rgb="FFFF0000"/>
      <name val="Arial"/>
      <family val="2"/>
    </font>
    <font>
      <sz val="8"/>
      <name val="Arial"/>
      <family val="2"/>
    </font>
    <font>
      <b/>
      <sz val="11"/>
      <color rgb="FFFF0000"/>
      <name val="Calibri"/>
      <family val="2"/>
      <scheme val="minor"/>
    </font>
    <font>
      <b/>
      <sz val="15"/>
      <name val="Calibri"/>
      <family val="2"/>
      <scheme val="minor"/>
    </font>
    <font>
      <b/>
      <sz val="9"/>
      <color theme="1"/>
      <name val="Calibri"/>
      <family val="2"/>
      <scheme val="minor"/>
    </font>
    <font>
      <sz val="9"/>
      <color theme="1"/>
      <name val="Calibri"/>
      <family val="2"/>
      <scheme val="minor"/>
    </font>
    <font>
      <sz val="11"/>
      <color rgb="FF00B050"/>
      <name val="Calibri"/>
      <family val="2"/>
      <scheme val="minor"/>
    </font>
    <font>
      <sz val="10"/>
      <color rgb="FF00B050"/>
      <name val="Arial"/>
      <family val="2"/>
    </font>
    <font>
      <b/>
      <sz val="11"/>
      <color rgb="FF00B050"/>
      <name val="Calibri"/>
      <family val="2"/>
      <scheme val="minor"/>
    </font>
    <font>
      <sz val="11"/>
      <color rgb="FF0070C0"/>
      <name val="Calibri"/>
      <family val="2"/>
      <scheme val="minor"/>
    </font>
    <font>
      <sz val="16"/>
      <name val="Arial"/>
      <family val="2"/>
    </font>
    <font>
      <b/>
      <vertAlign val="subscript"/>
      <sz val="15"/>
      <name val="Calibri"/>
      <family val="2"/>
      <scheme val="minor"/>
    </font>
    <font>
      <vertAlign val="subscript"/>
      <sz val="10"/>
      <color theme="1"/>
      <name val="Calibri"/>
      <family val="2"/>
      <scheme val="minor"/>
    </font>
    <font>
      <sz val="10"/>
      <color rgb="FF0070C0"/>
      <name val="Arial"/>
      <family val="2"/>
    </font>
    <font>
      <sz val="11"/>
      <color theme="1"/>
      <name val="Calibri"/>
      <family val="2"/>
      <charset val="186"/>
      <scheme val="minor"/>
    </font>
    <font>
      <sz val="9"/>
      <name val="Helvetica"/>
      <family val="2"/>
    </font>
    <font>
      <sz val="11"/>
      <color rgb="FF000000"/>
      <name val="Calibri"/>
      <family val="2"/>
    </font>
    <font>
      <b/>
      <sz val="11"/>
      <name val="Arial"/>
      <family val="2"/>
    </font>
    <font>
      <b/>
      <sz val="11"/>
      <color rgb="FF000000"/>
      <name val="Calibri"/>
      <family val="2"/>
    </font>
    <font>
      <b/>
      <sz val="14"/>
      <color rgb="FF000000"/>
      <name val="Calibri"/>
      <family val="2"/>
    </font>
    <font>
      <sz val="6"/>
      <color indexed="8"/>
      <name val="Arial"/>
      <family val="2"/>
    </font>
    <font>
      <b/>
      <sz val="8"/>
      <color indexed="8"/>
      <name val="Arial"/>
      <family val="2"/>
    </font>
    <font>
      <i/>
      <sz val="8"/>
      <color indexed="8"/>
      <name val="Arial"/>
      <family val="2"/>
    </font>
    <font>
      <i/>
      <sz val="6"/>
      <color indexed="8"/>
      <name val="Arial"/>
      <family val="2"/>
    </font>
    <font>
      <b/>
      <i/>
      <sz val="8"/>
      <color indexed="8"/>
      <name val="Arial"/>
      <family val="2"/>
    </font>
    <font>
      <b/>
      <sz val="11"/>
      <color indexed="8"/>
      <name val="Arial"/>
      <family val="2"/>
    </font>
    <font>
      <b/>
      <sz val="15"/>
      <color rgb="FF000000"/>
      <name val="Calibri"/>
      <family val="2"/>
    </font>
    <font>
      <sz val="10"/>
      <color rgb="FF666666"/>
      <name val="Arial"/>
      <family val="2"/>
    </font>
    <font>
      <sz val="9"/>
      <name val="Calibri"/>
      <family val="2"/>
      <scheme val="minor"/>
    </font>
    <font>
      <sz val="10"/>
      <color indexed="10"/>
      <name val="Arial"/>
      <family val="2"/>
    </font>
    <font>
      <sz val="11"/>
      <color indexed="30"/>
      <name val="Calibri"/>
      <family val="2"/>
    </font>
    <font>
      <sz val="11"/>
      <color indexed="16"/>
      <name val="Calibri"/>
      <family val="2"/>
    </font>
    <font>
      <sz val="11"/>
      <color indexed="23"/>
      <name val="Calibri"/>
      <family val="2"/>
    </font>
    <font>
      <sz val="11"/>
      <color indexed="57"/>
      <name val="Calibri"/>
      <family val="2"/>
    </font>
    <font>
      <sz val="11"/>
      <color indexed="19"/>
      <name val="Calibri"/>
      <family val="2"/>
    </font>
    <font>
      <sz val="11"/>
      <color indexed="63"/>
      <name val="Calibri"/>
      <family val="2"/>
    </font>
    <font>
      <sz val="11"/>
      <color indexed="29"/>
      <name val="Calibri"/>
      <family val="2"/>
    </font>
    <font>
      <sz val="11"/>
      <color indexed="28"/>
      <name val="Calibri"/>
      <family val="2"/>
    </font>
    <font>
      <sz val="11"/>
      <name val="Arial"/>
      <family val="2"/>
    </font>
    <font>
      <sz val="8"/>
      <color indexed="8"/>
      <name val="Calibri"/>
      <family val="2"/>
    </font>
    <font>
      <sz val="11"/>
      <color indexed="10"/>
      <name val="Arial"/>
      <family val="2"/>
    </font>
    <font>
      <sz val="11"/>
      <color indexed="63"/>
      <name val="Arial"/>
      <family val="2"/>
    </font>
    <font>
      <sz val="11"/>
      <color rgb="FFFF0000"/>
      <name val="Calibri"/>
      <family val="2"/>
    </font>
    <font>
      <sz val="10"/>
      <color indexed="63"/>
      <name val="Arial"/>
      <family val="2"/>
    </font>
    <font>
      <sz val="10"/>
      <color indexed="17"/>
      <name val="Arial"/>
      <family val="2"/>
    </font>
    <font>
      <b/>
      <sz val="10"/>
      <color rgb="FFFF0000"/>
      <name val="Arial"/>
      <family val="2"/>
    </font>
    <font>
      <sz val="8"/>
      <color rgb="FFFF0000"/>
      <name val="Calibri"/>
      <family val="2"/>
    </font>
    <font>
      <b/>
      <sz val="16"/>
      <color theme="1"/>
      <name val="Calibri"/>
      <family val="2"/>
      <scheme val="minor"/>
    </font>
    <font>
      <b/>
      <sz val="9"/>
      <color rgb="FF808080"/>
      <name val="Calibri"/>
      <family val="2"/>
    </font>
    <font>
      <sz val="9"/>
      <color rgb="FFC00000"/>
      <name val="Calibri"/>
      <family val="2"/>
    </font>
    <font>
      <b/>
      <sz val="10"/>
      <name val="Open Sans"/>
      <family val="2"/>
    </font>
    <font>
      <b/>
      <sz val="8"/>
      <name val="Open Sans"/>
      <family val="2"/>
    </font>
    <font>
      <i/>
      <sz val="9"/>
      <color rgb="FF44546A"/>
      <name val="Calibri"/>
      <family val="2"/>
    </font>
    <font>
      <sz val="11"/>
      <name val="Times New Roman"/>
      <family val="1"/>
    </font>
    <font>
      <b/>
      <sz val="11"/>
      <name val="Times New Roman"/>
      <family val="1"/>
    </font>
    <font>
      <b/>
      <sz val="11"/>
      <name val="Times New Roman"/>
      <family val="1"/>
      <charset val="204"/>
    </font>
    <font>
      <sz val="11"/>
      <color indexed="8"/>
      <name val="Times New Roman"/>
      <family val="1"/>
    </font>
    <font>
      <b/>
      <sz val="11"/>
      <color indexed="8"/>
      <name val="Times New Roman"/>
      <family val="1"/>
    </font>
    <font>
      <sz val="10"/>
      <name val="Arial"/>
      <family val="2"/>
      <charset val="1"/>
    </font>
    <font>
      <b/>
      <sz val="9"/>
      <name val="Arial"/>
      <family val="2"/>
      <charset val="1"/>
    </font>
    <font>
      <b/>
      <vertAlign val="subscript"/>
      <sz val="9"/>
      <name val="Arial"/>
      <family val="2"/>
    </font>
    <font>
      <b/>
      <sz val="9"/>
      <name val="Arial"/>
      <family val="2"/>
    </font>
    <font>
      <sz val="9"/>
      <name val="Arial"/>
      <family val="2"/>
      <charset val="1"/>
    </font>
    <font>
      <vertAlign val="subscript"/>
      <sz val="9"/>
      <name val="Arial"/>
      <family val="2"/>
    </font>
    <font>
      <sz val="9"/>
      <name val="Arial"/>
      <family val="2"/>
    </font>
    <font>
      <sz val="11"/>
      <color theme="1"/>
      <name val="Times New Roman"/>
      <family val="1"/>
      <charset val="204"/>
    </font>
    <font>
      <b/>
      <sz val="11"/>
      <color theme="1"/>
      <name val="Times New Roman"/>
      <family val="1"/>
      <charset val="204"/>
    </font>
    <font>
      <sz val="12"/>
      <color theme="1"/>
      <name val="Calibri"/>
      <family val="2"/>
      <scheme val="minor"/>
    </font>
    <font>
      <sz val="12"/>
      <color indexed="17"/>
      <name val="Calibri"/>
      <family val="2"/>
    </font>
    <font>
      <sz val="12"/>
      <color indexed="10"/>
      <name val="Calibri"/>
      <family val="2"/>
    </font>
  </fonts>
  <fills count="109">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51"/>
        <bgColor indexed="64"/>
      </patternFill>
    </fill>
    <fill>
      <patternFill patternType="solid">
        <fgColor indexed="29"/>
        <bgColor indexed="64"/>
      </patternFill>
    </fill>
    <fill>
      <patternFill patternType="solid">
        <fgColor indexed="43"/>
        <bgColor indexed="64"/>
      </patternFill>
    </fill>
    <fill>
      <patternFill patternType="solid">
        <fgColor indexed="31"/>
        <bgColor indexed="64"/>
      </patternFill>
    </fill>
    <fill>
      <patternFill patternType="solid">
        <fgColor indexed="13"/>
        <bgColor indexed="64"/>
      </patternFill>
    </fill>
    <fill>
      <patternFill patternType="solid">
        <fgColor indexed="46"/>
        <bgColor indexed="64"/>
      </patternFill>
    </fill>
    <fill>
      <patternFill patternType="solid">
        <fgColor indexed="50"/>
        <bgColor indexed="64"/>
      </patternFill>
    </fill>
    <fill>
      <patternFill patternType="solid">
        <fgColor indexed="52"/>
        <bgColor indexed="64"/>
      </patternFill>
    </fill>
    <fill>
      <patternFill patternType="solid">
        <fgColor theme="0"/>
        <bgColor indexed="64"/>
      </patternFill>
    </fill>
    <fill>
      <patternFill patternType="solid">
        <fgColor rgb="FFFFC7CE"/>
      </patternFill>
    </fill>
    <fill>
      <patternFill patternType="solid">
        <fgColor rgb="FFBED6EE"/>
        <bgColor indexed="64"/>
      </patternFill>
    </fill>
    <fill>
      <patternFill patternType="solid">
        <fgColor rgb="FFF2F2F2"/>
      </patternFill>
    </fill>
    <fill>
      <patternFill patternType="solid">
        <fgColor rgb="FFC6EFCE"/>
      </patternFill>
    </fill>
    <fill>
      <patternFill patternType="solid">
        <fgColor rgb="FFFFCC99"/>
      </patternFill>
    </fill>
    <fill>
      <patternFill patternType="solid">
        <fgColor theme="6" tint="0.599963377788628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5" tint="0.59999389629810485"/>
        <bgColor indexed="64"/>
      </patternFill>
    </fill>
    <fill>
      <patternFill patternType="solid">
        <fgColor rgb="FFFFFF66"/>
        <bgColor indexed="64"/>
      </patternFill>
    </fill>
    <fill>
      <patternFill patternType="solid">
        <fgColor rgb="FF9999FF"/>
        <bgColor indexed="64"/>
      </patternFill>
    </fill>
    <fill>
      <patternFill patternType="solid">
        <fgColor rgb="FFFFFF0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0000"/>
        <bgColor indexed="64"/>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indexed="12"/>
        <bgColor indexed="64"/>
      </patternFill>
    </fill>
    <fill>
      <patternFill patternType="solid">
        <fgColor indexed="42"/>
        <bgColor indexed="64"/>
      </patternFill>
    </fill>
    <fill>
      <patternFill patternType="solid">
        <fgColor rgb="FF99CCFF"/>
        <bgColor indexed="64"/>
      </patternFill>
    </fill>
    <fill>
      <patternFill patternType="solid">
        <fgColor rgb="FFFFCC00"/>
        <bgColor indexed="64"/>
      </patternFill>
    </fill>
    <fill>
      <patternFill patternType="solid">
        <fgColor theme="6" tint="0.59999389629810485"/>
        <bgColor indexed="64"/>
      </patternFill>
    </fill>
    <fill>
      <patternFill patternType="solid">
        <fgColor rgb="FFCCFFCC"/>
        <bgColor indexed="64"/>
      </patternFill>
    </fill>
    <fill>
      <patternFill patternType="solid">
        <fgColor rgb="FFFFFF99"/>
        <bgColor indexed="64"/>
      </patternFill>
    </fill>
    <fill>
      <patternFill patternType="solid">
        <fgColor theme="6"/>
        <bgColor indexed="64"/>
      </patternFill>
    </fill>
    <fill>
      <patternFill patternType="solid">
        <fgColor rgb="FFFFA07A"/>
        <bgColor rgb="FFFFA07A"/>
      </patternFill>
    </fill>
    <fill>
      <patternFill patternType="solid">
        <fgColor indexed="27"/>
        <bgColor indexed="64"/>
      </patternFill>
    </fill>
    <fill>
      <patternFill patternType="solid">
        <fgColor theme="6" tint="0.79998168889431442"/>
        <bgColor indexed="64"/>
      </patternFill>
    </fill>
    <fill>
      <patternFill patternType="solid">
        <fgColor indexed="45"/>
        <bgColor indexed="64"/>
      </patternFill>
    </fill>
    <fill>
      <patternFill patternType="solid">
        <fgColor indexed="22"/>
        <bgColor indexed="64"/>
      </patternFill>
    </fill>
    <fill>
      <patternFill patternType="solid">
        <fgColor theme="3" tint="0.59999389629810485"/>
        <bgColor indexed="64"/>
      </patternFill>
    </fill>
    <fill>
      <patternFill patternType="solid">
        <fgColor rgb="FF00B0F0"/>
        <bgColor indexed="64"/>
      </patternFill>
    </fill>
    <fill>
      <patternFill patternType="solid">
        <fgColor rgb="FFD8E4BC"/>
        <bgColor rgb="FF000000"/>
      </patternFill>
    </fill>
    <fill>
      <patternFill patternType="solid">
        <fgColor theme="9" tint="0.79998168889431442"/>
        <bgColor indexed="64"/>
      </patternFill>
    </fill>
    <fill>
      <patternFill patternType="solid">
        <fgColor rgb="FF00FFFF"/>
        <bgColor rgb="FF00FFFF"/>
      </patternFill>
    </fill>
    <fill>
      <patternFill patternType="solid">
        <fgColor them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39997558519241921"/>
        <bgColor indexed="64"/>
      </patternFill>
    </fill>
  </fills>
  <borders count="169">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medium">
        <color indexed="64"/>
      </right>
      <top/>
      <bottom/>
      <diagonal/>
    </border>
    <border>
      <left/>
      <right style="thin">
        <color indexed="64"/>
      </right>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medium">
        <color indexed="64"/>
      </right>
      <top/>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ck">
        <color indexed="64"/>
      </left>
      <right style="thin">
        <color indexed="64"/>
      </right>
      <top style="thick">
        <color indexed="64"/>
      </top>
      <bottom style="medium">
        <color indexed="64"/>
      </bottom>
      <diagonal/>
    </border>
    <border>
      <left style="thick">
        <color indexed="64"/>
      </left>
      <right style="thin">
        <color indexed="64"/>
      </right>
      <top/>
      <bottom/>
      <diagonal/>
    </border>
    <border>
      <left style="thick">
        <color indexed="64"/>
      </left>
      <right style="thin">
        <color indexed="64"/>
      </right>
      <top/>
      <bottom style="thick">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50"/>
      </bottom>
      <diagonal/>
    </border>
    <border>
      <left/>
      <right/>
      <top style="thin">
        <color indexed="45"/>
      </top>
      <bottom style="thin">
        <color indexed="45"/>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right/>
      <top style="thin">
        <color auto="1"/>
      </top>
      <bottom style="medium">
        <color auto="1"/>
      </bottom>
      <diagonal/>
    </border>
    <border>
      <left/>
      <right/>
      <top style="thin">
        <color auto="1"/>
      </top>
      <bottom/>
      <diagonal/>
    </border>
    <border>
      <left/>
      <right/>
      <top/>
      <bottom style="thin">
        <color auto="1"/>
      </bottom>
      <diagonal/>
    </border>
    <border>
      <left/>
      <right/>
      <top/>
      <bottom style="medium">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style="thin">
        <color auto="1"/>
      </top>
      <bottom style="thin">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top/>
      <bottom style="thin">
        <color indexed="8"/>
      </bottom>
      <diagonal/>
    </border>
    <border>
      <left style="thin">
        <color indexed="64"/>
      </left>
      <right/>
      <top style="hair">
        <color indexed="22"/>
      </top>
      <bottom style="thin">
        <color indexed="64"/>
      </bottom>
      <diagonal/>
    </border>
    <border>
      <left style="thin">
        <color indexed="64"/>
      </left>
      <right style="thin">
        <color indexed="64"/>
      </right>
      <top style="hair">
        <color indexed="22"/>
      </top>
      <bottom style="thin">
        <color indexed="64"/>
      </bottom>
      <diagonal/>
    </border>
    <border>
      <left/>
      <right/>
      <top style="hair">
        <color indexed="22"/>
      </top>
      <bottom style="thin">
        <color indexed="64"/>
      </bottom>
      <diagonal/>
    </border>
    <border>
      <left style="thin">
        <color indexed="64"/>
      </left>
      <right/>
      <top style="hair">
        <color indexed="22"/>
      </top>
      <bottom style="hair">
        <color indexed="22"/>
      </bottom>
      <diagonal/>
    </border>
    <border>
      <left style="thin">
        <color indexed="64"/>
      </left>
      <right style="thin">
        <color indexed="64"/>
      </right>
      <top style="hair">
        <color indexed="22"/>
      </top>
      <bottom style="hair">
        <color indexed="22"/>
      </bottom>
      <diagonal/>
    </border>
    <border>
      <left/>
      <right/>
      <top style="hair">
        <color indexed="22"/>
      </top>
      <bottom style="hair">
        <color indexed="22"/>
      </bottom>
      <diagonal/>
    </border>
    <border>
      <left style="thin">
        <color indexed="64"/>
      </left>
      <right/>
      <top/>
      <bottom style="hair">
        <color indexed="22"/>
      </bottom>
      <diagonal/>
    </border>
    <border>
      <left style="thin">
        <color indexed="64"/>
      </left>
      <right style="thin">
        <color indexed="64"/>
      </right>
      <top/>
      <bottom style="hair">
        <color indexed="22"/>
      </bottom>
      <diagonal/>
    </border>
    <border>
      <left/>
      <right/>
      <top/>
      <bottom style="hair">
        <color indexed="22"/>
      </bottom>
      <diagonal/>
    </border>
    <border>
      <left style="thin">
        <color indexed="64"/>
      </left>
      <right/>
      <top style="hair">
        <color indexed="22"/>
      </top>
      <bottom style="thin">
        <color indexed="8"/>
      </bottom>
      <diagonal/>
    </border>
    <border>
      <left style="thin">
        <color indexed="64"/>
      </left>
      <right style="thin">
        <color indexed="64"/>
      </right>
      <top style="hair">
        <color indexed="22"/>
      </top>
      <bottom style="thin">
        <color indexed="8"/>
      </bottom>
      <diagonal/>
    </border>
    <border>
      <left/>
      <right/>
      <top style="hair">
        <color indexed="22"/>
      </top>
      <bottom style="thin">
        <color indexed="8"/>
      </bottom>
      <diagonal/>
    </border>
    <border>
      <left style="thin">
        <color indexed="64"/>
      </left>
      <right/>
      <top style="thin">
        <color indexed="64"/>
      </top>
      <bottom style="thin">
        <color indexed="64"/>
      </bottom>
      <diagonal/>
    </border>
    <border>
      <left style="thin">
        <color indexed="64"/>
      </left>
      <right/>
      <top style="thin">
        <color indexed="64"/>
      </top>
      <bottom style="hair">
        <color indexed="22"/>
      </bottom>
      <diagonal/>
    </border>
    <border>
      <left style="thin">
        <color indexed="64"/>
      </left>
      <right style="thin">
        <color indexed="64"/>
      </right>
      <top style="thin">
        <color indexed="64"/>
      </top>
      <bottom style="hair">
        <color indexed="22"/>
      </bottom>
      <diagonal/>
    </border>
    <border>
      <left/>
      <right/>
      <top style="thin">
        <color indexed="64"/>
      </top>
      <bottom style="hair">
        <color indexed="22"/>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10695">
    <xf numFmtId="0" fontId="0" fillId="0" borderId="0"/>
    <xf numFmtId="178" fontId="13" fillId="0" borderId="0"/>
    <xf numFmtId="3" fontId="13" fillId="37" borderId="77" applyFont="0" applyFill="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9" borderId="0" applyNumberFormat="0" applyBorder="0" applyAlignment="0" applyProtection="0"/>
    <xf numFmtId="0" fontId="15" fillId="12" borderId="0" applyNumberFormat="0" applyBorder="0" applyAlignment="0" applyProtection="0"/>
    <xf numFmtId="0" fontId="13" fillId="0" borderId="0" applyNumberFormat="0" applyFont="0" applyFill="0" applyBorder="0" applyProtection="0">
      <alignment horizontal="left" vertical="center" indent="5"/>
    </xf>
    <xf numFmtId="0" fontId="16" fillId="13"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4" fontId="43" fillId="21" borderId="2">
      <alignment horizontal="right" vertical="center"/>
    </xf>
    <xf numFmtId="4" fontId="43" fillId="21" borderId="2">
      <alignment horizontal="right" vertical="center"/>
    </xf>
    <xf numFmtId="0" fontId="67" fillId="38" borderId="0" applyNumberFormat="0" applyBorder="0" applyAlignment="0" applyProtection="0"/>
    <xf numFmtId="3" fontId="68" fillId="39" borderId="77" applyNumberFormat="0" applyBorder="0" applyAlignment="0" applyProtection="0"/>
    <xf numFmtId="0" fontId="17" fillId="23" borderId="1" applyNumberFormat="0" applyAlignment="0" applyProtection="0"/>
    <xf numFmtId="0" fontId="69" fillId="40" borderId="77" applyNumberFormat="0" applyAlignment="0" applyProtection="0"/>
    <xf numFmtId="0" fontId="34" fillId="37" borderId="77" applyNumberFormat="0" applyBorder="0" applyAlignment="0" applyProtection="0"/>
    <xf numFmtId="0" fontId="18" fillId="0" borderId="3" applyNumberFormat="0" applyFill="0" applyAlignment="0" applyProtection="0"/>
    <xf numFmtId="0" fontId="19" fillId="24" borderId="4" applyNumberFormat="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20" borderId="0" applyNumberFormat="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60" fillId="0" borderId="0" applyFont="0" applyFill="0" applyBorder="0" applyAlignment="0" applyProtection="0"/>
    <xf numFmtId="165" fontId="49" fillId="0" borderId="0" applyFont="0" applyFill="0" applyBorder="0" applyAlignment="0" applyProtection="0"/>
    <xf numFmtId="165" fontId="15" fillId="0" borderId="0" applyFont="0" applyFill="0" applyBorder="0" applyAlignment="0" applyProtection="0"/>
    <xf numFmtId="43" fontId="13" fillId="0" borderId="0" applyFont="0" applyFill="0" applyBorder="0" applyAlignment="0" applyProtection="0"/>
    <xf numFmtId="43" fontId="49" fillId="0" borderId="0" applyFont="0" applyFill="0" applyBorder="0" applyAlignment="0" applyProtection="0"/>
    <xf numFmtId="43" fontId="15" fillId="0" borderId="0" applyFont="0" applyFill="0" applyBorder="0" applyAlignment="0" applyProtection="0"/>
    <xf numFmtId="43" fontId="66" fillId="0" borderId="0" applyFont="0" applyFill="0" applyBorder="0" applyAlignment="0" applyProtection="0"/>
    <xf numFmtId="43" fontId="40" fillId="0" borderId="0" applyFont="0" applyFill="0" applyBorder="0" applyAlignment="0" applyProtection="0"/>
    <xf numFmtId="43" fontId="49" fillId="0" borderId="0" applyFont="0" applyFill="0" applyBorder="0" applyAlignment="0" applyProtection="0"/>
    <xf numFmtId="43" fontId="15" fillId="0" borderId="0" applyFont="0" applyFill="0" applyBorder="0" applyAlignment="0" applyProtection="0"/>
    <xf numFmtId="43" fontId="6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38" fillId="0" borderId="0"/>
    <xf numFmtId="0" fontId="44" fillId="0" borderId="5">
      <alignment horizontal="left" vertical="center" wrapText="1" indent="2"/>
    </xf>
    <xf numFmtId="169" fontId="12"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73"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40" fillId="0" borderId="0" applyFont="0" applyFill="0" applyBorder="0" applyAlignment="0" applyProtection="0"/>
    <xf numFmtId="169" fontId="41" fillId="0" borderId="0" applyFont="0" applyFill="0" applyBorder="0" applyAlignment="0" applyProtection="0"/>
    <xf numFmtId="169" fontId="13" fillId="0" borderId="0" applyFont="0" applyFill="0" applyBorder="0" applyAlignment="0" applyProtection="0"/>
    <xf numFmtId="0" fontId="13" fillId="0" borderId="0" applyFont="0" applyFill="0" applyBorder="0" applyAlignment="0" applyProtection="0"/>
    <xf numFmtId="169" fontId="40" fillId="0" borderId="0" applyFont="0" applyFill="0" applyBorder="0" applyAlignment="0" applyProtection="0"/>
    <xf numFmtId="169" fontId="13"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9" fontId="41" fillId="0" borderId="0" applyFont="0" applyFill="0" applyBorder="0" applyAlignment="0" applyProtection="0"/>
    <xf numFmtId="178" fontId="13"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0" fontId="38" fillId="0" borderId="0"/>
    <xf numFmtId="0" fontId="70" fillId="41" borderId="0" applyNumberFormat="0" applyBorder="0" applyAlignment="0" applyProtection="0"/>
    <xf numFmtId="0" fontId="71" fillId="0" borderId="78" applyNumberFormat="0" applyFill="0" applyAlignment="0" applyProtection="0"/>
    <xf numFmtId="0" fontId="72" fillId="0" borderId="79" applyNumberFormat="0" applyFill="0" applyAlignment="0" applyProtection="0"/>
    <xf numFmtId="0" fontId="73" fillId="0" borderId="0" applyNumberFormat="0" applyFill="0" applyBorder="0" applyAlignment="0" applyProtection="0"/>
    <xf numFmtId="178" fontId="64" fillId="0" borderId="0" applyNumberFormat="0" applyFill="0" applyBorder="0" applyAlignment="0" applyProtection="0">
      <alignment vertical="top"/>
      <protection locked="0"/>
    </xf>
    <xf numFmtId="0" fontId="20" fillId="8" borderId="1" applyNumberFormat="0" applyAlignment="0" applyProtection="0"/>
    <xf numFmtId="0" fontId="20" fillId="8" borderId="1" applyNumberFormat="0" applyAlignment="0" applyProtection="0"/>
    <xf numFmtId="0" fontId="74" fillId="42" borderId="77" applyNumberFormat="0" applyAlignment="0" applyProtection="0"/>
    <xf numFmtId="4" fontId="44" fillId="0" borderId="0" applyBorder="0">
      <alignment horizontal="right" vertical="center"/>
    </xf>
    <xf numFmtId="43" fontId="49" fillId="0" borderId="0" applyFont="0" applyFill="0" applyBorder="0" applyAlignment="0" applyProtection="0"/>
    <xf numFmtId="43" fontId="15" fillId="0" borderId="0" applyFont="0" applyFill="0" applyBorder="0" applyAlignment="0" applyProtection="0"/>
    <xf numFmtId="165" fontId="49" fillId="0" borderId="0" applyFont="0" applyFill="0" applyBorder="0" applyAlignment="0" applyProtection="0"/>
    <xf numFmtId="165" fontId="15" fillId="0" borderId="0" applyFont="0" applyFill="0" applyBorder="0" applyAlignment="0" applyProtection="0"/>
    <xf numFmtId="43" fontId="66" fillId="0" borderId="0" applyFont="0" applyFill="0" applyBorder="0" applyAlignment="0" applyProtection="0"/>
    <xf numFmtId="43" fontId="13" fillId="0" borderId="0" applyFont="0" applyFill="0" applyBorder="0" applyAlignment="0" applyProtection="0"/>
    <xf numFmtId="0" fontId="75" fillId="0" borderId="0" applyNumberFormat="0" applyFill="0" applyBorder="0" applyAlignment="0" applyProtection="0"/>
    <xf numFmtId="179" fontId="76" fillId="43" borderId="0" applyNumberFormat="0" applyBorder="0" applyAlignment="0" applyProtection="0">
      <alignment horizontal="center" vertical="top" wrapText="1"/>
    </xf>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43" fontId="13"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0" fontId="22" fillId="26" borderId="0" applyNumberFormat="0" applyBorder="0" applyAlignment="0" applyProtection="0"/>
    <xf numFmtId="0" fontId="13" fillId="0" borderId="0"/>
    <xf numFmtId="0" fontId="13" fillId="0" borderId="0"/>
    <xf numFmtId="0" fontId="38" fillId="0" borderId="0"/>
    <xf numFmtId="0" fontId="13" fillId="0" borderId="0"/>
    <xf numFmtId="0" fontId="38" fillId="0" borderId="0"/>
    <xf numFmtId="0" fontId="33" fillId="0" borderId="0" applyFill="0" applyBorder="0"/>
    <xf numFmtId="0" fontId="61" fillId="0" borderId="0"/>
    <xf numFmtId="0" fontId="38" fillId="0" borderId="0"/>
    <xf numFmtId="0" fontId="66" fillId="0" borderId="0"/>
    <xf numFmtId="0" fontId="13" fillId="0" borderId="0"/>
    <xf numFmtId="0" fontId="66" fillId="0" borderId="0"/>
    <xf numFmtId="0" fontId="77" fillId="0" borderId="0"/>
    <xf numFmtId="0" fontId="13" fillId="0" borderId="0"/>
    <xf numFmtId="0" fontId="78" fillId="0" borderId="0"/>
    <xf numFmtId="0" fontId="66" fillId="0" borderId="0"/>
    <xf numFmtId="0" fontId="13" fillId="0" borderId="0"/>
    <xf numFmtId="0" fontId="78" fillId="0" borderId="0"/>
    <xf numFmtId="0" fontId="41" fillId="0" borderId="0"/>
    <xf numFmtId="0" fontId="41" fillId="0" borderId="0"/>
    <xf numFmtId="0" fontId="66" fillId="0" borderId="0"/>
    <xf numFmtId="179" fontId="34" fillId="37" borderId="0" applyNumberFormat="0" applyBorder="0" applyAlignment="0"/>
    <xf numFmtId="4" fontId="44" fillId="0" borderId="2" applyFill="0" applyBorder="0" applyProtection="0">
      <alignment horizontal="right" vertical="center"/>
    </xf>
    <xf numFmtId="0" fontId="45" fillId="0" borderId="0" applyNumberFormat="0" applyFill="0" applyBorder="0" applyProtection="0">
      <alignment horizontal="left" vertical="center"/>
    </xf>
    <xf numFmtId="0" fontId="13" fillId="27" borderId="0" applyNumberFormat="0" applyFont="0" applyBorder="0" applyAlignment="0" applyProtection="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5" fillId="0" borderId="0"/>
    <xf numFmtId="0" fontId="15"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42" fillId="0" borderId="0"/>
    <xf numFmtId="0" fontId="12" fillId="28" borderId="9" applyNumberFormat="0" applyFont="0" applyAlignment="0" applyProtection="0"/>
    <xf numFmtId="0" fontId="13" fillId="28" borderId="9" applyNumberFormat="0" applyFont="0" applyAlignment="0" applyProtection="0"/>
    <xf numFmtId="0" fontId="40" fillId="28" borderId="9" applyNumberFormat="0" applyFont="0" applyAlignment="0" applyProtection="0"/>
    <xf numFmtId="0" fontId="41" fillId="28" borderId="9" applyNumberFormat="0" applyFont="0" applyAlignment="0" applyProtection="0"/>
    <xf numFmtId="0" fontId="13" fillId="28" borderId="9" applyNumberFormat="0" applyFont="0" applyAlignment="0" applyProtection="0"/>
    <xf numFmtId="0" fontId="40" fillId="28" borderId="9" applyNumberFormat="0" applyFont="0" applyAlignment="0" applyProtection="0"/>
    <xf numFmtId="0" fontId="13" fillId="28" borderId="9" applyNumberFormat="0" applyFont="0" applyAlignment="0" applyProtection="0"/>
    <xf numFmtId="0" fontId="41" fillId="28" borderId="9" applyNumberFormat="0" applyFont="0" applyAlignment="0" applyProtection="0"/>
    <xf numFmtId="168" fontId="12"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0" fontId="23" fillId="23" borderId="10" applyNumberFormat="0" applyAlignment="0" applyProtection="0"/>
    <xf numFmtId="0" fontId="23" fillId="23" borderId="10" applyNumberFormat="0" applyAlignment="0" applyProtection="0"/>
    <xf numFmtId="0" fontId="79" fillId="40" borderId="80" applyNumberFormat="0" applyAlignment="0" applyProtection="0"/>
    <xf numFmtId="0" fontId="80" fillId="44" borderId="0" applyNumberFormat="0" applyAlignment="0" applyProtection="0"/>
    <xf numFmtId="0" fontId="81" fillId="45" borderId="0" applyNumberFormat="0" applyAlignment="0" applyProtection="0"/>
    <xf numFmtId="0" fontId="82" fillId="46" borderId="0" applyNumberFormat="0" applyAlignment="0" applyProtection="0"/>
    <xf numFmtId="179" fontId="63" fillId="2" borderId="0" applyNumberFormat="0" applyFill="0" applyBorder="0" applyAlignment="0">
      <alignment horizontal="center"/>
    </xf>
    <xf numFmtId="0" fontId="38" fillId="0" borderId="0"/>
    <xf numFmtId="9" fontId="12"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9" fillId="0" borderId="0" applyFont="0" applyFill="0" applyBorder="0" applyAlignment="0" applyProtection="0"/>
    <xf numFmtId="9" fontId="15" fillId="0" borderId="0" applyFont="0" applyFill="0" applyBorder="0" applyAlignment="0" applyProtection="0"/>
    <xf numFmtId="9" fontId="66" fillId="0" borderId="0" applyFont="0" applyFill="0" applyBorder="0" applyAlignment="0" applyProtection="0"/>
    <xf numFmtId="0" fontId="13" fillId="0" borderId="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30" fillId="0" borderId="11" applyNumberFormat="0" applyFill="0" applyAlignment="0" applyProtection="0"/>
    <xf numFmtId="0" fontId="84" fillId="40" borderId="77" applyNumberFormat="0" applyFill="0" applyBorder="0" applyAlignment="0" applyProtection="0"/>
    <xf numFmtId="0" fontId="31" fillId="4" borderId="0" applyNumberFormat="0" applyBorder="0" applyAlignment="0" applyProtection="0"/>
    <xf numFmtId="0" fontId="32" fillId="5" borderId="0" applyNumberFormat="0" applyBorder="0" applyAlignment="0" applyProtection="0"/>
    <xf numFmtId="0" fontId="62" fillId="40" borderId="77" applyFill="0" applyBorder="0" applyAlignment="0" applyProtection="0"/>
    <xf numFmtId="4" fontId="44" fillId="0" borderId="0"/>
    <xf numFmtId="0" fontId="11" fillId="0" borderId="0"/>
    <xf numFmtId="43" fontId="11" fillId="0" borderId="0" applyFont="0" applyFill="0" applyBorder="0" applyAlignment="0" applyProtection="0"/>
    <xf numFmtId="0" fontId="12" fillId="0" borderId="0"/>
    <xf numFmtId="0" fontId="67" fillId="38" borderId="0" applyNumberFormat="0" applyBorder="0" applyAlignment="0" applyProtection="0"/>
    <xf numFmtId="0" fontId="69" fillId="40" borderId="77" applyNumberFormat="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78" fillId="0" borderId="0"/>
    <xf numFmtId="0" fontId="78" fillId="0" borderId="0"/>
    <xf numFmtId="0" fontId="78" fillId="0" borderId="0"/>
    <xf numFmtId="178" fontId="12" fillId="0" borderId="0"/>
    <xf numFmtId="3" fontId="12" fillId="37" borderId="77" applyFont="0" applyFill="0" applyBorder="0" applyAlignment="0" applyProtection="0"/>
    <xf numFmtId="0" fontId="12" fillId="0" borderId="0" applyNumberFormat="0" applyFont="0" applyFill="0" applyBorder="0" applyProtection="0">
      <alignment horizontal="left" vertical="center" indent="5"/>
    </xf>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0" fillId="0" borderId="0" applyFont="0" applyFill="0" applyBorder="0" applyAlignment="0" applyProtection="0"/>
    <xf numFmtId="43" fontId="12" fillId="0" borderId="0" applyFont="0" applyFill="0" applyBorder="0" applyAlignment="0" applyProtection="0"/>
    <xf numFmtId="43" fontId="1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73"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0"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78"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43" fontId="10" fillId="0" borderId="0" applyFont="0" applyFill="0" applyBorder="0" applyAlignment="0" applyProtection="0"/>
    <xf numFmtId="43"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12" fillId="0" borderId="0"/>
    <xf numFmtId="0" fontId="12" fillId="0" borderId="0"/>
    <xf numFmtId="0" fontId="12" fillId="0" borderId="0"/>
    <xf numFmtId="0" fontId="12" fillId="0" borderId="0"/>
    <xf numFmtId="0" fontId="10" fillId="0" borderId="0"/>
    <xf numFmtId="0" fontId="12" fillId="0" borderId="0"/>
    <xf numFmtId="0" fontId="10" fillId="0" borderId="0"/>
    <xf numFmtId="0" fontId="12" fillId="0" borderId="0"/>
    <xf numFmtId="0" fontId="10" fillId="0" borderId="0"/>
    <xf numFmtId="0" fontId="12" fillId="0" borderId="0"/>
    <xf numFmtId="0" fontId="10" fillId="0" borderId="0"/>
    <xf numFmtId="0" fontId="12" fillId="27" borderId="0" applyNumberFormat="0" applyFon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28" borderId="9" applyNumberFormat="0" applyFont="0" applyAlignment="0" applyProtection="0"/>
    <xf numFmtId="0" fontId="12" fillId="28" borderId="9" applyNumberFormat="0" applyFont="0" applyAlignment="0" applyProtection="0"/>
    <xf numFmtId="0" fontId="12" fillId="28" borderId="9" applyNumberFormat="0" applyFont="0" applyAlignment="0" applyProtection="0"/>
    <xf numFmtId="0" fontId="12" fillId="28" borderId="9" applyNumberFormat="0" applyFont="0" applyAlignment="0" applyProtection="0"/>
    <xf numFmtId="0" fontId="12" fillId="28" borderId="9" applyNumberFormat="0" applyFont="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96" fillId="0" borderId="0" applyFont="0" applyFill="0" applyBorder="0" applyAlignment="0" applyProtection="0"/>
    <xf numFmtId="43" fontId="1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43" fontId="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3" fontId="9" fillId="0" borderId="0" applyFont="0" applyFill="0" applyBorder="0" applyAlignment="0" applyProtection="0"/>
    <xf numFmtId="0" fontId="78" fillId="0" borderId="0"/>
    <xf numFmtId="0" fontId="67" fillId="38" borderId="0" applyNumberFormat="0" applyBorder="0" applyAlignment="0" applyProtection="0"/>
    <xf numFmtId="0" fontId="9" fillId="0" borderId="0"/>
    <xf numFmtId="0" fontId="9" fillId="0" borderId="0"/>
    <xf numFmtId="0" fontId="9" fillId="0" borderId="0"/>
    <xf numFmtId="0" fontId="9" fillId="0" borderId="0"/>
    <xf numFmtId="0" fontId="78" fillId="0" borderId="0"/>
    <xf numFmtId="0" fontId="12" fillId="0" borderId="0"/>
    <xf numFmtId="0" fontId="78" fillId="0" borderId="0"/>
    <xf numFmtId="0" fontId="9" fillId="0" borderId="0"/>
    <xf numFmtId="0" fontId="9" fillId="0" borderId="0"/>
    <xf numFmtId="0" fontId="9" fillId="0" borderId="0"/>
    <xf numFmtId="0" fontId="9" fillId="0" borderId="0"/>
    <xf numFmtId="0" fontId="98" fillId="0" borderId="0" applyNumberFormat="0" applyFill="0" applyBorder="0" applyAlignment="0" applyProtection="0"/>
    <xf numFmtId="0" fontId="99" fillId="38" borderId="0" applyNumberFormat="0" applyBorder="0" applyAlignment="0" applyProtection="0"/>
    <xf numFmtId="0" fontId="100" fillId="56" borderId="0" applyNumberFormat="0" applyBorder="0" applyAlignment="0" applyProtection="0"/>
    <xf numFmtId="0" fontId="101" fillId="0" borderId="84" applyNumberFormat="0" applyFill="0" applyAlignment="0" applyProtection="0"/>
    <xf numFmtId="0" fontId="102" fillId="57" borderId="85" applyNumberFormat="0" applyAlignment="0" applyProtection="0"/>
    <xf numFmtId="0" fontId="103" fillId="0" borderId="0" applyNumberFormat="0" applyFill="0" applyBorder="0" applyAlignment="0" applyProtection="0"/>
    <xf numFmtId="0" fontId="104" fillId="0" borderId="0" applyNumberFormat="0" applyFill="0" applyBorder="0" applyAlignment="0" applyProtection="0"/>
    <xf numFmtId="0" fontId="83" fillId="0" borderId="87" applyNumberFormat="0" applyFill="0" applyAlignment="0" applyProtection="0"/>
    <xf numFmtId="0" fontId="105" fillId="59" borderId="0" applyNumberFormat="0" applyBorder="0" applyAlignment="0" applyProtection="0"/>
    <xf numFmtId="0" fontId="8" fillId="60" borderId="0" applyNumberFormat="0" applyBorder="0" applyAlignment="0" applyProtection="0"/>
    <xf numFmtId="0" fontId="8" fillId="61" borderId="0" applyNumberFormat="0" applyBorder="0" applyAlignment="0" applyProtection="0"/>
    <xf numFmtId="0" fontId="105" fillId="62" borderId="0" applyNumberFormat="0" applyBorder="0" applyAlignment="0" applyProtection="0"/>
    <xf numFmtId="0" fontId="105" fillId="63" borderId="0" applyNumberFormat="0" applyBorder="0" applyAlignment="0" applyProtection="0"/>
    <xf numFmtId="0" fontId="8" fillId="64" borderId="0" applyNumberFormat="0" applyBorder="0" applyAlignment="0" applyProtection="0"/>
    <xf numFmtId="0" fontId="8" fillId="65" borderId="0" applyNumberFormat="0" applyBorder="0" applyAlignment="0" applyProtection="0"/>
    <xf numFmtId="0" fontId="105" fillId="66" borderId="0" applyNumberFormat="0" applyBorder="0" applyAlignment="0" applyProtection="0"/>
    <xf numFmtId="0" fontId="105" fillId="67" borderId="0" applyNumberFormat="0" applyBorder="0" applyAlignment="0" applyProtection="0"/>
    <xf numFmtId="0" fontId="8" fillId="68" borderId="0" applyNumberFormat="0" applyBorder="0" applyAlignment="0" applyProtection="0"/>
    <xf numFmtId="0" fontId="8" fillId="69" borderId="0" applyNumberFormat="0" applyBorder="0" applyAlignment="0" applyProtection="0"/>
    <xf numFmtId="0" fontId="105" fillId="70" borderId="0" applyNumberFormat="0" applyBorder="0" applyAlignment="0" applyProtection="0"/>
    <xf numFmtId="0" fontId="105" fillId="71" borderId="0" applyNumberFormat="0" applyBorder="0" applyAlignment="0" applyProtection="0"/>
    <xf numFmtId="0" fontId="8" fillId="72" borderId="0" applyNumberFormat="0" applyBorder="0" applyAlignment="0" applyProtection="0"/>
    <xf numFmtId="0" fontId="8" fillId="73" borderId="0" applyNumberFormat="0" applyBorder="0" applyAlignment="0" applyProtection="0"/>
    <xf numFmtId="0" fontId="105" fillId="74" borderId="0" applyNumberFormat="0" applyBorder="0" applyAlignment="0" applyProtection="0"/>
    <xf numFmtId="0" fontId="105" fillId="75" borderId="0" applyNumberFormat="0" applyBorder="0" applyAlignment="0" applyProtection="0"/>
    <xf numFmtId="0" fontId="8" fillId="76" borderId="0" applyNumberFormat="0" applyBorder="0" applyAlignment="0" applyProtection="0"/>
    <xf numFmtId="0" fontId="8" fillId="77" borderId="0" applyNumberFormat="0" applyBorder="0" applyAlignment="0" applyProtection="0"/>
    <xf numFmtId="0" fontId="105" fillId="78" borderId="0" applyNumberFormat="0" applyBorder="0" applyAlignment="0" applyProtection="0"/>
    <xf numFmtId="0" fontId="105" fillId="79" borderId="0" applyNumberFormat="0" applyBorder="0" applyAlignment="0" applyProtection="0"/>
    <xf numFmtId="0" fontId="8" fillId="80" borderId="0" applyNumberFormat="0" applyBorder="0" applyAlignment="0" applyProtection="0"/>
    <xf numFmtId="0" fontId="8" fillId="81" borderId="0" applyNumberFormat="0" applyBorder="0" applyAlignment="0" applyProtection="0"/>
    <xf numFmtId="0" fontId="105" fillId="82" borderId="0" applyNumberFormat="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43" fontId="9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79" fontId="34" fillId="37" borderId="0" applyNumberFormat="0" applyBorder="0" applyAlignment="0"/>
    <xf numFmtId="179" fontId="12"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78" fontId="12" fillId="0" borderId="0"/>
    <xf numFmtId="178" fontId="12" fillId="0" borderId="0"/>
    <xf numFmtId="178" fontId="12" fillId="0" borderId="0"/>
    <xf numFmtId="178" fontId="108" fillId="0" borderId="0"/>
    <xf numFmtId="9" fontId="12" fillId="0" borderId="0" applyFont="0" applyFill="0" applyBorder="0" applyAlignment="0" applyProtection="0"/>
    <xf numFmtId="9" fontId="12"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12" fillId="0" borderId="0" applyFont="0" applyFill="0" applyBorder="0" applyAlignment="0" applyProtection="0"/>
    <xf numFmtId="0" fontId="12" fillId="0" borderId="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9" borderId="0" applyNumberFormat="0" applyBorder="0" applyAlignment="0" applyProtection="0"/>
    <xf numFmtId="0" fontId="15" fillId="12" borderId="0" applyNumberFormat="0" applyBorder="0" applyAlignment="0" applyProtection="0"/>
    <xf numFmtId="0" fontId="16" fillId="13"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20" borderId="0" applyNumberFormat="0" applyBorder="0" applyAlignment="0" applyProtection="0"/>
    <xf numFmtId="0" fontId="31" fillId="4" borderId="0" applyNumberFormat="0" applyBorder="0" applyAlignment="0" applyProtection="0"/>
    <xf numFmtId="0" fontId="109" fillId="0" borderId="0"/>
    <xf numFmtId="0" fontId="110" fillId="0" borderId="0">
      <alignment horizontal="right"/>
    </xf>
    <xf numFmtId="0" fontId="111" fillId="0" borderId="0"/>
    <xf numFmtId="0" fontId="107" fillId="0" borderId="0"/>
    <xf numFmtId="0" fontId="112" fillId="0" borderId="0"/>
    <xf numFmtId="0" fontId="113" fillId="0" borderId="88" applyNumberFormat="0" applyAlignment="0"/>
    <xf numFmtId="0" fontId="114" fillId="0" borderId="0" applyAlignment="0">
      <alignment horizontal="left"/>
    </xf>
    <xf numFmtId="0" fontId="114" fillId="0" borderId="0">
      <alignment horizontal="right"/>
    </xf>
    <xf numFmtId="177" fontId="114" fillId="0" borderId="0">
      <alignment horizontal="right"/>
    </xf>
    <xf numFmtId="171" fontId="115" fillId="0" borderId="0">
      <alignment horizontal="right"/>
    </xf>
    <xf numFmtId="0" fontId="116" fillId="0" borderId="0"/>
    <xf numFmtId="0" fontId="17" fillId="23" borderId="1" applyNumberFormat="0" applyAlignment="0" applyProtection="0"/>
    <xf numFmtId="0" fontId="19" fillId="24" borderId="4" applyNumberFormat="0" applyAlignment="0" applyProtection="0"/>
    <xf numFmtId="43" fontId="12"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65" fontId="1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8" fillId="0" borderId="0" applyFont="0" applyFill="0" applyBorder="0" applyAlignment="0" applyProtection="0"/>
    <xf numFmtId="0" fontId="25" fillId="0" borderId="0" applyNumberFormat="0" applyFill="0" applyBorder="0" applyAlignment="0" applyProtection="0"/>
    <xf numFmtId="0" fontId="32" fillId="5" borderId="0" applyNumberFormat="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64" fillId="0" borderId="0" applyNumberFormat="0" applyFill="0" applyBorder="0" applyAlignment="0" applyProtection="0">
      <alignment vertical="top"/>
      <protection locked="0"/>
    </xf>
    <xf numFmtId="0" fontId="117" fillId="0" borderId="0" applyNumberFormat="0" applyFill="0" applyBorder="0" applyAlignment="0" applyProtection="0">
      <alignment vertical="top"/>
      <protection locked="0"/>
    </xf>
    <xf numFmtId="0" fontId="18" fillId="0" borderId="3" applyNumberFormat="0" applyFill="0" applyAlignment="0" applyProtection="0"/>
    <xf numFmtId="0" fontId="22" fillId="26" borderId="0" applyNumberFormat="0" applyBorder="0" applyAlignment="0" applyProtection="0"/>
    <xf numFmtId="0" fontId="8" fillId="0" borderId="0"/>
    <xf numFmtId="0" fontId="33" fillId="0" borderId="0" applyFill="0" applyBorder="0"/>
    <xf numFmtId="0" fontId="12" fillId="0" borderId="0"/>
    <xf numFmtId="0" fontId="12" fillId="28" borderId="9" applyNumberFormat="0" applyFont="0" applyAlignment="0" applyProtection="0"/>
    <xf numFmtId="177" fontId="96" fillId="0" borderId="0" applyFont="0" applyFill="0" applyBorder="0" applyAlignment="0" applyProtection="0"/>
    <xf numFmtId="9" fontId="8" fillId="0" borderId="0" applyFont="0" applyFill="0" applyBorder="0" applyAlignment="0" applyProtection="0"/>
    <xf numFmtId="0" fontId="118" fillId="0" borderId="0" applyNumberFormat="0" applyFill="0" applyBorder="0" applyAlignment="0" applyProtection="0"/>
    <xf numFmtId="0" fontId="26" fillId="0" borderId="0" applyNumberFormat="0" applyFill="0" applyBorder="0" applyAlignment="0" applyProtection="0"/>
    <xf numFmtId="0" fontId="30" fillId="0" borderId="11" applyNumberFormat="0" applyFill="0" applyAlignment="0" applyProtection="0"/>
    <xf numFmtId="0" fontId="24" fillId="0" borderId="0" applyNumberFormat="0" applyFill="0" applyBorder="0" applyAlignment="0" applyProtection="0"/>
    <xf numFmtId="0" fontId="119" fillId="0" borderId="89" applyNumberFormat="0">
      <alignment vertical="center"/>
    </xf>
    <xf numFmtId="186" fontId="120" fillId="0" borderId="89">
      <alignment horizontal="right" vertical="center"/>
    </xf>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38" fillId="0" borderId="0"/>
    <xf numFmtId="43" fontId="8" fillId="0" borderId="0" applyFont="0" applyFill="0" applyBorder="0" applyAlignment="0" applyProtection="0"/>
    <xf numFmtId="179" fontId="34" fillId="37" borderId="0" applyNumberFormat="0" applyBorder="0" applyAlignment="0"/>
    <xf numFmtId="0" fontId="64" fillId="0" borderId="0" applyNumberFormat="0" applyFill="0" applyBorder="0" applyAlignment="0" applyProtection="0">
      <alignment vertical="top"/>
      <protection locked="0"/>
    </xf>
    <xf numFmtId="43" fontId="12" fillId="0" borderId="0" applyFont="0" applyFill="0" applyBorder="0" applyAlignment="0" applyProtection="0"/>
    <xf numFmtId="178" fontId="108" fillId="0" borderId="0"/>
    <xf numFmtId="179" fontId="12" fillId="0" borderId="0"/>
    <xf numFmtId="43" fontId="12" fillId="0" borderId="0" applyFont="0" applyFill="0" applyBorder="0" applyAlignment="0" applyProtection="0"/>
    <xf numFmtId="9" fontId="12" fillId="0" borderId="0" applyFont="0" applyFill="0" applyBorder="0" applyAlignment="0" applyProtection="0"/>
    <xf numFmtId="0" fontId="75" fillId="0" borderId="0" applyNumberFormat="0" applyFill="0" applyBorder="0" applyAlignment="0" applyProtection="0"/>
    <xf numFmtId="0" fontId="12" fillId="0" borderId="0"/>
    <xf numFmtId="9"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33" fillId="0" borderId="0" applyFill="0" applyBorder="0"/>
    <xf numFmtId="0" fontId="12" fillId="0" borderId="0"/>
    <xf numFmtId="0" fontId="17" fillId="23" borderId="1" applyNumberFormat="0" applyAlignment="0" applyProtection="0"/>
    <xf numFmtId="0" fontId="20" fillId="8" borderId="1" applyNumberFormat="0" applyAlignment="0" applyProtection="0"/>
    <xf numFmtId="0" fontId="12" fillId="28" borderId="9" applyNumberFormat="0" applyFont="0" applyAlignment="0" applyProtection="0"/>
    <xf numFmtId="0" fontId="23" fillId="23" borderId="10" applyNumberFormat="0" applyAlignment="0" applyProtection="0"/>
    <xf numFmtId="0" fontId="30" fillId="0" borderId="11" applyNumberFormat="0" applyFill="0" applyAlignment="0" applyProtection="0"/>
    <xf numFmtId="0" fontId="71" fillId="0" borderId="78" applyNumberFormat="0" applyFill="0" applyAlignment="0" applyProtection="0"/>
    <xf numFmtId="0" fontId="72" fillId="0" borderId="79" applyNumberFormat="0" applyFill="0" applyAlignment="0" applyProtection="0"/>
    <xf numFmtId="0" fontId="73" fillId="0" borderId="83" applyNumberFormat="0" applyFill="0" applyAlignment="0" applyProtection="0"/>
    <xf numFmtId="0" fontId="73" fillId="0" borderId="0" applyNumberFormat="0" applyFill="0" applyBorder="0" applyAlignment="0" applyProtection="0"/>
    <xf numFmtId="0" fontId="8" fillId="60"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12" fillId="58" borderId="86" applyNumberFormat="0" applyFont="0" applyAlignment="0" applyProtection="0"/>
    <xf numFmtId="0" fontId="8" fillId="58" borderId="86" applyNumberFormat="0" applyFont="0" applyAlignment="0" applyProtection="0"/>
    <xf numFmtId="0" fontId="12" fillId="58" borderId="86" applyNumberFormat="0" applyFont="0" applyAlignment="0" applyProtection="0"/>
    <xf numFmtId="0" fontId="12" fillId="58" borderId="86" applyNumberFormat="0" applyFont="0" applyAlignment="0" applyProtection="0"/>
    <xf numFmtId="0" fontId="8" fillId="58" borderId="86" applyNumberFormat="0" applyFont="0" applyAlignment="0" applyProtection="0"/>
    <xf numFmtId="0" fontId="12" fillId="58" borderId="86" applyNumberFormat="0" applyFont="0" applyAlignment="0" applyProtection="0"/>
    <xf numFmtId="0" fontId="8" fillId="58" borderId="86" applyNumberFormat="0" applyFont="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21" fillId="0" borderId="0" applyNumberFormat="0" applyFill="0" applyBorder="0" applyAlignment="0" applyProtection="0"/>
    <xf numFmtId="0" fontId="75" fillId="0" borderId="0" applyNumberFormat="0" applyFill="0" applyBorder="0" applyAlignment="0" applyProtection="0"/>
    <xf numFmtId="0" fontId="121" fillId="0" borderId="0" applyNumberFormat="0" applyFill="0" applyBorder="0" applyAlignment="0" applyProtection="0"/>
    <xf numFmtId="0" fontId="75" fillId="0" borderId="0" applyNumberFormat="0" applyFill="0" applyBorder="0" applyAlignment="0" applyProtection="0"/>
    <xf numFmtId="0" fontId="121"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8"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60" borderId="0" applyNumberFormat="0" applyBorder="0" applyAlignment="0" applyProtection="0"/>
    <xf numFmtId="0" fontId="8" fillId="61" borderId="0" applyNumberFormat="0" applyBorder="0" applyAlignment="0" applyProtection="0"/>
    <xf numFmtId="0" fontId="8" fillId="64" borderId="0" applyNumberFormat="0" applyBorder="0" applyAlignment="0" applyProtection="0"/>
    <xf numFmtId="0" fontId="8" fillId="65" borderId="0" applyNumberFormat="0" applyBorder="0" applyAlignment="0" applyProtection="0"/>
    <xf numFmtId="0" fontId="8" fillId="68" borderId="0" applyNumberFormat="0" applyBorder="0" applyAlignment="0" applyProtection="0"/>
    <xf numFmtId="0" fontId="8" fillId="69" borderId="0" applyNumberFormat="0" applyBorder="0" applyAlignment="0" applyProtection="0"/>
    <xf numFmtId="0" fontId="8" fillId="72" borderId="0" applyNumberFormat="0" applyBorder="0" applyAlignment="0" applyProtection="0"/>
    <xf numFmtId="0" fontId="8" fillId="73" borderId="0" applyNumberFormat="0" applyBorder="0" applyAlignment="0" applyProtection="0"/>
    <xf numFmtId="0" fontId="8" fillId="76" borderId="0" applyNumberFormat="0" applyBorder="0" applyAlignment="0" applyProtection="0"/>
    <xf numFmtId="0" fontId="8" fillId="77" borderId="0" applyNumberFormat="0" applyBorder="0" applyAlignment="0" applyProtection="0"/>
    <xf numFmtId="0" fontId="8" fillId="80" borderId="0" applyNumberFormat="0" applyBorder="0" applyAlignment="0" applyProtection="0"/>
    <xf numFmtId="0" fontId="8" fillId="81" borderId="0" applyNumberFormat="0" applyBorder="0" applyAlignment="0" applyProtection="0"/>
    <xf numFmtId="0" fontId="8" fillId="60"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06" fillId="0" borderId="0"/>
    <xf numFmtId="0" fontId="121" fillId="0" borderId="0" applyNumberFormat="0" applyFill="0" applyBorder="0" applyAlignment="0" applyProtection="0">
      <alignment vertical="top"/>
      <protection locked="0"/>
    </xf>
    <xf numFmtId="9" fontId="106" fillId="0" borderId="0" applyFont="0" applyFill="0" applyBorder="0" applyAlignment="0" applyProtection="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6" fillId="0" borderId="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43" fontId="6" fillId="0" borderId="0" applyFont="0" applyFill="0" applyBorder="0" applyAlignment="0" applyProtection="0"/>
    <xf numFmtId="165" fontId="6" fillId="0" borderId="0" applyFont="0" applyFill="0" applyBorder="0" applyAlignment="0" applyProtection="0"/>
    <xf numFmtId="43" fontId="38"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9" fontId="12" fillId="0" borderId="0" applyFont="0" applyFill="0" applyBorder="0" applyAlignment="0" applyProtection="0"/>
    <xf numFmtId="0" fontId="12" fillId="0" borderId="0"/>
    <xf numFmtId="43" fontId="41" fillId="0" borderId="0" applyFont="0" applyFill="0" applyBorder="0" applyAlignment="0" applyProtection="0"/>
    <xf numFmtId="43" fontId="123"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3" fontId="12" fillId="0" borderId="0" applyFont="0" applyFill="0" applyBorder="0" applyAlignment="0" applyProtection="0"/>
    <xf numFmtId="43"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43" fontId="6"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0" fontId="38" fillId="0" borderId="0"/>
    <xf numFmtId="0" fontId="6" fillId="0" borderId="0"/>
    <xf numFmtId="0" fontId="6" fillId="0" borderId="0"/>
    <xf numFmtId="0" fontId="77" fillId="0" borderId="0"/>
    <xf numFmtId="0" fontId="6" fillId="0" borderId="0"/>
    <xf numFmtId="0" fontId="6" fillId="0" borderId="0"/>
    <xf numFmtId="9" fontId="41" fillId="0" borderId="0" applyFont="0" applyFill="0" applyBorder="0" applyAlignment="0" applyProtection="0"/>
    <xf numFmtId="9" fontId="41" fillId="0" borderId="0" applyFont="0" applyFill="0" applyBorder="0" applyAlignment="0" applyProtection="0"/>
    <xf numFmtId="9" fontId="6" fillId="0" borderId="0" applyFont="0" applyFill="0" applyBorder="0" applyAlignment="0" applyProtection="0"/>
    <xf numFmtId="0" fontId="6" fillId="0" borderId="0"/>
    <xf numFmtId="43"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43" fontId="6"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43" fontId="5"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3" fontId="6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60" borderId="0" applyNumberFormat="0" applyBorder="0" applyAlignment="0" applyProtection="0"/>
    <xf numFmtId="0" fontId="5" fillId="61" borderId="0" applyNumberFormat="0" applyBorder="0" applyAlignment="0" applyProtection="0"/>
    <xf numFmtId="0" fontId="5" fillId="64" borderId="0" applyNumberFormat="0" applyBorder="0" applyAlignment="0" applyProtection="0"/>
    <xf numFmtId="0" fontId="5" fillId="65" borderId="0" applyNumberFormat="0" applyBorder="0" applyAlignment="0" applyProtection="0"/>
    <xf numFmtId="0" fontId="5" fillId="68" borderId="0" applyNumberFormat="0" applyBorder="0" applyAlignment="0" applyProtection="0"/>
    <xf numFmtId="0" fontId="5" fillId="69" borderId="0" applyNumberFormat="0" applyBorder="0" applyAlignment="0" applyProtection="0"/>
    <xf numFmtId="0" fontId="5" fillId="72" borderId="0" applyNumberFormat="0" applyBorder="0" applyAlignment="0" applyProtection="0"/>
    <xf numFmtId="0" fontId="5" fillId="73" borderId="0" applyNumberFormat="0" applyBorder="0" applyAlignment="0" applyProtection="0"/>
    <xf numFmtId="0" fontId="5" fillId="76" borderId="0" applyNumberFormat="0" applyBorder="0" applyAlignment="0" applyProtection="0"/>
    <xf numFmtId="0" fontId="5" fillId="77" borderId="0" applyNumberFormat="0" applyBorder="0" applyAlignment="0" applyProtection="0"/>
    <xf numFmtId="0" fontId="5" fillId="80" borderId="0" applyNumberFormat="0" applyBorder="0" applyAlignment="0" applyProtection="0"/>
    <xf numFmtId="0" fontId="5" fillId="81" borderId="0" applyNumberFormat="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43" fontId="6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165" fontId="15"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5" fillId="0" borderId="0" applyFont="0" applyFill="0" applyBorder="0" applyAlignment="0" applyProtection="0"/>
    <xf numFmtId="0" fontId="5" fillId="0" borderId="0"/>
    <xf numFmtId="177" fontId="60"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60"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60" borderId="0" applyNumberFormat="0" applyBorder="0" applyAlignment="0" applyProtection="0"/>
    <xf numFmtId="0" fontId="5" fillId="61" borderId="0" applyNumberFormat="0" applyBorder="0" applyAlignment="0" applyProtection="0"/>
    <xf numFmtId="0" fontId="5" fillId="64" borderId="0" applyNumberFormat="0" applyBorder="0" applyAlignment="0" applyProtection="0"/>
    <xf numFmtId="0" fontId="5" fillId="65" borderId="0" applyNumberFormat="0" applyBorder="0" applyAlignment="0" applyProtection="0"/>
    <xf numFmtId="0" fontId="5" fillId="68" borderId="0" applyNumberFormat="0" applyBorder="0" applyAlignment="0" applyProtection="0"/>
    <xf numFmtId="0" fontId="5" fillId="69" borderId="0" applyNumberFormat="0" applyBorder="0" applyAlignment="0" applyProtection="0"/>
    <xf numFmtId="0" fontId="5" fillId="72" borderId="0" applyNumberFormat="0" applyBorder="0" applyAlignment="0" applyProtection="0"/>
    <xf numFmtId="0" fontId="5" fillId="73" borderId="0" applyNumberFormat="0" applyBorder="0" applyAlignment="0" applyProtection="0"/>
    <xf numFmtId="0" fontId="5" fillId="76" borderId="0" applyNumberFormat="0" applyBorder="0" applyAlignment="0" applyProtection="0"/>
    <xf numFmtId="0" fontId="5" fillId="77" borderId="0" applyNumberFormat="0" applyBorder="0" applyAlignment="0" applyProtection="0"/>
    <xf numFmtId="0" fontId="5" fillId="80" borderId="0" applyNumberFormat="0" applyBorder="0" applyAlignment="0" applyProtection="0"/>
    <xf numFmtId="0" fontId="5" fillId="81" borderId="0" applyNumberFormat="0" applyBorder="0" applyAlignment="0" applyProtection="0"/>
    <xf numFmtId="0" fontId="5" fillId="60"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7" fillId="23" borderId="99"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44" fillId="0" borderId="100">
      <alignment horizontal="left" vertical="center" wrapText="1" indent="2"/>
    </xf>
    <xf numFmtId="0" fontId="12" fillId="28" borderId="121" applyNumberFormat="0" applyFont="0" applyAlignment="0" applyProtection="0"/>
    <xf numFmtId="0" fontId="12" fillId="28" borderId="126" applyNumberFormat="0" applyFont="0" applyAlignment="0" applyProtection="0"/>
    <xf numFmtId="0" fontId="12" fillId="28" borderId="115" applyNumberFormat="0" applyFont="0" applyAlignment="0" applyProtection="0"/>
    <xf numFmtId="0" fontId="12" fillId="28" borderId="126" applyNumberFormat="0" applyFont="0" applyAlignment="0" applyProtection="0"/>
    <xf numFmtId="0" fontId="23" fillId="23" borderId="122" applyNumberFormat="0" applyAlignment="0" applyProtection="0"/>
    <xf numFmtId="0" fontId="20" fillId="8" borderId="99" applyNumberFormat="0" applyAlignment="0" applyProtection="0"/>
    <xf numFmtId="0" fontId="20" fillId="8" borderId="99" applyNumberFormat="0" applyAlignment="0" applyProtection="0"/>
    <xf numFmtId="43" fontId="4" fillId="0" borderId="0" applyFont="0" applyFill="0" applyBorder="0" applyAlignment="0" applyProtection="0"/>
    <xf numFmtId="0" fontId="17" fillId="23" borderId="113" applyNumberFormat="0" applyAlignment="0" applyProtection="0"/>
    <xf numFmtId="0" fontId="20" fillId="8" borderId="113" applyNumberFormat="0" applyAlignment="0" applyProtection="0"/>
    <xf numFmtId="0" fontId="12" fillId="28" borderId="126" applyNumberFormat="0" applyFont="0" applyAlignment="0" applyProtection="0"/>
    <xf numFmtId="0" fontId="12" fillId="28" borderId="109" applyNumberFormat="0" applyFont="0" applyAlignment="0" applyProtection="0"/>
    <xf numFmtId="0" fontId="17" fillId="23" borderId="107" applyNumberFormat="0" applyAlignment="0" applyProtection="0"/>
    <xf numFmtId="0" fontId="30" fillId="0" borderId="128" applyNumberFormat="0" applyFill="0" applyAlignment="0" applyProtection="0"/>
    <xf numFmtId="0" fontId="20" fillId="8" borderId="125" applyNumberFormat="0" applyAlignment="0" applyProtection="0"/>
    <xf numFmtId="0" fontId="4" fillId="0" borderId="0"/>
    <xf numFmtId="0" fontId="4" fillId="0" borderId="0"/>
    <xf numFmtId="0" fontId="4" fillId="0" borderId="0"/>
    <xf numFmtId="0" fontId="4" fillId="0" borderId="0"/>
    <xf numFmtId="4" fontId="44" fillId="0" borderId="98" applyFill="0" applyBorder="0" applyProtection="0">
      <alignment horizontal="right" vertical="center"/>
    </xf>
    <xf numFmtId="0" fontId="30" fillId="0" borderId="123" applyNumberFormat="0" applyFill="0" applyAlignment="0" applyProtection="0"/>
    <xf numFmtId="0" fontId="12" fillId="28" borderId="115" applyNumberFormat="0" applyFont="0" applyAlignment="0" applyProtection="0"/>
    <xf numFmtId="0" fontId="41" fillId="28" borderId="115" applyNumberFormat="0" applyFont="0" applyAlignment="0" applyProtection="0"/>
    <xf numFmtId="0" fontId="12" fillId="28" borderId="126" applyNumberFormat="0" applyFont="0" applyAlignment="0" applyProtection="0"/>
    <xf numFmtId="0" fontId="41" fillId="28" borderId="126"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41"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41" fillId="28" borderId="102" applyNumberFormat="0" applyFont="0" applyAlignment="0" applyProtection="0"/>
    <xf numFmtId="0" fontId="41" fillId="28" borderId="121" applyNumberFormat="0" applyFont="0" applyAlignment="0" applyProtection="0"/>
    <xf numFmtId="0" fontId="30" fillId="0" borderId="128" applyNumberFormat="0" applyFill="0" applyAlignment="0" applyProtection="0"/>
    <xf numFmtId="0" fontId="12" fillId="28" borderId="109" applyNumberFormat="0" applyFont="0" applyAlignment="0" applyProtection="0"/>
    <xf numFmtId="0" fontId="12" fillId="28" borderId="109" applyNumberFormat="0" applyFont="0" applyAlignment="0" applyProtection="0"/>
    <xf numFmtId="0" fontId="41" fillId="28" borderId="109" applyNumberFormat="0" applyFont="0" applyAlignment="0" applyProtection="0"/>
    <xf numFmtId="0" fontId="12" fillId="28" borderId="109" applyNumberFormat="0" applyFont="0" applyAlignment="0" applyProtection="0"/>
    <xf numFmtId="0" fontId="12" fillId="28" borderId="109" applyNumberFormat="0" applyFont="0" applyAlignment="0" applyProtection="0"/>
    <xf numFmtId="0" fontId="30" fillId="0" borderId="117" applyNumberFormat="0" applyFill="0" applyAlignment="0" applyProtection="0"/>
    <xf numFmtId="4" fontId="44" fillId="0" borderId="106" applyFill="0" applyBorder="0" applyProtection="0">
      <alignment horizontal="right" vertical="center"/>
    </xf>
    <xf numFmtId="0" fontId="23" fillId="23" borderId="103" applyNumberFormat="0" applyAlignment="0" applyProtection="0"/>
    <xf numFmtId="0" fontId="23" fillId="23" borderId="103" applyNumberFormat="0" applyAlignment="0" applyProtection="0"/>
    <xf numFmtId="0" fontId="12" fillId="28" borderId="121" applyNumberFormat="0" applyFont="0" applyAlignment="0" applyProtection="0"/>
    <xf numFmtId="0" fontId="20" fillId="8" borderId="119" applyNumberFormat="0" applyAlignment="0" applyProtection="0"/>
    <xf numFmtId="0" fontId="20" fillId="8" borderId="107" applyNumberFormat="0" applyAlignment="0" applyProtection="0"/>
    <xf numFmtId="0" fontId="20" fillId="8" borderId="107" applyNumberFormat="0" applyAlignment="0" applyProtection="0"/>
    <xf numFmtId="0" fontId="12" fillId="28" borderId="126" applyNumberFormat="0" applyFont="0" applyAlignment="0" applyProtection="0"/>
    <xf numFmtId="0" fontId="12" fillId="28" borderId="121" applyNumberFormat="0" applyFont="0" applyAlignment="0" applyProtection="0"/>
    <xf numFmtId="0" fontId="44" fillId="0" borderId="108">
      <alignment horizontal="left" vertical="center" wrapText="1" indent="2"/>
    </xf>
    <xf numFmtId="9" fontId="4" fillId="0" borderId="0" applyFont="0" applyFill="0" applyBorder="0" applyAlignment="0" applyProtection="0"/>
    <xf numFmtId="0" fontId="29" fillId="0" borderId="101" applyNumberFormat="0" applyFill="0" applyAlignment="0" applyProtection="0"/>
    <xf numFmtId="0" fontId="30" fillId="0" borderId="104" applyNumberFormat="0" applyFill="0" applyAlignment="0" applyProtection="0"/>
    <xf numFmtId="0" fontId="4" fillId="0" borderId="0"/>
    <xf numFmtId="43" fontId="4" fillId="0" borderId="0" applyFont="0" applyFill="0" applyBorder="0" applyAlignment="0" applyProtection="0"/>
    <xf numFmtId="0" fontId="30" fillId="0" borderId="123"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17" fillId="23" borderId="125" applyNumberFormat="0" applyAlignment="0" applyProtection="0"/>
    <xf numFmtId="0" fontId="12" fillId="28" borderId="126" applyNumberFormat="0" applyFont="0" applyAlignment="0" applyProtection="0"/>
    <xf numFmtId="0" fontId="20" fillId="8" borderId="113" applyNumberFormat="0" applyAlignment="0" applyProtection="0"/>
    <xf numFmtId="43" fontId="4" fillId="0" borderId="0" applyFont="0" applyFill="0" applyBorder="0" applyAlignment="0" applyProtection="0"/>
    <xf numFmtId="0" fontId="12" fillId="28" borderId="115" applyNumberFormat="0" applyFont="0" applyAlignment="0" applyProtection="0"/>
    <xf numFmtId="0" fontId="12" fillId="28" borderId="109" applyNumberFormat="0" applyFont="0" applyAlignment="0" applyProtection="0"/>
    <xf numFmtId="0" fontId="12" fillId="28" borderId="121" applyNumberFormat="0" applyFont="0" applyAlignment="0" applyProtection="0"/>
    <xf numFmtId="0" fontId="12" fillId="28" borderId="115" applyNumberFormat="0" applyFont="0" applyAlignment="0" applyProtection="0"/>
    <xf numFmtId="0" fontId="12" fillId="28" borderId="121" applyNumberFormat="0" applyFont="0" applyAlignment="0" applyProtection="0"/>
    <xf numFmtId="0" fontId="12" fillId="28" borderId="109" applyNumberFormat="0" applyFont="0" applyAlignment="0" applyProtection="0"/>
    <xf numFmtId="0" fontId="4" fillId="0" borderId="0"/>
    <xf numFmtId="0" fontId="4" fillId="0" borderId="0"/>
    <xf numFmtId="0" fontId="4" fillId="0" borderId="0"/>
    <xf numFmtId="0" fontId="4" fillId="0" borderId="0"/>
    <xf numFmtId="0" fontId="12" fillId="28" borderId="115" applyNumberFormat="0" applyFont="0" applyAlignment="0" applyProtection="0"/>
    <xf numFmtId="0" fontId="41" fillId="28" borderId="115" applyNumberFormat="0" applyFont="0" applyAlignment="0" applyProtection="0"/>
    <xf numFmtId="0" fontId="41" fillId="28" borderId="126" applyNumberFormat="0" applyFont="0" applyAlignment="0" applyProtection="0"/>
    <xf numFmtId="0" fontId="23" fillId="23" borderId="110" applyNumberFormat="0" applyAlignment="0" applyProtection="0"/>
    <xf numFmtId="0" fontId="23" fillId="23" borderId="110" applyNumberForma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21" applyNumberFormat="0" applyFont="0" applyAlignment="0" applyProtection="0"/>
    <xf numFmtId="0" fontId="41" fillId="28" borderId="121" applyNumberFormat="0" applyFont="0" applyAlignment="0" applyProtection="0"/>
    <xf numFmtId="0" fontId="12" fillId="28" borderId="109" applyNumberFormat="0" applyFont="0" applyAlignment="0" applyProtection="0"/>
    <xf numFmtId="0" fontId="41" fillId="28" borderId="109" applyNumberFormat="0" applyFont="0" applyAlignment="0" applyProtection="0"/>
    <xf numFmtId="0" fontId="12" fillId="28" borderId="109" applyNumberFormat="0" applyFont="0" applyAlignment="0" applyProtection="0"/>
    <xf numFmtId="0" fontId="20" fillId="8" borderId="119" applyNumberFormat="0" applyAlignment="0" applyProtection="0"/>
    <xf numFmtId="0" fontId="12" fillId="28" borderId="121" applyNumberFormat="0" applyFont="0" applyAlignment="0" applyProtection="0"/>
    <xf numFmtId="0" fontId="17" fillId="23" borderId="107" applyNumberFormat="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0" borderId="0" applyNumberFormat="0" applyBorder="0" applyAlignment="0" applyProtection="0"/>
    <xf numFmtId="0" fontId="4" fillId="61" borderId="0" applyNumberFormat="0" applyBorder="0" applyAlignment="0" applyProtection="0"/>
    <xf numFmtId="0" fontId="4" fillId="64" borderId="0" applyNumberFormat="0" applyBorder="0" applyAlignment="0" applyProtection="0"/>
    <xf numFmtId="0" fontId="4" fillId="65" borderId="0" applyNumberFormat="0" applyBorder="0" applyAlignment="0" applyProtection="0"/>
    <xf numFmtId="0" fontId="4" fillId="68" borderId="0" applyNumberFormat="0" applyBorder="0" applyAlignment="0" applyProtection="0"/>
    <xf numFmtId="0" fontId="4" fillId="69" borderId="0" applyNumberFormat="0" applyBorder="0" applyAlignment="0" applyProtection="0"/>
    <xf numFmtId="0" fontId="4" fillId="72" borderId="0" applyNumberFormat="0" applyBorder="0" applyAlignment="0" applyProtection="0"/>
    <xf numFmtId="0" fontId="4" fillId="73" borderId="0" applyNumberFormat="0" applyBorder="0" applyAlignment="0" applyProtection="0"/>
    <xf numFmtId="0" fontId="4" fillId="76" borderId="0" applyNumberFormat="0" applyBorder="0" applyAlignment="0" applyProtection="0"/>
    <xf numFmtId="0" fontId="4" fillId="77" borderId="0" applyNumberFormat="0" applyBorder="0" applyAlignment="0" applyProtection="0"/>
    <xf numFmtId="0" fontId="4" fillId="80" borderId="0" applyNumberFormat="0" applyBorder="0" applyAlignment="0" applyProtection="0"/>
    <xf numFmtId="0" fontId="4" fillId="81" borderId="0" applyNumberFormat="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17" fillId="23" borderId="99" applyNumberFormat="0" applyAlignment="0" applyProtection="0"/>
    <xf numFmtId="43" fontId="4" fillId="0" borderId="0" applyFont="0" applyFill="0" applyBorder="0" applyAlignment="0" applyProtection="0"/>
    <xf numFmtId="0" fontId="29" fillId="0" borderId="101" applyNumberFormat="0" applyFill="0" applyAlignment="0" applyProtection="0"/>
    <xf numFmtId="0" fontId="4" fillId="0" borderId="0"/>
    <xf numFmtId="0" fontId="12" fillId="28" borderId="102" applyNumberFormat="0" applyFont="0" applyAlignment="0" applyProtection="0"/>
    <xf numFmtId="9" fontId="4" fillId="0" borderId="0" applyFont="0" applyFill="0" applyBorder="0" applyAlignment="0" applyProtection="0"/>
    <xf numFmtId="0" fontId="30" fillId="0" borderId="104" applyNumberFormat="0" applyFill="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17" fillId="23" borderId="99" applyNumberFormat="0" applyAlignment="0" applyProtection="0"/>
    <xf numFmtId="0" fontId="20" fillId="8" borderId="99" applyNumberFormat="0" applyAlignment="0" applyProtection="0"/>
    <xf numFmtId="0" fontId="12" fillId="28" borderId="102" applyNumberFormat="0" applyFont="0" applyAlignment="0" applyProtection="0"/>
    <xf numFmtId="0" fontId="23" fillId="23" borderId="103" applyNumberFormat="0" applyAlignment="0" applyProtection="0"/>
    <xf numFmtId="0" fontId="30" fillId="0" borderId="104" applyNumberFormat="0" applyFill="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60" borderId="0" applyNumberFormat="0" applyBorder="0" applyAlignment="0" applyProtection="0"/>
    <xf numFmtId="0" fontId="4" fillId="61" borderId="0" applyNumberFormat="0" applyBorder="0" applyAlignment="0" applyProtection="0"/>
    <xf numFmtId="0" fontId="4" fillId="64" borderId="0" applyNumberFormat="0" applyBorder="0" applyAlignment="0" applyProtection="0"/>
    <xf numFmtId="0" fontId="4" fillId="65" borderId="0" applyNumberFormat="0" applyBorder="0" applyAlignment="0" applyProtection="0"/>
    <xf numFmtId="0" fontId="4" fillId="68" borderId="0" applyNumberFormat="0" applyBorder="0" applyAlignment="0" applyProtection="0"/>
    <xf numFmtId="0" fontId="4" fillId="69" borderId="0" applyNumberFormat="0" applyBorder="0" applyAlignment="0" applyProtection="0"/>
    <xf numFmtId="0" fontId="4" fillId="72" borderId="0" applyNumberFormat="0" applyBorder="0" applyAlignment="0" applyProtection="0"/>
    <xf numFmtId="0" fontId="4" fillId="73" borderId="0" applyNumberFormat="0" applyBorder="0" applyAlignment="0" applyProtection="0"/>
    <xf numFmtId="0" fontId="4" fillId="76" borderId="0" applyNumberFormat="0" applyBorder="0" applyAlignment="0" applyProtection="0"/>
    <xf numFmtId="0" fontId="4" fillId="77" borderId="0" applyNumberFormat="0" applyBorder="0" applyAlignment="0" applyProtection="0"/>
    <xf numFmtId="0" fontId="4" fillId="80" borderId="0" applyNumberFormat="0" applyBorder="0" applyAlignment="0" applyProtection="0"/>
    <xf numFmtId="0" fontId="4" fillId="81"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 fontId="44" fillId="0" borderId="112" applyFill="0" applyBorder="0" applyProtection="0">
      <alignment horizontal="right" vertical="center"/>
    </xf>
    <xf numFmtId="0" fontId="4" fillId="0" borderId="0"/>
    <xf numFmtId="0" fontId="23" fillId="23" borderId="122" applyNumberFormat="0" applyAlignment="0" applyProtection="0"/>
    <xf numFmtId="0" fontId="17" fillId="23" borderId="113" applyNumberFormat="0" applyAlignment="0" applyProtection="0"/>
    <xf numFmtId="9"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2" fillId="28" borderId="121" applyNumberFormat="0" applyFont="0" applyAlignment="0" applyProtection="0"/>
    <xf numFmtId="43" fontId="4" fillId="0" borderId="0" applyFont="0" applyFill="0" applyBorder="0" applyAlignment="0" applyProtection="0"/>
    <xf numFmtId="0" fontId="30" fillId="0" borderId="111" applyNumberFormat="0" applyFill="0" applyAlignment="0" applyProtection="0"/>
    <xf numFmtId="0" fontId="12" fillId="28" borderId="115" applyNumberFormat="0" applyFont="0" applyAlignment="0" applyProtection="0"/>
    <xf numFmtId="0" fontId="23" fillId="23" borderId="116" applyNumberFormat="0" applyAlignment="0" applyProtection="0"/>
    <xf numFmtId="0" fontId="12" fillId="28" borderId="109" applyNumberFormat="0" applyFont="0" applyAlignment="0" applyProtection="0"/>
    <xf numFmtId="0" fontId="20" fillId="8" borderId="119" applyNumberFormat="0" applyAlignment="0" applyProtection="0"/>
    <xf numFmtId="0" fontId="12" fillId="28" borderId="126" applyNumberFormat="0" applyFont="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0" fillId="8" borderId="107" applyNumberFormat="0" applyAlignment="0" applyProtection="0"/>
    <xf numFmtId="0" fontId="30" fillId="0" borderId="111" applyNumberFormat="0" applyFill="0" applyAlignment="0" applyProtection="0"/>
    <xf numFmtId="0" fontId="12" fillId="28" borderId="115" applyNumberFormat="0" applyFont="0" applyAlignment="0" applyProtection="0"/>
    <xf numFmtId="0" fontId="12" fillId="28" borderId="109" applyNumberFormat="0" applyFont="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0" fillId="8" borderId="113" applyNumberFormat="0" applyAlignment="0" applyProtection="0"/>
    <xf numFmtId="0" fontId="12" fillId="28" borderId="115" applyNumberFormat="0" applyFont="0" applyAlignment="0" applyProtection="0"/>
    <xf numFmtId="0" fontId="17" fillId="23" borderId="119" applyNumberFormat="0" applyAlignment="0" applyProtection="0"/>
    <xf numFmtId="0" fontId="23" fillId="23" borderId="110" applyNumberFormat="0" applyAlignment="0" applyProtection="0"/>
    <xf numFmtId="0" fontId="20" fillId="8" borderId="125" applyNumberFormat="0" applyAlignment="0" applyProtection="0"/>
    <xf numFmtId="4" fontId="44" fillId="0" borderId="118" applyFill="0" applyBorder="0" applyProtection="0">
      <alignment horizontal="right" vertical="center"/>
    </xf>
    <xf numFmtId="0" fontId="12" fillId="28" borderId="109" applyNumberFormat="0" applyFont="0" applyAlignment="0" applyProtection="0"/>
    <xf numFmtId="0" fontId="12" fillId="28" borderId="126" applyNumberFormat="0" applyFont="0" applyAlignment="0" applyProtection="0"/>
    <xf numFmtId="0" fontId="12" fillId="28" borderId="121" applyNumberFormat="0" applyFont="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30" fillId="0" borderId="117"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7" fillId="23" borderId="107" applyNumberFormat="0" applyAlignment="0" applyProtection="0"/>
    <xf numFmtId="0" fontId="12" fillId="28" borderId="115" applyNumberFormat="0" applyFont="0" applyAlignment="0" applyProtection="0"/>
    <xf numFmtId="0" fontId="23" fillId="23" borderId="116" applyNumberFormat="0" applyAlignment="0" applyProtection="0"/>
    <xf numFmtId="0" fontId="12" fillId="28" borderId="109" applyNumberFormat="0" applyFont="0" applyAlignment="0" applyProtection="0"/>
    <xf numFmtId="0" fontId="12" fillId="28" borderId="126" applyNumberFormat="0" applyFont="0" applyAlignment="0" applyProtection="0"/>
    <xf numFmtId="0" fontId="30" fillId="0" borderId="111" applyNumberFormat="0" applyFill="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12" fillId="28" borderId="126"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0" borderId="0" applyNumberFormat="0" applyBorder="0" applyAlignment="0" applyProtection="0"/>
    <xf numFmtId="0" fontId="4" fillId="61" borderId="0" applyNumberFormat="0" applyBorder="0" applyAlignment="0" applyProtection="0"/>
    <xf numFmtId="0" fontId="4" fillId="64" borderId="0" applyNumberFormat="0" applyBorder="0" applyAlignment="0" applyProtection="0"/>
    <xf numFmtId="0" fontId="4" fillId="65" borderId="0" applyNumberFormat="0" applyBorder="0" applyAlignment="0" applyProtection="0"/>
    <xf numFmtId="0" fontId="4" fillId="68" borderId="0" applyNumberFormat="0" applyBorder="0" applyAlignment="0" applyProtection="0"/>
    <xf numFmtId="0" fontId="4" fillId="69" borderId="0" applyNumberFormat="0" applyBorder="0" applyAlignment="0" applyProtection="0"/>
    <xf numFmtId="0" fontId="4" fillId="72" borderId="0" applyNumberFormat="0" applyBorder="0" applyAlignment="0" applyProtection="0"/>
    <xf numFmtId="0" fontId="4" fillId="73" borderId="0" applyNumberFormat="0" applyBorder="0" applyAlignment="0" applyProtection="0"/>
    <xf numFmtId="0" fontId="4" fillId="76" borderId="0" applyNumberFormat="0" applyBorder="0" applyAlignment="0" applyProtection="0"/>
    <xf numFmtId="0" fontId="4" fillId="77" borderId="0" applyNumberFormat="0" applyBorder="0" applyAlignment="0" applyProtection="0"/>
    <xf numFmtId="0" fontId="4" fillId="80" borderId="0" applyNumberFormat="0" applyBorder="0" applyAlignment="0" applyProtection="0"/>
    <xf numFmtId="0" fontId="4" fillId="81" borderId="0" applyNumberFormat="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60" borderId="0" applyNumberFormat="0" applyBorder="0" applyAlignment="0" applyProtection="0"/>
    <xf numFmtId="0" fontId="4" fillId="61" borderId="0" applyNumberFormat="0" applyBorder="0" applyAlignment="0" applyProtection="0"/>
    <xf numFmtId="0" fontId="4" fillId="64" borderId="0" applyNumberFormat="0" applyBorder="0" applyAlignment="0" applyProtection="0"/>
    <xf numFmtId="0" fontId="4" fillId="65" borderId="0" applyNumberFormat="0" applyBorder="0" applyAlignment="0" applyProtection="0"/>
    <xf numFmtId="0" fontId="4" fillId="68" borderId="0" applyNumberFormat="0" applyBorder="0" applyAlignment="0" applyProtection="0"/>
    <xf numFmtId="0" fontId="4" fillId="69" borderId="0" applyNumberFormat="0" applyBorder="0" applyAlignment="0" applyProtection="0"/>
    <xf numFmtId="0" fontId="4" fillId="72" borderId="0" applyNumberFormat="0" applyBorder="0" applyAlignment="0" applyProtection="0"/>
    <xf numFmtId="0" fontId="4" fillId="73" borderId="0" applyNumberFormat="0" applyBorder="0" applyAlignment="0" applyProtection="0"/>
    <xf numFmtId="0" fontId="4" fillId="76" borderId="0" applyNumberFormat="0" applyBorder="0" applyAlignment="0" applyProtection="0"/>
    <xf numFmtId="0" fontId="4" fillId="77" borderId="0" applyNumberFormat="0" applyBorder="0" applyAlignment="0" applyProtection="0"/>
    <xf numFmtId="0" fontId="4" fillId="80" borderId="0" applyNumberFormat="0" applyBorder="0" applyAlignment="0" applyProtection="0"/>
    <xf numFmtId="0" fontId="4" fillId="81"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141" fillId="0" borderId="0"/>
    <xf numFmtId="9" fontId="15" fillId="0" borderId="0" applyFont="0" applyFill="0" applyBorder="0" applyAlignment="0" applyProtection="0"/>
    <xf numFmtId="0" fontId="4" fillId="0" borderId="0"/>
    <xf numFmtId="166" fontId="12" fillId="0" borderId="0" applyFont="0" applyFill="0" applyBorder="0" applyAlignment="0" applyProtection="0"/>
    <xf numFmtId="3" fontId="142" fillId="0" borderId="0"/>
    <xf numFmtId="0" fontId="143" fillId="0" borderId="0" applyNumberFormat="0" applyBorder="0" applyAlignment="0"/>
    <xf numFmtId="0" fontId="12" fillId="28" borderId="121" applyNumberFormat="0" applyFont="0" applyAlignment="0" applyProtection="0"/>
    <xf numFmtId="0" fontId="12" fillId="28" borderId="126" applyNumberFormat="0" applyFont="0" applyAlignment="0" applyProtection="0"/>
    <xf numFmtId="0" fontId="30" fillId="0" borderId="128" applyNumberFormat="0" applyFill="0" applyAlignment="0" applyProtection="0"/>
    <xf numFmtId="0" fontId="23" fillId="23" borderId="127" applyNumberFormat="0" applyAlignment="0" applyProtection="0"/>
    <xf numFmtId="0" fontId="17" fillId="23" borderId="119" applyNumberFormat="0" applyAlignment="0" applyProtection="0"/>
    <xf numFmtId="0" fontId="23" fillId="23" borderId="127" applyNumberFormat="0" applyAlignment="0" applyProtection="0"/>
    <xf numFmtId="0" fontId="17" fillId="23" borderId="119" applyNumberFormat="0" applyAlignment="0" applyProtection="0"/>
    <xf numFmtId="0" fontId="17" fillId="23" borderId="125" applyNumberFormat="0" applyAlignment="0" applyProtection="0"/>
    <xf numFmtId="0" fontId="44" fillId="0" borderId="120">
      <alignment horizontal="left" vertical="center" wrapText="1" indent="2"/>
    </xf>
    <xf numFmtId="0" fontId="12" fillId="28" borderId="121" applyNumberFormat="0" applyFont="0" applyAlignment="0" applyProtection="0"/>
    <xf numFmtId="0" fontId="12" fillId="28" borderId="121" applyNumberFormat="0" applyFont="0" applyAlignment="0" applyProtection="0"/>
    <xf numFmtId="0" fontId="12" fillId="28" borderId="126" applyNumberFormat="0" applyFont="0" applyAlignment="0" applyProtection="0"/>
    <xf numFmtId="0" fontId="23" fillId="23" borderId="127" applyNumberFormat="0" applyAlignment="0" applyProtection="0"/>
    <xf numFmtId="0" fontId="17" fillId="23" borderId="125" applyNumberFormat="0" applyAlignment="0" applyProtection="0"/>
    <xf numFmtId="0" fontId="12" fillId="28" borderId="115" applyNumberFormat="0" applyFont="0" applyAlignment="0" applyProtection="0"/>
    <xf numFmtId="0" fontId="12" fillId="28" borderId="115" applyNumberFormat="0" applyFont="0" applyAlignment="0" applyProtection="0"/>
    <xf numFmtId="0" fontId="12" fillId="28" borderId="115" applyNumberFormat="0" applyFont="0" applyAlignment="0" applyProtection="0"/>
    <xf numFmtId="0" fontId="20" fillId="8" borderId="125" applyNumberFormat="0" applyAlignment="0" applyProtection="0"/>
    <xf numFmtId="0" fontId="44" fillId="0" borderId="114">
      <alignment horizontal="left" vertical="center" wrapText="1" indent="2"/>
    </xf>
    <xf numFmtId="0" fontId="30" fillId="0" borderId="123" applyNumberFormat="0" applyFill="0" applyAlignment="0" applyProtection="0"/>
    <xf numFmtId="0" fontId="17" fillId="23" borderId="113" applyNumberFormat="0" applyAlignment="0" applyProtection="0"/>
    <xf numFmtId="0" fontId="23" fillId="23" borderId="116" applyNumberFormat="0" applyAlignment="0" applyProtection="0"/>
    <xf numFmtId="0" fontId="30" fillId="0" borderId="117" applyNumberFormat="0" applyFill="0" applyAlignment="0" applyProtection="0"/>
    <xf numFmtId="0" fontId="12" fillId="28" borderId="121" applyNumberFormat="0" applyFont="0" applyAlignment="0" applyProtection="0"/>
    <xf numFmtId="0" fontId="23" fillId="23" borderId="122" applyNumberFormat="0" applyAlignment="0" applyProtection="0"/>
    <xf numFmtId="4" fontId="44" fillId="0" borderId="124" applyFill="0" applyBorder="0" applyProtection="0">
      <alignment horizontal="right" vertical="center"/>
    </xf>
    <xf numFmtId="0" fontId="12" fillId="28" borderId="115" applyNumberFormat="0" applyFont="0" applyAlignment="0" applyProtection="0"/>
    <xf numFmtId="0" fontId="12" fillId="28" borderId="126" applyNumberFormat="0" applyFont="0" applyAlignment="0" applyProtection="0"/>
    <xf numFmtId="0" fontId="3" fillId="76" borderId="0" applyNumberFormat="0" applyBorder="0" applyAlignment="0" applyProtection="0"/>
    <xf numFmtId="0" fontId="3" fillId="0" borderId="0"/>
    <xf numFmtId="0" fontId="3" fillId="0" borderId="0"/>
    <xf numFmtId="0" fontId="141" fillId="0" borderId="0"/>
    <xf numFmtId="0" fontId="12" fillId="0" borderId="0"/>
    <xf numFmtId="0" fontId="41" fillId="0" borderId="0"/>
    <xf numFmtId="0" fontId="185" fillId="0" borderId="0"/>
    <xf numFmtId="198" fontId="185" fillId="0" borderId="0" applyBorder="0" applyProtection="0"/>
    <xf numFmtId="0" fontId="1" fillId="0" borderId="0"/>
  </cellStyleXfs>
  <cellXfs count="1351">
    <xf numFmtId="0" fontId="0" fillId="0" borderId="0" xfId="0"/>
    <xf numFmtId="0" fontId="0" fillId="0" borderId="0" xfId="0" applyBorder="1"/>
    <xf numFmtId="0" fontId="14" fillId="0" borderId="0" xfId="0" applyFont="1"/>
    <xf numFmtId="0" fontId="0" fillId="0" borderId="0" xfId="0" applyFill="1" applyBorder="1"/>
    <xf numFmtId="0" fontId="0" fillId="0" borderId="0" xfId="0" applyBorder="1" applyAlignment="1">
      <alignment horizontal="center"/>
    </xf>
    <xf numFmtId="0" fontId="14" fillId="0" borderId="0" xfId="0" applyFont="1" applyAlignment="1">
      <alignment horizontal="left"/>
    </xf>
    <xf numFmtId="0" fontId="0" fillId="0" borderId="0" xfId="0" applyBorder="1" applyAlignment="1">
      <alignment horizontal="left"/>
    </xf>
    <xf numFmtId="0" fontId="0" fillId="0" borderId="0" xfId="0" applyFill="1"/>
    <xf numFmtId="0" fontId="13" fillId="0" borderId="0" xfId="0" applyFont="1" applyFill="1" applyBorder="1" applyAlignment="1">
      <alignment horizontal="left"/>
    </xf>
    <xf numFmtId="0" fontId="0" fillId="0" borderId="0" xfId="0" applyFont="1"/>
    <xf numFmtId="0" fontId="0" fillId="30" borderId="0" xfId="0" applyFill="1"/>
    <xf numFmtId="0" fontId="34" fillId="31" borderId="12" xfId="0" applyFont="1" applyFill="1" applyBorder="1" applyAlignment="1">
      <alignment horizontal="left" vertical="center" wrapText="1"/>
    </xf>
    <xf numFmtId="0" fontId="35" fillId="29" borderId="13" xfId="0" applyFont="1" applyFill="1" applyBorder="1" applyAlignment="1">
      <alignment horizontal="left" vertical="center" wrapText="1"/>
    </xf>
    <xf numFmtId="172" fontId="0" fillId="30" borderId="0" xfId="0" applyNumberFormat="1" applyFill="1"/>
    <xf numFmtId="172" fontId="14" fillId="0" borderId="0" xfId="0" applyNumberFormat="1" applyFont="1"/>
    <xf numFmtId="172" fontId="0" fillId="0" borderId="0" xfId="0" applyNumberFormat="1"/>
    <xf numFmtId="172" fontId="34" fillId="31" borderId="12" xfId="0" applyNumberFormat="1" applyFont="1" applyFill="1" applyBorder="1" applyAlignment="1">
      <alignment horizontal="left" vertical="center" wrapText="1"/>
    </xf>
    <xf numFmtId="172" fontId="35" fillId="29" borderId="13" xfId="0" quotePrefix="1" applyNumberFormat="1" applyFont="1" applyFill="1" applyBorder="1" applyAlignment="1">
      <alignment horizontal="left" vertical="center" wrapText="1"/>
    </xf>
    <xf numFmtId="172" fontId="13" fillId="0" borderId="0" xfId="0" applyNumberFormat="1" applyFont="1" applyFill="1" applyBorder="1"/>
    <xf numFmtId="172" fontId="0" fillId="0" borderId="0" xfId="0" applyNumberFormat="1" applyBorder="1"/>
    <xf numFmtId="172" fontId="0" fillId="0" borderId="0" xfId="0" applyNumberFormat="1" applyFill="1" applyBorder="1"/>
    <xf numFmtId="172" fontId="0" fillId="0" borderId="0" xfId="0" applyNumberFormat="1" applyFont="1" applyFill="1" applyBorder="1"/>
    <xf numFmtId="172" fontId="0" fillId="0" borderId="0" xfId="0" applyNumberFormat="1" applyFill="1" applyBorder="1" applyAlignment="1">
      <alignment wrapText="1"/>
    </xf>
    <xf numFmtId="0" fontId="13" fillId="0" borderId="0" xfId="0" applyFont="1"/>
    <xf numFmtId="0" fontId="51" fillId="32" borderId="15" xfId="0" applyFont="1" applyFill="1" applyBorder="1"/>
    <xf numFmtId="0" fontId="52" fillId="32" borderId="16" xfId="0" applyFont="1" applyFill="1" applyBorder="1" applyAlignment="1" applyProtection="1">
      <alignment horizontal="center" vertical="center"/>
    </xf>
    <xf numFmtId="0" fontId="52" fillId="32" borderId="14" xfId="0" applyFont="1" applyFill="1" applyBorder="1" applyAlignment="1" applyProtection="1">
      <alignment horizontal="center" vertical="center"/>
    </xf>
    <xf numFmtId="0" fontId="53" fillId="32" borderId="0" xfId="0" applyFont="1" applyFill="1" applyAlignment="1" applyProtection="1">
      <alignment horizontal="right"/>
    </xf>
    <xf numFmtId="0" fontId="52" fillId="32" borderId="17" xfId="0" applyFont="1" applyFill="1" applyBorder="1" applyAlignment="1" applyProtection="1">
      <alignment horizontal="center" vertical="center"/>
    </xf>
    <xf numFmtId="0" fontId="52" fillId="32" borderId="18" xfId="0" applyFont="1" applyFill="1" applyBorder="1" applyAlignment="1" applyProtection="1">
      <alignment horizontal="center" vertical="center"/>
    </xf>
    <xf numFmtId="0" fontId="52" fillId="32" borderId="0" xfId="0" applyFont="1" applyFill="1" applyBorder="1" applyAlignment="1" applyProtection="1">
      <alignment horizontal="center" vertical="center"/>
    </xf>
    <xf numFmtId="0" fontId="52" fillId="32" borderId="19" xfId="0" applyFont="1" applyFill="1" applyBorder="1" applyAlignment="1" applyProtection="1">
      <alignment horizontal="center" vertical="center"/>
    </xf>
    <xf numFmtId="0" fontId="52" fillId="32" borderId="20" xfId="0" applyFont="1" applyFill="1" applyBorder="1" applyAlignment="1" applyProtection="1">
      <alignment horizontal="center" vertical="center"/>
    </xf>
    <xf numFmtId="0" fontId="52" fillId="32" borderId="21" xfId="0" applyFont="1" applyFill="1" applyBorder="1" applyAlignment="1" applyProtection="1">
      <alignment horizontal="center" vertical="center"/>
    </xf>
    <xf numFmtId="0" fontId="54" fillId="32" borderId="0" xfId="0" applyFont="1" applyFill="1" applyAlignment="1" applyProtection="1">
      <alignment horizontal="right" vertical="center"/>
    </xf>
    <xf numFmtId="0" fontId="52" fillId="32" borderId="22" xfId="0" applyFont="1" applyFill="1" applyBorder="1" applyAlignment="1" applyProtection="1">
      <alignment horizontal="center" vertical="center"/>
    </xf>
    <xf numFmtId="0" fontId="52" fillId="32" borderId="23" xfId="0" applyFont="1" applyFill="1" applyBorder="1" applyAlignment="1" applyProtection="1">
      <alignment vertical="center" wrapText="1"/>
    </xf>
    <xf numFmtId="0" fontId="52" fillId="32" borderId="13" xfId="0" applyFont="1" applyFill="1" applyBorder="1" applyAlignment="1" applyProtection="1">
      <alignment horizontal="center" vertical="center"/>
    </xf>
    <xf numFmtId="0" fontId="52" fillId="32" borderId="24" xfId="0" applyFont="1" applyFill="1" applyBorder="1" applyAlignment="1" applyProtection="1">
      <alignment horizontal="center" vertical="center"/>
    </xf>
    <xf numFmtId="0" fontId="52" fillId="32" borderId="25" xfId="0" applyFont="1" applyFill="1" applyBorder="1" applyAlignment="1" applyProtection="1">
      <alignment horizontal="center" vertical="center"/>
    </xf>
    <xf numFmtId="0" fontId="52" fillId="32" borderId="26" xfId="0" applyFont="1" applyFill="1" applyBorder="1" applyAlignment="1" applyProtection="1">
      <alignment horizontal="center" vertical="center"/>
    </xf>
    <xf numFmtId="0" fontId="55" fillId="32" borderId="27" xfId="0" applyFont="1" applyFill="1" applyBorder="1" applyAlignment="1">
      <alignment vertical="center" wrapText="1"/>
    </xf>
    <xf numFmtId="0" fontId="55" fillId="32" borderId="28" xfId="0" applyFont="1" applyFill="1" applyBorder="1" applyAlignment="1">
      <alignment vertical="center" wrapText="1"/>
    </xf>
    <xf numFmtId="0" fontId="55" fillId="32" borderId="29" xfId="0" applyFont="1" applyFill="1" applyBorder="1" applyAlignment="1">
      <alignment horizontal="center" vertical="center"/>
    </xf>
    <xf numFmtId="0" fontId="55" fillId="32" borderId="30" xfId="0" applyFont="1" applyFill="1" applyBorder="1" applyAlignment="1">
      <alignment horizontal="center" vertical="center"/>
    </xf>
    <xf numFmtId="0" fontId="55" fillId="32" borderId="31" xfId="0" applyFont="1" applyFill="1" applyBorder="1" applyAlignment="1">
      <alignment horizontal="center" vertical="center"/>
    </xf>
    <xf numFmtId="0" fontId="51" fillId="32" borderId="32" xfId="0" applyFont="1" applyFill="1" applyBorder="1"/>
    <xf numFmtId="3" fontId="51" fillId="32" borderId="20" xfId="0" applyNumberFormat="1" applyFont="1" applyFill="1" applyBorder="1"/>
    <xf numFmtId="3" fontId="51" fillId="32" borderId="18" xfId="0" applyNumberFormat="1" applyFont="1" applyFill="1" applyBorder="1"/>
    <xf numFmtId="3" fontId="51" fillId="32" borderId="33" xfId="0" applyNumberFormat="1" applyFont="1" applyFill="1" applyBorder="1"/>
    <xf numFmtId="3" fontId="0" fillId="0" borderId="0" xfId="0" applyNumberFormat="1"/>
    <xf numFmtId="0" fontId="70" fillId="41" borderId="0" xfId="417"/>
    <xf numFmtId="172" fontId="13" fillId="0" borderId="0" xfId="0" applyNumberFormat="1" applyFont="1"/>
    <xf numFmtId="0" fontId="15" fillId="6" borderId="30" xfId="6" applyBorder="1" applyAlignment="1">
      <alignment horizontal="center" vertical="center"/>
    </xf>
    <xf numFmtId="0" fontId="34" fillId="31" borderId="12" xfId="0" applyFont="1" applyFill="1" applyBorder="1" applyAlignment="1">
      <alignment horizontal="center" vertical="center" wrapText="1"/>
    </xf>
    <xf numFmtId="0" fontId="56" fillId="33" borderId="0" xfId="0" applyFont="1" applyFill="1"/>
    <xf numFmtId="0" fontId="52" fillId="32" borderId="34" xfId="0" applyFont="1" applyFill="1" applyBorder="1" applyAlignment="1" applyProtection="1">
      <alignment horizontal="center" vertical="center"/>
    </xf>
    <xf numFmtId="0" fontId="52" fillId="32" borderId="0" xfId="0" applyFont="1" applyFill="1" applyAlignment="1" applyProtection="1">
      <alignment horizontal="right" vertical="center"/>
    </xf>
    <xf numFmtId="0" fontId="51" fillId="32" borderId="35" xfId="0" applyFont="1" applyFill="1" applyBorder="1"/>
    <xf numFmtId="0" fontId="51" fillId="32" borderId="36" xfId="0" applyFont="1" applyFill="1" applyBorder="1"/>
    <xf numFmtId="3" fontId="51" fillId="32" borderId="37" xfId="0" applyNumberFormat="1" applyFont="1" applyFill="1" applyBorder="1"/>
    <xf numFmtId="3" fontId="51" fillId="32" borderId="38" xfId="0" applyNumberFormat="1" applyFont="1" applyFill="1" applyBorder="1"/>
    <xf numFmtId="3" fontId="51" fillId="32" borderId="39" xfId="0" applyNumberFormat="1" applyFont="1" applyFill="1" applyBorder="1"/>
    <xf numFmtId="0" fontId="51" fillId="32" borderId="40" xfId="0" applyFont="1" applyFill="1" applyBorder="1"/>
    <xf numFmtId="0" fontId="51" fillId="32" borderId="41" xfId="0" applyFont="1" applyFill="1" applyBorder="1"/>
    <xf numFmtId="3" fontId="51" fillId="32" borderId="16" xfId="0" applyNumberFormat="1" applyFont="1" applyFill="1" applyBorder="1"/>
    <xf numFmtId="3" fontId="51" fillId="32" borderId="42" xfId="0" applyNumberFormat="1" applyFont="1" applyFill="1" applyBorder="1"/>
    <xf numFmtId="3" fontId="51" fillId="32" borderId="43" xfId="0" applyNumberFormat="1" applyFont="1" applyFill="1" applyBorder="1"/>
    <xf numFmtId="0" fontId="57" fillId="0" borderId="2" xfId="0" applyFont="1" applyBorder="1" applyAlignment="1">
      <alignment vertical="center"/>
    </xf>
    <xf numFmtId="0" fontId="51" fillId="0" borderId="2" xfId="0" applyFont="1" applyBorder="1" applyAlignment="1" applyProtection="1">
      <alignment vertical="center"/>
    </xf>
    <xf numFmtId="0" fontId="51" fillId="0" borderId="2" xfId="0" applyFont="1" applyBorder="1" applyProtection="1"/>
    <xf numFmtId="0" fontId="51" fillId="0" borderId="2" xfId="0" applyFont="1" applyFill="1" applyBorder="1" applyProtection="1"/>
    <xf numFmtId="0" fontId="58" fillId="22" borderId="2" xfId="0" applyFont="1" applyFill="1" applyBorder="1" applyProtection="1"/>
    <xf numFmtId="0" fontId="51" fillId="32" borderId="2" xfId="0" applyFont="1" applyFill="1" applyBorder="1" applyProtection="1"/>
    <xf numFmtId="0" fontId="51" fillId="32" borderId="44" xfId="0" applyFont="1" applyFill="1" applyBorder="1"/>
    <xf numFmtId="0" fontId="51" fillId="32" borderId="45" xfId="0" applyFont="1" applyFill="1" applyBorder="1"/>
    <xf numFmtId="3" fontId="51" fillId="32" borderId="46" xfId="0" applyNumberFormat="1" applyFont="1" applyFill="1" applyBorder="1"/>
    <xf numFmtId="3" fontId="51" fillId="32" borderId="47" xfId="0" applyNumberFormat="1" applyFont="1" applyFill="1" applyBorder="1"/>
    <xf numFmtId="3" fontId="51" fillId="32" borderId="48" xfId="0" applyNumberFormat="1" applyFont="1" applyFill="1" applyBorder="1"/>
    <xf numFmtId="0" fontId="34" fillId="34" borderId="12" xfId="0" applyFont="1" applyFill="1" applyBorder="1" applyAlignment="1">
      <alignment horizontal="left" vertical="center" wrapText="1"/>
    </xf>
    <xf numFmtId="0" fontId="51" fillId="29" borderId="15" xfId="0" applyFont="1" applyFill="1" applyBorder="1"/>
    <xf numFmtId="0" fontId="51" fillId="34" borderId="15" xfId="0" applyFont="1" applyFill="1" applyBorder="1"/>
    <xf numFmtId="0" fontId="51" fillId="25" borderId="15" xfId="0" applyFont="1" applyFill="1" applyBorder="1"/>
    <xf numFmtId="3" fontId="51" fillId="25" borderId="20" xfId="0" applyNumberFormat="1" applyFont="1" applyFill="1" applyBorder="1"/>
    <xf numFmtId="3" fontId="51" fillId="25" borderId="18" xfId="0" applyNumberFormat="1" applyFont="1" applyFill="1" applyBorder="1"/>
    <xf numFmtId="3" fontId="51" fillId="25" borderId="33" xfId="0" applyNumberFormat="1" applyFont="1" applyFill="1" applyBorder="1"/>
    <xf numFmtId="3" fontId="51" fillId="34" borderId="20" xfId="0" applyNumberFormat="1" applyFont="1" applyFill="1" applyBorder="1"/>
    <xf numFmtId="3" fontId="51" fillId="34" borderId="18" xfId="0" applyNumberFormat="1" applyFont="1" applyFill="1" applyBorder="1"/>
    <xf numFmtId="3" fontId="51" fillId="34" borderId="33" xfId="0" applyNumberFormat="1" applyFont="1" applyFill="1" applyBorder="1"/>
    <xf numFmtId="0" fontId="46" fillId="0" borderId="0" xfId="993" applyFont="1"/>
    <xf numFmtId="172" fontId="46" fillId="0" borderId="0" xfId="993" applyNumberFormat="1" applyFont="1" applyFill="1" applyBorder="1"/>
    <xf numFmtId="0" fontId="41" fillId="0" borderId="0" xfId="993"/>
    <xf numFmtId="14" fontId="41" fillId="0" borderId="0" xfId="993" applyNumberFormat="1" applyFont="1" applyAlignment="1">
      <alignment horizontal="left"/>
    </xf>
    <xf numFmtId="172" fontId="41" fillId="0" borderId="0" xfId="993" applyNumberFormat="1" applyFont="1" applyFill="1" applyBorder="1" applyAlignment="1">
      <alignment horizontal="left"/>
    </xf>
    <xf numFmtId="0" fontId="41" fillId="0" borderId="0" xfId="993" applyFont="1" applyAlignment="1">
      <alignment horizontal="left"/>
    </xf>
    <xf numFmtId="172" fontId="41" fillId="0" borderId="0" xfId="993" applyNumberFormat="1" applyFill="1" applyBorder="1" applyAlignment="1">
      <alignment horizontal="left"/>
    </xf>
    <xf numFmtId="0" fontId="13" fillId="0" borderId="0" xfId="993" applyFont="1" applyFill="1" applyBorder="1" applyAlignment="1">
      <alignment horizontal="left"/>
    </xf>
    <xf numFmtId="14" fontId="41" fillId="0" borderId="0" xfId="993" applyNumberFormat="1" applyFill="1" applyAlignment="1">
      <alignment horizontal="left"/>
    </xf>
    <xf numFmtId="0" fontId="13" fillId="0" borderId="0" xfId="993" applyFont="1"/>
    <xf numFmtId="0" fontId="56" fillId="0" borderId="0" xfId="0" applyFont="1" applyFill="1"/>
    <xf numFmtId="0" fontId="13" fillId="0" borderId="0" xfId="0" applyFont="1" applyFill="1" applyBorder="1" applyAlignment="1"/>
    <xf numFmtId="0" fontId="13" fillId="30" borderId="0" xfId="0" applyFont="1" applyFill="1"/>
    <xf numFmtId="0" fontId="34" fillId="0" borderId="0" xfId="0" applyFont="1" applyFill="1"/>
    <xf numFmtId="0" fontId="34" fillId="31" borderId="49" xfId="0" applyFont="1" applyFill="1" applyBorder="1" applyAlignment="1">
      <alignment horizontal="left" vertical="center" wrapText="1"/>
    </xf>
    <xf numFmtId="0" fontId="47" fillId="29" borderId="13" xfId="0" applyFont="1" applyFill="1" applyBorder="1" applyAlignment="1">
      <alignment horizontal="left" vertical="center" wrapText="1"/>
    </xf>
    <xf numFmtId="0" fontId="47" fillId="29" borderId="13" xfId="0" applyFont="1" applyFill="1" applyBorder="1" applyAlignment="1">
      <alignment horizontal="right" vertical="center" wrapText="1"/>
    </xf>
    <xf numFmtId="0" fontId="47" fillId="29" borderId="25" xfId="0" applyFont="1" applyFill="1" applyBorder="1" applyAlignment="1">
      <alignment horizontal="right" vertical="center" wrapText="1"/>
    </xf>
    <xf numFmtId="0" fontId="47" fillId="29" borderId="13" xfId="0" applyFont="1" applyFill="1" applyBorder="1" applyAlignment="1">
      <alignment horizontal="center" vertical="center" wrapText="1"/>
    </xf>
    <xf numFmtId="0" fontId="47" fillId="32" borderId="13" xfId="0" applyFont="1" applyFill="1" applyBorder="1" applyAlignment="1">
      <alignment horizontal="left"/>
    </xf>
    <xf numFmtId="0" fontId="47" fillId="32" borderId="13" xfId="0" applyFont="1" applyFill="1" applyBorder="1" applyAlignment="1">
      <alignment horizontal="right"/>
    </xf>
    <xf numFmtId="0" fontId="47" fillId="32" borderId="50" xfId="0" applyFont="1" applyFill="1" applyBorder="1" applyAlignment="1">
      <alignment horizontal="right"/>
    </xf>
    <xf numFmtId="0" fontId="0" fillId="0" borderId="51" xfId="0" applyBorder="1"/>
    <xf numFmtId="0" fontId="0" fillId="0" borderId="19" xfId="0" applyBorder="1"/>
    <xf numFmtId="0" fontId="13" fillId="0" borderId="0" xfId="975" applyFill="1" applyBorder="1"/>
    <xf numFmtId="0" fontId="57" fillId="0" borderId="0" xfId="975" applyFont="1" applyFill="1" applyBorder="1" applyAlignment="1">
      <alignment vertical="center"/>
    </xf>
    <xf numFmtId="0" fontId="51" fillId="0" borderId="0" xfId="975" applyFont="1" applyFill="1" applyBorder="1" applyAlignment="1" applyProtection="1">
      <alignment vertical="center"/>
    </xf>
    <xf numFmtId="0" fontId="13" fillId="0" borderId="0" xfId="975"/>
    <xf numFmtId="0" fontId="52" fillId="0" borderId="0" xfId="975" applyFont="1" applyFill="1" applyBorder="1" applyAlignment="1" applyProtection="1">
      <alignment horizontal="center" vertical="center"/>
    </xf>
    <xf numFmtId="0" fontId="51" fillId="0" borderId="0" xfId="975" applyFont="1" applyFill="1" applyBorder="1" applyProtection="1"/>
    <xf numFmtId="0" fontId="13" fillId="0" borderId="0" xfId="975" applyFont="1"/>
    <xf numFmtId="0" fontId="50" fillId="0" borderId="0" xfId="975" applyFont="1"/>
    <xf numFmtId="0" fontId="58" fillId="22" borderId="52" xfId="975" applyFont="1" applyFill="1" applyBorder="1" applyProtection="1"/>
    <xf numFmtId="0" fontId="58" fillId="22" borderId="30" xfId="975" applyFont="1" applyFill="1" applyBorder="1" applyProtection="1"/>
    <xf numFmtId="0" fontId="58" fillId="22" borderId="31" xfId="975" applyFont="1" applyFill="1" applyBorder="1" applyProtection="1"/>
    <xf numFmtId="0" fontId="51" fillId="32" borderId="53" xfId="975" applyFont="1" applyFill="1" applyBorder="1" applyProtection="1"/>
    <xf numFmtId="0" fontId="51" fillId="32" borderId="18" xfId="975" applyFont="1" applyFill="1" applyBorder="1" applyProtection="1"/>
    <xf numFmtId="0" fontId="51" fillId="32" borderId="33" xfId="975" applyFont="1" applyFill="1" applyBorder="1" applyProtection="1"/>
    <xf numFmtId="0" fontId="51" fillId="32" borderId="54" xfId="975" applyFont="1" applyFill="1" applyBorder="1" applyProtection="1"/>
    <xf numFmtId="0" fontId="51" fillId="32" borderId="47" xfId="975" applyFont="1" applyFill="1" applyBorder="1" applyProtection="1"/>
    <xf numFmtId="0" fontId="51" fillId="32" borderId="48" xfId="975" applyFont="1" applyFill="1" applyBorder="1" applyProtection="1"/>
    <xf numFmtId="9" fontId="0" fillId="0" borderId="0" xfId="1474" applyFont="1"/>
    <xf numFmtId="0" fontId="13" fillId="33" borderId="0" xfId="975" applyFill="1"/>
    <xf numFmtId="9" fontId="13" fillId="33" borderId="0" xfId="1474" applyFont="1" applyFill="1"/>
    <xf numFmtId="0" fontId="55" fillId="32" borderId="27" xfId="975" applyFont="1" applyFill="1" applyBorder="1" applyAlignment="1">
      <alignment vertical="center" wrapText="1"/>
    </xf>
    <xf numFmtId="0" fontId="55" fillId="32" borderId="28" xfId="975" applyFont="1" applyFill="1" applyBorder="1" applyAlignment="1">
      <alignment vertical="center" wrapText="1"/>
    </xf>
    <xf numFmtId="0" fontId="55" fillId="32" borderId="29" xfId="975" applyFont="1" applyFill="1" applyBorder="1" applyAlignment="1">
      <alignment horizontal="center" vertical="center"/>
    </xf>
    <xf numFmtId="0" fontId="55" fillId="32" borderId="30" xfId="975" applyFont="1" applyFill="1" applyBorder="1" applyAlignment="1">
      <alignment horizontal="center" vertical="center"/>
    </xf>
    <xf numFmtId="0" fontId="55" fillId="32" borderId="31" xfId="975" applyFont="1" applyFill="1" applyBorder="1" applyAlignment="1">
      <alignment horizontal="center" vertical="center"/>
    </xf>
    <xf numFmtId="0" fontId="51" fillId="32" borderId="32" xfId="975" applyFont="1" applyFill="1" applyBorder="1"/>
    <xf numFmtId="0" fontId="51" fillId="32" borderId="15" xfId="975" applyFont="1" applyFill="1" applyBorder="1"/>
    <xf numFmtId="3" fontId="51" fillId="32" borderId="20" xfId="975" applyNumberFormat="1" applyFont="1" applyFill="1" applyBorder="1"/>
    <xf numFmtId="3" fontId="51" fillId="32" borderId="18" xfId="975" applyNumberFormat="1" applyFont="1" applyFill="1" applyBorder="1"/>
    <xf numFmtId="3" fontId="51" fillId="32" borderId="33" xfId="975" applyNumberFormat="1" applyFont="1" applyFill="1" applyBorder="1"/>
    <xf numFmtId="0" fontId="13" fillId="0" borderId="0" xfId="975" applyAlignment="1">
      <alignment vertical="center"/>
    </xf>
    <xf numFmtId="0" fontId="13" fillId="0" borderId="14" xfId="975" applyBorder="1" applyAlignment="1">
      <alignment vertical="center"/>
    </xf>
    <xf numFmtId="0" fontId="51" fillId="35" borderId="21" xfId="975" applyFont="1" applyFill="1" applyBorder="1"/>
    <xf numFmtId="0" fontId="51" fillId="35" borderId="15" xfId="975" applyFont="1" applyFill="1" applyBorder="1"/>
    <xf numFmtId="10" fontId="59" fillId="0" borderId="0" xfId="1474" applyNumberFormat="1" applyFont="1"/>
    <xf numFmtId="10" fontId="13" fillId="0" borderId="0" xfId="975" applyNumberFormat="1"/>
    <xf numFmtId="0" fontId="51" fillId="33" borderId="15" xfId="975" applyFont="1" applyFill="1" applyBorder="1"/>
    <xf numFmtId="3" fontId="59" fillId="33" borderId="0" xfId="1474" applyNumberFormat="1" applyFont="1" applyFill="1"/>
    <xf numFmtId="3" fontId="13" fillId="29" borderId="0" xfId="975" applyNumberFormat="1" applyFill="1"/>
    <xf numFmtId="0" fontId="13" fillId="29" borderId="0" xfId="975" applyFill="1"/>
    <xf numFmtId="0" fontId="51" fillId="33" borderId="41" xfId="975" applyFont="1" applyFill="1" applyBorder="1"/>
    <xf numFmtId="3" fontId="59" fillId="33" borderId="0" xfId="975" applyNumberFormat="1" applyFont="1" applyFill="1"/>
    <xf numFmtId="176" fontId="13" fillId="33" borderId="0" xfId="47" applyNumberFormat="1" applyFont="1" applyFill="1"/>
    <xf numFmtId="1" fontId="13" fillId="0" borderId="0" xfId="975" applyNumberFormat="1"/>
    <xf numFmtId="3" fontId="13" fillId="0" borderId="0" xfId="975" applyNumberFormat="1"/>
    <xf numFmtId="0" fontId="51" fillId="32" borderId="44" xfId="975" applyFont="1" applyFill="1" applyBorder="1"/>
    <xf numFmtId="0" fontId="51" fillId="32" borderId="45" xfId="975" applyFont="1" applyFill="1" applyBorder="1"/>
    <xf numFmtId="3" fontId="51" fillId="32" borderId="46" xfId="975" applyNumberFormat="1" applyFont="1" applyFill="1" applyBorder="1"/>
    <xf numFmtId="3" fontId="51" fillId="32" borderId="47" xfId="975" applyNumberFormat="1" applyFont="1" applyFill="1" applyBorder="1"/>
    <xf numFmtId="3" fontId="51" fillId="32" borderId="48" xfId="975" applyNumberFormat="1" applyFont="1" applyFill="1" applyBorder="1"/>
    <xf numFmtId="0" fontId="51" fillId="32" borderId="0" xfId="975" applyFont="1" applyFill="1" applyBorder="1"/>
    <xf numFmtId="1" fontId="59" fillId="0" borderId="0" xfId="1474" applyNumberFormat="1" applyFont="1"/>
    <xf numFmtId="9" fontId="13" fillId="0" borderId="0" xfId="975" applyNumberFormat="1"/>
    <xf numFmtId="0" fontId="59" fillId="0" borderId="0" xfId="975" applyFont="1"/>
    <xf numFmtId="9" fontId="59" fillId="0" borderId="0" xfId="1474" applyFont="1"/>
    <xf numFmtId="0" fontId="51" fillId="33" borderId="32" xfId="975" applyFont="1" applyFill="1" applyBorder="1"/>
    <xf numFmtId="3" fontId="51" fillId="33" borderId="20" xfId="975" applyNumberFormat="1" applyFont="1" applyFill="1" applyBorder="1"/>
    <xf numFmtId="3" fontId="51" fillId="33" borderId="18" xfId="975" applyNumberFormat="1" applyFont="1" applyFill="1" applyBorder="1"/>
    <xf numFmtId="3" fontId="51" fillId="33" borderId="33" xfId="975" applyNumberFormat="1" applyFont="1" applyFill="1" applyBorder="1"/>
    <xf numFmtId="0" fontId="59" fillId="0" borderId="0" xfId="975" applyFont="1" applyFill="1"/>
    <xf numFmtId="3" fontId="59" fillId="0" borderId="0" xfId="975" applyNumberFormat="1" applyFont="1"/>
    <xf numFmtId="10" fontId="0" fillId="0" borderId="0" xfId="1474" applyNumberFormat="1" applyFont="1"/>
    <xf numFmtId="0" fontId="13" fillId="0" borderId="0" xfId="975" applyFill="1"/>
    <xf numFmtId="0" fontId="13" fillId="0" borderId="0" xfId="975" applyAlignment="1">
      <alignment horizontal="center"/>
    </xf>
    <xf numFmtId="0" fontId="56" fillId="0" borderId="0" xfId="975" applyFont="1"/>
    <xf numFmtId="0" fontId="51" fillId="35" borderId="32" xfId="975" applyFont="1" applyFill="1" applyBorder="1"/>
    <xf numFmtId="3" fontId="51" fillId="35" borderId="20" xfId="975" applyNumberFormat="1" applyFont="1" applyFill="1" applyBorder="1"/>
    <xf numFmtId="3" fontId="51" fillId="32" borderId="55" xfId="975" applyNumberFormat="1" applyFont="1" applyFill="1" applyBorder="1"/>
    <xf numFmtId="3" fontId="51" fillId="32" borderId="56" xfId="975" applyNumberFormat="1" applyFont="1" applyFill="1" applyBorder="1"/>
    <xf numFmtId="3" fontId="51" fillId="32" borderId="57" xfId="975" applyNumberFormat="1" applyFont="1" applyFill="1" applyBorder="1"/>
    <xf numFmtId="0" fontId="51" fillId="36" borderId="32" xfId="975" applyFont="1" applyFill="1" applyBorder="1"/>
    <xf numFmtId="0" fontId="51" fillId="36" borderId="15" xfId="975" applyFont="1" applyFill="1" applyBorder="1"/>
    <xf numFmtId="3" fontId="51" fillId="36" borderId="20" xfId="975" applyNumberFormat="1" applyFont="1" applyFill="1" applyBorder="1"/>
    <xf numFmtId="3" fontId="51" fillId="36" borderId="18" xfId="975" applyNumberFormat="1" applyFont="1" applyFill="1" applyBorder="1"/>
    <xf numFmtId="3" fontId="51" fillId="36" borderId="33" xfId="975" applyNumberFormat="1" applyFont="1" applyFill="1" applyBorder="1"/>
    <xf numFmtId="0" fontId="13" fillId="0" borderId="0" xfId="975" applyFont="1" applyFill="1" applyBorder="1"/>
    <xf numFmtId="172" fontId="13" fillId="0" borderId="12" xfId="975" applyNumberFormat="1" applyFill="1" applyBorder="1"/>
    <xf numFmtId="172" fontId="13" fillId="33" borderId="0" xfId="975" applyNumberFormat="1" applyFont="1" applyFill="1" applyBorder="1"/>
    <xf numFmtId="172" fontId="13" fillId="30" borderId="14" xfId="975" applyNumberFormat="1" applyFont="1" applyFill="1" applyBorder="1"/>
    <xf numFmtId="172" fontId="13" fillId="33" borderId="14" xfId="975" applyNumberFormat="1" applyFont="1" applyFill="1" applyBorder="1"/>
    <xf numFmtId="0" fontId="51" fillId="33" borderId="44" xfId="975" applyFont="1" applyFill="1" applyBorder="1"/>
    <xf numFmtId="0" fontId="51" fillId="33" borderId="45" xfId="975" applyFont="1" applyFill="1" applyBorder="1"/>
    <xf numFmtId="3" fontId="51" fillId="33" borderId="46" xfId="975" applyNumberFormat="1" applyFont="1" applyFill="1" applyBorder="1"/>
    <xf numFmtId="0" fontId="13" fillId="0" borderId="14" xfId="975" applyFont="1" applyFill="1" applyBorder="1"/>
    <xf numFmtId="0" fontId="72" fillId="0" borderId="79" xfId="419"/>
    <xf numFmtId="0" fontId="73" fillId="0" borderId="0" xfId="420"/>
    <xf numFmtId="0" fontId="73" fillId="0" borderId="0" xfId="420" applyAlignment="1">
      <alignment horizontal="center"/>
    </xf>
    <xf numFmtId="0" fontId="71" fillId="0" borderId="78" xfId="418"/>
    <xf numFmtId="0" fontId="69" fillId="40" borderId="77" xfId="27" applyAlignment="1">
      <alignment horizontal="center"/>
    </xf>
    <xf numFmtId="171" fontId="79" fillId="40" borderId="80" xfId="1467" applyNumberFormat="1" applyAlignment="1">
      <alignment horizontal="center"/>
    </xf>
    <xf numFmtId="14" fontId="13" fillId="0" borderId="0" xfId="993" applyNumberFormat="1" applyFont="1" applyAlignment="1">
      <alignment horizontal="left"/>
    </xf>
    <xf numFmtId="172" fontId="13" fillId="0" borderId="0" xfId="993" applyNumberFormat="1" applyFont="1" applyFill="1" applyBorder="1" applyAlignment="1">
      <alignment horizontal="left"/>
    </xf>
    <xf numFmtId="0" fontId="13" fillId="0" borderId="0" xfId="993" applyFont="1" applyAlignment="1">
      <alignment horizontal="left"/>
    </xf>
    <xf numFmtId="0" fontId="66" fillId="37" borderId="14" xfId="983" applyFill="1" applyBorder="1"/>
    <xf numFmtId="0" fontId="83" fillId="37" borderId="14" xfId="983" applyFont="1" applyFill="1" applyBorder="1"/>
    <xf numFmtId="0" fontId="83" fillId="37" borderId="58" xfId="983" applyFont="1" applyFill="1" applyBorder="1"/>
    <xf numFmtId="0" fontId="66" fillId="37" borderId="58" xfId="983" applyFill="1" applyBorder="1"/>
    <xf numFmtId="0" fontId="0" fillId="0" borderId="21" xfId="0" applyBorder="1"/>
    <xf numFmtId="172" fontId="0" fillId="0" borderId="12" xfId="0" applyNumberFormat="1" applyBorder="1"/>
    <xf numFmtId="172" fontId="13" fillId="0" borderId="12" xfId="0" applyNumberFormat="1" applyFont="1" applyFill="1" applyBorder="1"/>
    <xf numFmtId="172" fontId="0" fillId="0" borderId="12" xfId="0" applyNumberFormat="1" applyFill="1" applyBorder="1"/>
    <xf numFmtId="0" fontId="35" fillId="29" borderId="12" xfId="0" applyFont="1" applyFill="1" applyBorder="1" applyAlignment="1">
      <alignment horizontal="left" vertical="center" wrapText="1"/>
    </xf>
    <xf numFmtId="0" fontId="48" fillId="29" borderId="12" xfId="0" applyFont="1" applyFill="1" applyBorder="1" applyAlignment="1">
      <alignment horizontal="left" vertical="center" wrapText="1"/>
    </xf>
    <xf numFmtId="0" fontId="13" fillId="0" borderId="0" xfId="0" applyFont="1" applyFill="1" applyBorder="1" applyAlignment="1">
      <alignment horizontal="center" vertical="center"/>
    </xf>
    <xf numFmtId="172" fontId="13" fillId="0" borderId="12" xfId="0" applyNumberFormat="1" applyFont="1" applyFill="1" applyBorder="1" applyAlignment="1">
      <alignment horizontal="left"/>
    </xf>
    <xf numFmtId="172" fontId="14" fillId="0" borderId="12" xfId="0" applyNumberFormat="1" applyFont="1" applyFill="1" applyBorder="1" applyAlignment="1">
      <alignment horizontal="left" wrapText="1"/>
    </xf>
    <xf numFmtId="0" fontId="0" fillId="0" borderId="17" xfId="0" applyBorder="1"/>
    <xf numFmtId="0" fontId="14" fillId="0" borderId="63" xfId="0" applyFont="1" applyBorder="1" applyAlignment="1">
      <alignment horizontal="left"/>
    </xf>
    <xf numFmtId="0" fontId="14" fillId="0" borderId="64" xfId="0" applyFont="1" applyBorder="1" applyAlignment="1">
      <alignment horizontal="left"/>
    </xf>
    <xf numFmtId="0" fontId="14" fillId="0" borderId="65" xfId="0" applyFont="1" applyBorder="1" applyAlignment="1">
      <alignment horizontal="left"/>
    </xf>
    <xf numFmtId="9" fontId="0" fillId="0" borderId="0" xfId="1473" applyFont="1" applyBorder="1"/>
    <xf numFmtId="0" fontId="13" fillId="51" borderId="66" xfId="0" applyFont="1" applyFill="1" applyBorder="1"/>
    <xf numFmtId="181" fontId="0" fillId="37" borderId="64" xfId="0" applyNumberFormat="1" applyFill="1" applyBorder="1"/>
    <xf numFmtId="0" fontId="0" fillId="37" borderId="64" xfId="0" applyFill="1" applyBorder="1"/>
    <xf numFmtId="0" fontId="0" fillId="37" borderId="63" xfId="0" applyFill="1" applyBorder="1"/>
    <xf numFmtId="0" fontId="0" fillId="37" borderId="61" xfId="0" applyFill="1" applyBorder="1"/>
    <xf numFmtId="180" fontId="0" fillId="37" borderId="60" xfId="0" applyNumberFormat="1" applyFill="1" applyBorder="1"/>
    <xf numFmtId="9" fontId="65" fillId="50" borderId="60" xfId="1987" applyFont="1" applyFill="1" applyBorder="1"/>
    <xf numFmtId="181" fontId="0" fillId="37" borderId="60" xfId="0" applyNumberFormat="1" applyFill="1" applyBorder="1"/>
    <xf numFmtId="179" fontId="0" fillId="37" borderId="60" xfId="0" applyNumberFormat="1" applyFill="1" applyBorder="1"/>
    <xf numFmtId="0" fontId="0" fillId="37" borderId="60" xfId="0" applyFill="1" applyBorder="1"/>
    <xf numFmtId="0" fontId="0" fillId="37" borderId="59" xfId="0" applyFill="1" applyBorder="1"/>
    <xf numFmtId="179" fontId="0" fillId="37" borderId="0" xfId="0" applyNumberFormat="1" applyFill="1" applyBorder="1"/>
    <xf numFmtId="0" fontId="0" fillId="37" borderId="21" xfId="0" applyFill="1" applyBorder="1"/>
    <xf numFmtId="0" fontId="85" fillId="37" borderId="0" xfId="0" applyFont="1" applyFill="1" applyBorder="1"/>
    <xf numFmtId="0" fontId="0" fillId="50" borderId="17" xfId="0" applyFill="1" applyBorder="1"/>
    <xf numFmtId="0" fontId="0" fillId="50" borderId="0" xfId="0" applyFill="1" applyBorder="1"/>
    <xf numFmtId="174" fontId="0" fillId="50" borderId="0" xfId="0" applyNumberFormat="1" applyFill="1" applyBorder="1"/>
    <xf numFmtId="180" fontId="0" fillId="37" borderId="0" xfId="0" applyNumberFormat="1" applyFill="1" applyBorder="1"/>
    <xf numFmtId="9" fontId="65" fillId="50" borderId="0" xfId="1987" applyFont="1" applyFill="1" applyBorder="1"/>
    <xf numFmtId="181" fontId="0" fillId="37" borderId="0" xfId="0" applyNumberFormat="1" applyFill="1" applyBorder="1"/>
    <xf numFmtId="0" fontId="0" fillId="37" borderId="0" xfId="0" applyFill="1" applyBorder="1"/>
    <xf numFmtId="0" fontId="0" fillId="37" borderId="17" xfId="0" applyFill="1" applyBorder="1"/>
    <xf numFmtId="0" fontId="0" fillId="51" borderId="67" xfId="0" applyFill="1" applyBorder="1"/>
    <xf numFmtId="0" fontId="0" fillId="51" borderId="66" xfId="0" applyFill="1" applyBorder="1"/>
    <xf numFmtId="0" fontId="0" fillId="51" borderId="68" xfId="0" applyFill="1" applyBorder="1"/>
    <xf numFmtId="0" fontId="0" fillId="37" borderId="0" xfId="0" applyFill="1"/>
    <xf numFmtId="0" fontId="62" fillId="52" borderId="0" xfId="0" applyFont="1" applyFill="1"/>
    <xf numFmtId="0" fontId="86" fillId="52" borderId="0" xfId="0" applyFont="1" applyFill="1"/>
    <xf numFmtId="179" fontId="34" fillId="37" borderId="0" xfId="995" applyFill="1"/>
    <xf numFmtId="179" fontId="82" fillId="46" borderId="0" xfId="1470" applyNumberFormat="1"/>
    <xf numFmtId="179" fontId="85" fillId="37" borderId="0" xfId="995" applyFont="1" applyFill="1"/>
    <xf numFmtId="179" fontId="87" fillId="37" borderId="0" xfId="995" applyFont="1" applyFill="1"/>
    <xf numFmtId="179" fontId="85" fillId="37" borderId="0" xfId="995" applyFont="1" applyFill="1" applyBorder="1"/>
    <xf numFmtId="179" fontId="85" fillId="2" borderId="0" xfId="995" applyFont="1" applyFill="1"/>
    <xf numFmtId="179" fontId="85" fillId="2" borderId="14" xfId="995" applyFont="1" applyFill="1" applyBorder="1" applyAlignment="1">
      <alignment horizontal="center"/>
    </xf>
    <xf numFmtId="179" fontId="87" fillId="37" borderId="2" xfId="995" applyFont="1" applyFill="1" applyBorder="1"/>
    <xf numFmtId="179" fontId="85" fillId="37" borderId="2" xfId="995" applyFont="1" applyFill="1" applyBorder="1"/>
    <xf numFmtId="181" fontId="85" fillId="37" borderId="0" xfId="995" applyNumberFormat="1" applyFont="1" applyFill="1"/>
    <xf numFmtId="179" fontId="88" fillId="2" borderId="0" xfId="995" applyFont="1" applyFill="1"/>
    <xf numFmtId="179" fontId="88" fillId="2" borderId="0" xfId="995" applyFont="1" applyFill="1" applyAlignment="1">
      <alignment horizontal="center"/>
    </xf>
    <xf numFmtId="179" fontId="85" fillId="2" borderId="12" xfId="995" applyFont="1" applyFill="1" applyBorder="1"/>
    <xf numFmtId="179" fontId="85" fillId="2" borderId="14" xfId="995" applyFont="1" applyFill="1" applyBorder="1"/>
    <xf numFmtId="181" fontId="76" fillId="37" borderId="0" xfId="433" applyNumberFormat="1" applyFill="1" applyBorder="1" applyAlignment="1"/>
    <xf numFmtId="181" fontId="76" fillId="37" borderId="60" xfId="433" applyNumberFormat="1" applyFill="1" applyBorder="1" applyAlignment="1"/>
    <xf numFmtId="181" fontId="76" fillId="37" borderId="64" xfId="433" applyNumberFormat="1" applyFill="1" applyBorder="1" applyAlignment="1"/>
    <xf numFmtId="180" fontId="76" fillId="43" borderId="0" xfId="433" applyNumberFormat="1" applyBorder="1" applyAlignment="1"/>
    <xf numFmtId="179" fontId="88" fillId="2" borderId="0" xfId="995" applyFont="1" applyFill="1" applyBorder="1"/>
    <xf numFmtId="179" fontId="85" fillId="2" borderId="69" xfId="995" applyFont="1" applyFill="1" applyBorder="1"/>
    <xf numFmtId="179" fontId="85" fillId="2" borderId="34" xfId="995" applyFont="1" applyFill="1" applyBorder="1"/>
    <xf numFmtId="179" fontId="85" fillId="2" borderId="19" xfId="995" applyFont="1" applyFill="1" applyBorder="1"/>
    <xf numFmtId="179" fontId="89" fillId="2" borderId="0" xfId="1471" applyFont="1" applyFill="1" applyAlignment="1"/>
    <xf numFmtId="174" fontId="68" fillId="39" borderId="0" xfId="25" applyNumberFormat="1" applyBorder="1"/>
    <xf numFmtId="174" fontId="68" fillId="39" borderId="0" xfId="25" applyNumberFormat="1" applyBorder="1" applyAlignment="1"/>
    <xf numFmtId="174" fontId="68" fillId="39" borderId="60" xfId="25" applyNumberFormat="1" applyBorder="1"/>
    <xf numFmtId="180" fontId="76" fillId="43" borderId="60" xfId="433" applyNumberFormat="1" applyBorder="1" applyAlignment="1"/>
    <xf numFmtId="9" fontId="68" fillId="39" borderId="0" xfId="25" applyNumberFormat="1" applyBorder="1" applyAlignment="1"/>
    <xf numFmtId="174" fontId="34" fillId="37" borderId="0" xfId="28" applyNumberFormat="1" applyBorder="1"/>
    <xf numFmtId="179" fontId="87" fillId="53" borderId="2" xfId="995" applyFont="1" applyFill="1" applyBorder="1"/>
    <xf numFmtId="179" fontId="85" fillId="37" borderId="42" xfId="995" applyFont="1" applyFill="1" applyBorder="1"/>
    <xf numFmtId="179" fontId="90" fillId="39" borderId="2" xfId="25" applyNumberFormat="1" applyFont="1" applyBorder="1"/>
    <xf numFmtId="182" fontId="90" fillId="39" borderId="2" xfId="25" applyNumberFormat="1" applyFont="1" applyBorder="1"/>
    <xf numFmtId="182" fontId="90" fillId="39" borderId="2" xfId="25" applyNumberFormat="1" applyFont="1" applyBorder="1" applyProtection="1">
      <protection locked="0"/>
    </xf>
    <xf numFmtId="179" fontId="91" fillId="37" borderId="2" xfId="995" applyFont="1" applyFill="1" applyBorder="1" applyAlignment="1">
      <alignment horizontal="left"/>
    </xf>
    <xf numFmtId="182" fontId="85" fillId="37" borderId="2" xfId="995" applyNumberFormat="1" applyFont="1" applyFill="1" applyBorder="1"/>
    <xf numFmtId="182" fontId="85" fillId="37" borderId="2" xfId="28" applyNumberFormat="1" applyFont="1" applyBorder="1"/>
    <xf numFmtId="179" fontId="92" fillId="43" borderId="2" xfId="433" applyFont="1" applyBorder="1" applyAlignment="1">
      <alignment horizontal="left"/>
    </xf>
    <xf numFmtId="179" fontId="92" fillId="43" borderId="2" xfId="433" applyFont="1" applyBorder="1" applyAlignment="1"/>
    <xf numFmtId="179" fontId="87" fillId="53" borderId="2" xfId="995" applyFont="1" applyFill="1" applyBorder="1" applyAlignment="1">
      <alignment horizontal="right"/>
    </xf>
    <xf numFmtId="179" fontId="85" fillId="37" borderId="70" xfId="995" applyFont="1" applyFill="1" applyBorder="1"/>
    <xf numFmtId="179" fontId="85" fillId="37" borderId="18" xfId="995" applyFont="1" applyFill="1" applyBorder="1"/>
    <xf numFmtId="179" fontId="93" fillId="38" borderId="2" xfId="995" applyNumberFormat="1" applyFont="1" applyFill="1" applyBorder="1"/>
    <xf numFmtId="184" fontId="85" fillId="37" borderId="0" xfId="995" applyNumberFormat="1" applyFont="1" applyFill="1"/>
    <xf numFmtId="179" fontId="85" fillId="52" borderId="2" xfId="995" applyFont="1" applyFill="1" applyBorder="1"/>
    <xf numFmtId="179" fontId="85" fillId="2" borderId="69" xfId="995" applyFont="1" applyFill="1" applyBorder="1" applyAlignment="1">
      <alignment horizontal="center" wrapText="1"/>
    </xf>
    <xf numFmtId="179" fontId="85" fillId="2" borderId="12" xfId="995" applyFont="1" applyFill="1" applyBorder="1" applyAlignment="1">
      <alignment horizontal="centerContinuous" wrapText="1"/>
    </xf>
    <xf numFmtId="179" fontId="85" fillId="2" borderId="12" xfId="995" applyFont="1" applyFill="1" applyBorder="1" applyAlignment="1">
      <alignment horizontal="center" wrapText="1"/>
    </xf>
    <xf numFmtId="179" fontId="85" fillId="2" borderId="12" xfId="995" applyFont="1" applyFill="1" applyBorder="1" applyAlignment="1">
      <alignment wrapText="1"/>
    </xf>
    <xf numFmtId="179" fontId="85" fillId="2" borderId="49" xfId="995" applyFont="1" applyFill="1" applyBorder="1" applyAlignment="1">
      <alignment horizontal="center" wrapText="1"/>
    </xf>
    <xf numFmtId="179" fontId="85" fillId="2" borderId="34" xfId="995" applyFont="1" applyFill="1" applyBorder="1" applyAlignment="1">
      <alignment horizontal="center"/>
    </xf>
    <xf numFmtId="179" fontId="85" fillId="2" borderId="14" xfId="995" applyFont="1" applyFill="1" applyBorder="1" applyAlignment="1">
      <alignment horizontal="right"/>
    </xf>
    <xf numFmtId="179" fontId="85" fillId="2" borderId="16" xfId="995" applyFont="1" applyFill="1" applyBorder="1" applyAlignment="1">
      <alignment horizontal="center"/>
    </xf>
    <xf numFmtId="179" fontId="85" fillId="2" borderId="49" xfId="995" applyFont="1" applyFill="1" applyBorder="1" applyAlignment="1">
      <alignment horizontal="left"/>
    </xf>
    <xf numFmtId="180" fontId="92" fillId="43" borderId="69" xfId="433" applyNumberFormat="1" applyFont="1" applyBorder="1" applyAlignment="1"/>
    <xf numFmtId="180" fontId="92" fillId="43" borderId="12" xfId="433" applyNumberFormat="1" applyFont="1" applyBorder="1" applyAlignment="1"/>
    <xf numFmtId="182" fontId="92" fillId="43" borderId="12" xfId="433" applyNumberFormat="1" applyFont="1" applyBorder="1" applyAlignment="1"/>
    <xf numFmtId="180" fontId="92" fillId="52" borderId="12" xfId="995" applyNumberFormat="1" applyFont="1" applyFill="1" applyBorder="1"/>
    <xf numFmtId="182" fontId="92" fillId="43" borderId="49" xfId="433" applyNumberFormat="1" applyFont="1" applyBorder="1" applyAlignment="1"/>
    <xf numFmtId="179" fontId="85" fillId="52" borderId="70" xfId="28" applyNumberFormat="1" applyFont="1" applyFill="1" applyBorder="1" applyAlignment="1">
      <alignment horizontal="center"/>
    </xf>
    <xf numFmtId="179" fontId="85" fillId="2" borderId="20" xfId="995" applyFont="1" applyFill="1" applyBorder="1" applyAlignment="1">
      <alignment horizontal="left"/>
    </xf>
    <xf numFmtId="180" fontId="92" fillId="43" borderId="0" xfId="433" applyNumberFormat="1" applyFont="1" applyBorder="1" applyAlignment="1"/>
    <xf numFmtId="182" fontId="92" fillId="43" borderId="0" xfId="433" applyNumberFormat="1" applyFont="1" applyBorder="1" applyAlignment="1"/>
    <xf numFmtId="180" fontId="92" fillId="52" borderId="0" xfId="995" applyNumberFormat="1" applyFont="1" applyFill="1" applyBorder="1"/>
    <xf numFmtId="182" fontId="92" fillId="43" borderId="20" xfId="433" applyNumberFormat="1" applyFont="1" applyBorder="1" applyAlignment="1"/>
    <xf numFmtId="179" fontId="85" fillId="52" borderId="18" xfId="28" applyNumberFormat="1" applyFont="1" applyFill="1" applyBorder="1" applyAlignment="1">
      <alignment horizontal="center"/>
    </xf>
    <xf numFmtId="179" fontId="92" fillId="52" borderId="0" xfId="995" applyNumberFormat="1" applyFont="1" applyFill="1" applyBorder="1"/>
    <xf numFmtId="179" fontId="85" fillId="37" borderId="19" xfId="28" applyNumberFormat="1" applyFont="1" applyBorder="1"/>
    <xf numFmtId="179" fontId="85" fillId="2" borderId="16" xfId="995" applyFont="1" applyFill="1" applyBorder="1" applyAlignment="1">
      <alignment horizontal="left"/>
    </xf>
    <xf numFmtId="180" fontId="92" fillId="43" borderId="14" xfId="433" applyNumberFormat="1" applyFont="1" applyBorder="1" applyAlignment="1"/>
    <xf numFmtId="182" fontId="92" fillId="43" borderId="14" xfId="433" applyNumberFormat="1" applyFont="1" applyBorder="1" applyAlignment="1"/>
    <xf numFmtId="179" fontId="92" fillId="52" borderId="14" xfId="995" applyNumberFormat="1" applyFont="1" applyFill="1" applyBorder="1"/>
    <xf numFmtId="182" fontId="92" fillId="43" borderId="16" xfId="433" applyNumberFormat="1" applyFont="1" applyBorder="1" applyAlignment="1"/>
    <xf numFmtId="179" fontId="85" fillId="52" borderId="42" xfId="28" applyNumberFormat="1" applyFont="1" applyFill="1" applyBorder="1" applyAlignment="1">
      <alignment horizontal="center"/>
    </xf>
    <xf numFmtId="179" fontId="89" fillId="37" borderId="0" xfId="1471" applyFont="1" applyFill="1" applyAlignment="1"/>
    <xf numFmtId="179" fontId="88" fillId="2" borderId="71" xfId="995" applyFont="1" applyFill="1" applyBorder="1" applyAlignment="1">
      <alignment horizontal="right"/>
    </xf>
    <xf numFmtId="179" fontId="88" fillId="2" borderId="72" xfId="995" applyFont="1" applyFill="1" applyBorder="1" applyAlignment="1">
      <alignment horizontal="right"/>
    </xf>
    <xf numFmtId="184" fontId="85" fillId="37" borderId="2" xfId="28" applyNumberFormat="1" applyFont="1" applyBorder="1"/>
    <xf numFmtId="182" fontId="92" fillId="43" borderId="69" xfId="433" applyNumberFormat="1" applyFont="1" applyBorder="1" applyAlignment="1"/>
    <xf numFmtId="182" fontId="92" fillId="43" borderId="19" xfId="433" applyNumberFormat="1" applyFont="1" applyBorder="1" applyAlignment="1"/>
    <xf numFmtId="182" fontId="92" fillId="43" borderId="34" xfId="433" applyNumberFormat="1" applyFont="1" applyBorder="1" applyAlignment="1"/>
    <xf numFmtId="182" fontId="85" fillId="38" borderId="2" xfId="995" applyNumberFormat="1" applyFont="1" applyFill="1" applyBorder="1"/>
    <xf numFmtId="0" fontId="85" fillId="38" borderId="2" xfId="995" applyNumberFormat="1" applyFont="1" applyFill="1" applyBorder="1"/>
    <xf numFmtId="0" fontId="85" fillId="38" borderId="2" xfId="995" applyNumberFormat="1" applyFont="1" applyFill="1" applyBorder="1" applyAlignment="1">
      <alignment horizontal="left"/>
    </xf>
    <xf numFmtId="182" fontId="94" fillId="37" borderId="2" xfId="2000" applyNumberFormat="1" applyFont="1" applyFill="1" applyBorder="1" applyProtection="1">
      <protection locked="0"/>
    </xf>
    <xf numFmtId="179" fontId="94" fillId="37" borderId="2" xfId="2000" applyNumberFormat="1" applyFont="1" applyFill="1" applyBorder="1"/>
    <xf numFmtId="0" fontId="85" fillId="37" borderId="2" xfId="28" applyFont="1" applyBorder="1"/>
    <xf numFmtId="182" fontId="85" fillId="37" borderId="2" xfId="28" applyNumberFormat="1" applyFont="1" applyBorder="1" applyProtection="1">
      <protection locked="0"/>
    </xf>
    <xf numFmtId="0" fontId="92" fillId="43" borderId="2" xfId="433" applyNumberFormat="1" applyFont="1" applyBorder="1" applyAlignment="1">
      <alignment horizontal="left"/>
    </xf>
    <xf numFmtId="179" fontId="91" fillId="52" borderId="2" xfId="995" applyFont="1" applyFill="1" applyBorder="1" applyAlignment="1">
      <alignment horizontal="left"/>
    </xf>
    <xf numFmtId="179" fontId="94" fillId="37" borderId="0" xfId="2000" applyNumberFormat="1" applyFont="1" applyFill="1" applyBorder="1"/>
    <xf numFmtId="179" fontId="85" fillId="2" borderId="2" xfId="995" applyFont="1" applyFill="1" applyBorder="1"/>
    <xf numFmtId="180" fontId="85" fillId="2" borderId="2" xfId="995" applyNumberFormat="1" applyFont="1" applyFill="1" applyBorder="1"/>
    <xf numFmtId="180" fontId="85" fillId="50" borderId="2" xfId="995" applyNumberFormat="1" applyFont="1" applyFill="1" applyBorder="1"/>
    <xf numFmtId="182" fontId="85" fillId="54" borderId="2" xfId="995" applyNumberFormat="1" applyFont="1" applyFill="1" applyBorder="1"/>
    <xf numFmtId="179" fontId="85" fillId="2" borderId="2" xfId="995" applyFont="1" applyFill="1" applyBorder="1" applyAlignment="1">
      <alignment horizontal="centerContinuous"/>
    </xf>
    <xf numFmtId="181" fontId="90" fillId="39" borderId="2" xfId="25" applyNumberFormat="1" applyFont="1" applyBorder="1"/>
    <xf numFmtId="179" fontId="85" fillId="50" borderId="2" xfId="995" applyNumberFormat="1" applyFont="1" applyFill="1" applyBorder="1"/>
    <xf numFmtId="181" fontId="85" fillId="50" borderId="2" xfId="995" applyNumberFormat="1" applyFont="1" applyFill="1" applyBorder="1"/>
    <xf numFmtId="9" fontId="92" fillId="43" borderId="49" xfId="1987" applyFont="1" applyFill="1" applyBorder="1" applyAlignment="1"/>
    <xf numFmtId="9" fontId="92" fillId="43" borderId="20" xfId="1987" applyFont="1" applyFill="1" applyBorder="1" applyAlignment="1"/>
    <xf numFmtId="9" fontId="92" fillId="43" borderId="16" xfId="1987" applyFont="1" applyFill="1" applyBorder="1" applyAlignment="1"/>
    <xf numFmtId="179" fontId="84" fillId="37" borderId="2" xfId="2000" applyNumberFormat="1" applyFill="1" applyBorder="1"/>
    <xf numFmtId="180" fontId="94" fillId="37" borderId="2" xfId="2000" applyNumberFormat="1" applyFont="1" applyFill="1" applyBorder="1"/>
    <xf numFmtId="177" fontId="88" fillId="2" borderId="0" xfId="1987" applyNumberFormat="1" applyFont="1" applyFill="1"/>
    <xf numFmtId="179" fontId="68" fillId="39" borderId="0" xfId="25" applyNumberFormat="1" applyBorder="1"/>
    <xf numFmtId="182" fontId="68" fillId="39" borderId="2" xfId="25" applyNumberFormat="1" applyBorder="1"/>
    <xf numFmtId="181" fontId="68" fillId="39" borderId="2" xfId="25" applyNumberFormat="1" applyBorder="1"/>
    <xf numFmtId="179" fontId="81" fillId="45" borderId="0" xfId="1469" applyNumberFormat="1"/>
    <xf numFmtId="179" fontId="89" fillId="37" borderId="0" xfId="1471" applyFont="1" applyFill="1" applyBorder="1" applyAlignment="1"/>
    <xf numFmtId="180" fontId="92" fillId="50" borderId="12" xfId="433" applyNumberFormat="1" applyFont="1" applyFill="1" applyBorder="1" applyAlignment="1"/>
    <xf numFmtId="180" fontId="92" fillId="50" borderId="0" xfId="433" applyNumberFormat="1" applyFont="1" applyFill="1" applyBorder="1" applyAlignment="1"/>
    <xf numFmtId="180" fontId="92" fillId="50" borderId="14" xfId="433" applyNumberFormat="1" applyFont="1" applyFill="1" applyBorder="1" applyAlignment="1"/>
    <xf numFmtId="177" fontId="85" fillId="50" borderId="12" xfId="28" applyNumberFormat="1" applyFont="1" applyFill="1" applyBorder="1" applyAlignment="1">
      <alignment horizontal="right"/>
    </xf>
    <xf numFmtId="177" fontId="85" fillId="50" borderId="0" xfId="28" applyNumberFormat="1" applyFont="1" applyFill="1" applyBorder="1" applyAlignment="1">
      <alignment horizontal="right"/>
    </xf>
    <xf numFmtId="177" fontId="85" fillId="50" borderId="14" xfId="28" applyNumberFormat="1" applyFont="1" applyFill="1" applyBorder="1" applyAlignment="1">
      <alignment horizontal="right"/>
    </xf>
    <xf numFmtId="9" fontId="92" fillId="50" borderId="49" xfId="1987" applyFont="1" applyFill="1" applyBorder="1"/>
    <xf numFmtId="9" fontId="92" fillId="50" borderId="20" xfId="1987" applyFont="1" applyFill="1" applyBorder="1"/>
    <xf numFmtId="9" fontId="92" fillId="50" borderId="20" xfId="433" applyNumberFormat="1" applyFont="1" applyFill="1" applyBorder="1" applyAlignment="1"/>
    <xf numFmtId="9" fontId="92" fillId="50" borderId="16" xfId="433" applyNumberFormat="1" applyFont="1" applyFill="1" applyBorder="1" applyAlignment="1"/>
    <xf numFmtId="182" fontId="85" fillId="50" borderId="49" xfId="28" applyNumberFormat="1" applyFont="1" applyFill="1" applyBorder="1"/>
    <xf numFmtId="182" fontId="85" fillId="50" borderId="20" xfId="28" applyNumberFormat="1" applyFont="1" applyFill="1" applyBorder="1"/>
    <xf numFmtId="182" fontId="85" fillId="50" borderId="18" xfId="28" applyNumberFormat="1" applyFont="1" applyFill="1" applyBorder="1"/>
    <xf numFmtId="182" fontId="85" fillId="50" borderId="16" xfId="28" applyNumberFormat="1" applyFont="1" applyFill="1" applyBorder="1"/>
    <xf numFmtId="185" fontId="92" fillId="50" borderId="49" xfId="433" applyNumberFormat="1" applyFont="1" applyFill="1" applyBorder="1" applyAlignment="1"/>
    <xf numFmtId="185" fontId="92" fillId="50" borderId="20" xfId="433" applyNumberFormat="1" applyFont="1" applyFill="1" applyBorder="1" applyAlignment="1"/>
    <xf numFmtId="185" fontId="92" fillId="50" borderId="16" xfId="433" applyNumberFormat="1" applyFont="1" applyFill="1" applyBorder="1" applyAlignment="1"/>
    <xf numFmtId="183" fontId="92" fillId="50" borderId="49" xfId="433" applyNumberFormat="1" applyFont="1" applyFill="1" applyBorder="1" applyAlignment="1"/>
    <xf numFmtId="183" fontId="92" fillId="50" borderId="20" xfId="433" applyNumberFormat="1" applyFont="1" applyFill="1" applyBorder="1" applyAlignment="1"/>
    <xf numFmtId="183" fontId="92" fillId="50" borderId="16" xfId="433" applyNumberFormat="1" applyFont="1" applyFill="1" applyBorder="1" applyAlignment="1"/>
    <xf numFmtId="174" fontId="34" fillId="37" borderId="0" xfId="433" applyNumberFormat="1" applyFont="1" applyFill="1" applyBorder="1" applyAlignment="1"/>
    <xf numFmtId="180" fontId="85" fillId="37" borderId="0" xfId="28" applyNumberFormat="1" applyFont="1" applyBorder="1"/>
    <xf numFmtId="180" fontId="90" fillId="39" borderId="0" xfId="25" applyNumberFormat="1" applyFont="1" applyBorder="1"/>
    <xf numFmtId="180" fontId="85" fillId="37" borderId="0" xfId="28" applyNumberFormat="1" applyFont="1" applyBorder="1" applyProtection="1">
      <protection locked="0"/>
    </xf>
    <xf numFmtId="180" fontId="76" fillId="43" borderId="0" xfId="433" applyNumberFormat="1" applyBorder="1" applyAlignment="1" applyProtection="1">
      <protection locked="0"/>
    </xf>
    <xf numFmtId="182" fontId="85" fillId="37" borderId="0" xfId="28" applyNumberFormat="1" applyFont="1" applyBorder="1" applyProtection="1">
      <protection locked="0"/>
    </xf>
    <xf numFmtId="179" fontId="92" fillId="43" borderId="21" xfId="433" applyFont="1" applyBorder="1" applyAlignment="1">
      <alignment horizontal="left"/>
    </xf>
    <xf numFmtId="179" fontId="92" fillId="43" borderId="21" xfId="433" applyNumberFormat="1" applyFont="1" applyBorder="1" applyAlignment="1"/>
    <xf numFmtId="179" fontId="92" fillId="43" borderId="21" xfId="433" applyFont="1" applyBorder="1" applyAlignment="1"/>
    <xf numFmtId="182" fontId="90" fillId="45" borderId="2" xfId="25" applyNumberFormat="1" applyFont="1" applyFill="1" applyBorder="1" applyProtection="1">
      <protection locked="0"/>
    </xf>
    <xf numFmtId="172" fontId="95" fillId="0" borderId="0" xfId="0" applyNumberFormat="1" applyFont="1" applyFill="1" applyBorder="1"/>
    <xf numFmtId="0" fontId="11" fillId="0" borderId="0" xfId="2005"/>
    <xf numFmtId="0" fontId="12" fillId="0" borderId="0" xfId="2007"/>
    <xf numFmtId="172" fontId="12" fillId="0" borderId="0" xfId="993" applyNumberFormat="1" applyFont="1" applyFill="1" applyBorder="1" applyAlignment="1">
      <alignment horizontal="left"/>
    </xf>
    <xf numFmtId="14" fontId="12" fillId="0" borderId="0" xfId="993" applyNumberFormat="1" applyFont="1" applyAlignment="1">
      <alignment horizontal="left"/>
    </xf>
    <xf numFmtId="0" fontId="12" fillId="0" borderId="0" xfId="0" applyFont="1" applyFill="1" applyBorder="1" applyAlignment="1">
      <alignment horizontal="left"/>
    </xf>
    <xf numFmtId="172" fontId="12" fillId="0" borderId="0" xfId="0" applyNumberFormat="1" applyFont="1" applyFill="1" applyBorder="1"/>
    <xf numFmtId="0" fontId="12" fillId="0" borderId="0" xfId="975" applyFont="1"/>
    <xf numFmtId="0" fontId="51" fillId="35" borderId="81" xfId="975" applyFont="1" applyFill="1" applyBorder="1"/>
    <xf numFmtId="0" fontId="51" fillId="33" borderId="82" xfId="975" applyFont="1" applyFill="1" applyBorder="1"/>
    <xf numFmtId="0" fontId="12" fillId="0" borderId="0" xfId="0" applyFont="1" applyBorder="1"/>
    <xf numFmtId="0" fontId="12" fillId="0" borderId="0" xfId="993" applyFont="1" applyAlignment="1">
      <alignment horizontal="left"/>
    </xf>
    <xf numFmtId="0" fontId="0" fillId="0" borderId="0" xfId="0"/>
    <xf numFmtId="14" fontId="12" fillId="0" borderId="0" xfId="993" applyNumberFormat="1" applyFont="1" applyAlignment="1">
      <alignment horizontal="left"/>
    </xf>
    <xf numFmtId="172" fontId="12" fillId="0" borderId="0" xfId="993" applyNumberFormat="1" applyFont="1" applyFill="1" applyBorder="1" applyAlignment="1">
      <alignment horizontal="left"/>
    </xf>
    <xf numFmtId="0" fontId="12" fillId="0" borderId="0" xfId="993" applyFont="1" applyAlignment="1">
      <alignment horizontal="left"/>
    </xf>
    <xf numFmtId="0" fontId="9" fillId="0" borderId="21" xfId="3291" applyBorder="1"/>
    <xf numFmtId="0" fontId="9" fillId="0" borderId="67" xfId="3291" applyBorder="1"/>
    <xf numFmtId="0" fontId="34" fillId="34" borderId="12" xfId="2007" applyFont="1" applyFill="1" applyBorder="1" applyAlignment="1">
      <alignment horizontal="left" vertical="center" wrapText="1"/>
    </xf>
    <xf numFmtId="0" fontId="34" fillId="31" borderId="12" xfId="2007" applyFont="1" applyFill="1" applyBorder="1" applyAlignment="1">
      <alignment horizontal="left" vertical="center" wrapText="1"/>
    </xf>
    <xf numFmtId="0" fontId="12" fillId="0" borderId="0" xfId="2007"/>
    <xf numFmtId="0" fontId="12" fillId="0" borderId="0" xfId="2007" applyAlignment="1">
      <alignment horizontal="center"/>
    </xf>
    <xf numFmtId="0" fontId="12" fillId="30" borderId="0" xfId="2007" applyFont="1" applyFill="1"/>
    <xf numFmtId="0" fontId="12" fillId="0" borderId="0" xfId="2007" applyAlignment="1">
      <alignment horizontal="left"/>
    </xf>
    <xf numFmtId="0" fontId="9" fillId="0" borderId="0" xfId="3310"/>
    <xf numFmtId="2" fontId="9" fillId="0" borderId="0" xfId="3310" applyNumberFormat="1"/>
    <xf numFmtId="0" fontId="12" fillId="0" borderId="0" xfId="3310" applyFont="1" applyFill="1" applyBorder="1" applyAlignment="1"/>
    <xf numFmtId="0" fontId="48" fillId="29" borderId="12" xfId="2007" applyFont="1" applyFill="1" applyBorder="1" applyAlignment="1">
      <alignment horizontal="left" vertical="center" wrapText="1"/>
    </xf>
    <xf numFmtId="0" fontId="35" fillId="29" borderId="12" xfId="2007" applyFont="1" applyFill="1" applyBorder="1" applyAlignment="1">
      <alignment horizontal="left" vertical="center" wrapText="1"/>
    </xf>
    <xf numFmtId="0" fontId="35" fillId="29" borderId="13" xfId="2007" applyFont="1" applyFill="1" applyBorder="1" applyAlignment="1">
      <alignment horizontal="left" vertical="center" wrapText="1"/>
    </xf>
    <xf numFmtId="0" fontId="9" fillId="0" borderId="0" xfId="3291" applyBorder="1"/>
    <xf numFmtId="0" fontId="83" fillId="0" borderId="66" xfId="3312" applyFont="1" applyBorder="1" applyAlignment="1"/>
    <xf numFmtId="1" fontId="83" fillId="0" borderId="21" xfId="3312" applyNumberFormat="1" applyFont="1" applyFill="1" applyBorder="1" applyAlignment="1">
      <alignment horizontal="center"/>
    </xf>
    <xf numFmtId="1" fontId="83" fillId="0" borderId="0" xfId="3312" applyNumberFormat="1" applyFont="1" applyFill="1" applyBorder="1" applyAlignment="1">
      <alignment horizontal="center"/>
    </xf>
    <xf numFmtId="171" fontId="97" fillId="0" borderId="0" xfId="3312" applyNumberFormat="1" applyFont="1" applyFill="1" applyBorder="1" applyAlignment="1">
      <alignment horizontal="center"/>
    </xf>
    <xf numFmtId="171" fontId="83" fillId="0" borderId="17" xfId="3312" applyNumberFormat="1" applyFont="1" applyFill="1" applyBorder="1" applyAlignment="1">
      <alignment horizontal="left"/>
    </xf>
    <xf numFmtId="171" fontId="9" fillId="0" borderId="60" xfId="3312" applyNumberFormat="1" applyFont="1" applyFill="1" applyBorder="1" applyAlignment="1">
      <alignment horizontal="center"/>
    </xf>
    <xf numFmtId="0" fontId="9" fillId="0" borderId="21" xfId="3312" applyFont="1" applyBorder="1"/>
    <xf numFmtId="14" fontId="83" fillId="0" borderId="0" xfId="3312" applyNumberFormat="1" applyFont="1" applyBorder="1" applyAlignment="1">
      <alignment horizontal="left"/>
    </xf>
    <xf numFmtId="0" fontId="9" fillId="0" borderId="0" xfId="3312" applyFont="1" applyBorder="1"/>
    <xf numFmtId="0" fontId="83" fillId="0" borderId="17" xfId="3312" applyFont="1" applyBorder="1"/>
    <xf numFmtId="0" fontId="9" fillId="0" borderId="66" xfId="3291" applyBorder="1"/>
    <xf numFmtId="0" fontId="9" fillId="0" borderId="66" xfId="3312" applyFont="1" applyBorder="1"/>
    <xf numFmtId="0" fontId="83" fillId="0" borderId="68" xfId="3312" applyFont="1" applyBorder="1"/>
    <xf numFmtId="0" fontId="83" fillId="0" borderId="60" xfId="3312" applyFont="1" applyFill="1" applyBorder="1" applyAlignment="1">
      <alignment horizontal="left"/>
    </xf>
    <xf numFmtId="0" fontId="83" fillId="0" borderId="59" xfId="3312" applyFont="1" applyFill="1" applyBorder="1" applyAlignment="1">
      <alignment horizontal="left"/>
    </xf>
    <xf numFmtId="0" fontId="83" fillId="0" borderId="0" xfId="3312" applyFont="1" applyBorder="1" applyAlignment="1">
      <alignment horizontal="left"/>
    </xf>
    <xf numFmtId="0" fontId="12" fillId="0" borderId="17" xfId="0" applyFont="1" applyBorder="1"/>
    <xf numFmtId="172" fontId="12" fillId="0" borderId="0" xfId="993" applyNumberFormat="1" applyFont="1" applyFill="1" applyBorder="1"/>
    <xf numFmtId="179" fontId="85" fillId="37" borderId="0" xfId="995" applyFont="1" applyFill="1"/>
    <xf numFmtId="179" fontId="85" fillId="37" borderId="0" xfId="995" applyFont="1" applyFill="1" applyBorder="1"/>
    <xf numFmtId="179" fontId="85" fillId="37" borderId="2" xfId="995" applyFont="1" applyFill="1" applyBorder="1"/>
    <xf numFmtId="181" fontId="85" fillId="37" borderId="0" xfId="995" applyNumberFormat="1" applyFont="1" applyFill="1"/>
    <xf numFmtId="179" fontId="88" fillId="2" borderId="0" xfId="995" applyFont="1" applyFill="1"/>
    <xf numFmtId="181" fontId="76" fillId="37" borderId="0" xfId="433" applyNumberFormat="1" applyFill="1" applyBorder="1" applyAlignment="1"/>
    <xf numFmtId="179" fontId="88" fillId="2" borderId="0" xfId="995" applyFont="1" applyFill="1" applyBorder="1"/>
    <xf numFmtId="179" fontId="85" fillId="2" borderId="19" xfId="995" applyFont="1" applyFill="1" applyBorder="1"/>
    <xf numFmtId="179" fontId="90" fillId="39" borderId="2" xfId="25" applyNumberFormat="1" applyFont="1" applyBorder="1"/>
    <xf numFmtId="182" fontId="90" fillId="39" borderId="2" xfId="25" applyNumberFormat="1" applyFont="1" applyBorder="1"/>
    <xf numFmtId="182" fontId="90" fillId="39" borderId="2" xfId="25" applyNumberFormat="1" applyFont="1" applyBorder="1" applyProtection="1">
      <protection locked="0"/>
    </xf>
    <xf numFmtId="182" fontId="85" fillId="37" borderId="2" xfId="28" applyNumberFormat="1" applyFont="1" applyBorder="1"/>
    <xf numFmtId="179" fontId="92" fillId="43" borderId="2" xfId="433" applyFont="1" applyBorder="1" applyAlignment="1">
      <alignment horizontal="left"/>
    </xf>
    <xf numFmtId="179" fontId="92" fillId="43" borderId="2" xfId="433" applyFont="1" applyBorder="1" applyAlignment="1"/>
    <xf numFmtId="184" fontId="85" fillId="37" borderId="0" xfId="995" applyNumberFormat="1" applyFont="1" applyFill="1"/>
    <xf numFmtId="179" fontId="85" fillId="2" borderId="20" xfId="995" applyFont="1" applyFill="1" applyBorder="1" applyAlignment="1">
      <alignment horizontal="left"/>
    </xf>
    <xf numFmtId="180" fontId="92" fillId="43" borderId="0" xfId="433" applyNumberFormat="1" applyFont="1" applyBorder="1" applyAlignment="1"/>
    <xf numFmtId="182" fontId="92" fillId="43" borderId="0" xfId="433" applyNumberFormat="1" applyFont="1" applyBorder="1" applyAlignment="1"/>
    <xf numFmtId="182" fontId="92" fillId="43" borderId="20" xfId="433" applyNumberFormat="1" applyFont="1" applyBorder="1" applyAlignment="1"/>
    <xf numFmtId="179" fontId="85" fillId="52" borderId="18" xfId="28" applyNumberFormat="1" applyFont="1" applyFill="1" applyBorder="1" applyAlignment="1">
      <alignment horizontal="center"/>
    </xf>
    <xf numFmtId="179" fontId="92" fillId="52" borderId="0" xfId="995" applyNumberFormat="1" applyFont="1" applyFill="1" applyBorder="1"/>
    <xf numFmtId="184" fontId="85" fillId="37" borderId="2" xfId="28" applyNumberFormat="1" applyFont="1" applyBorder="1"/>
    <xf numFmtId="179" fontId="68" fillId="39" borderId="0" xfId="25" applyNumberFormat="1" applyBorder="1"/>
    <xf numFmtId="180" fontId="92" fillId="50" borderId="0" xfId="433" applyNumberFormat="1" applyFont="1" applyFill="1" applyBorder="1" applyAlignment="1"/>
    <xf numFmtId="177" fontId="85" fillId="50" borderId="0" xfId="28" applyNumberFormat="1" applyFont="1" applyFill="1" applyBorder="1" applyAlignment="1">
      <alignment horizontal="right"/>
    </xf>
    <xf numFmtId="182" fontId="85" fillId="50" borderId="20" xfId="28" applyNumberFormat="1" applyFont="1" applyFill="1" applyBorder="1"/>
    <xf numFmtId="185" fontId="92" fillId="50" borderId="20" xfId="433" applyNumberFormat="1" applyFont="1" applyFill="1" applyBorder="1" applyAlignment="1"/>
    <xf numFmtId="183" fontId="92" fillId="50" borderId="20" xfId="433" applyNumberFormat="1" applyFont="1" applyFill="1" applyBorder="1" applyAlignment="1"/>
    <xf numFmtId="180" fontId="85" fillId="37" borderId="0" xfId="28" applyNumberFormat="1" applyFont="1" applyBorder="1" applyProtection="1">
      <protection locked="0"/>
    </xf>
    <xf numFmtId="179" fontId="92" fillId="43" borderId="21" xfId="433" applyFont="1" applyBorder="1" applyAlignment="1">
      <alignment horizontal="left"/>
    </xf>
    <xf numFmtId="179" fontId="34" fillId="37" borderId="0" xfId="3371" applyFill="1"/>
    <xf numFmtId="179" fontId="34" fillId="37" borderId="0" xfId="3371" applyFill="1" applyBorder="1" applyAlignment="1">
      <alignment horizontal="left"/>
    </xf>
    <xf numFmtId="0" fontId="122" fillId="0" borderId="0" xfId="3261" applyFont="1"/>
    <xf numFmtId="0" fontId="10" fillId="0" borderId="0" xfId="3261"/>
    <xf numFmtId="0" fontId="83" fillId="0" borderId="0" xfId="3261" applyFont="1"/>
    <xf numFmtId="0" fontId="83" fillId="0" borderId="14" xfId="3261" applyFont="1" applyBorder="1"/>
    <xf numFmtId="0" fontId="83" fillId="51" borderId="0" xfId="3261" applyFont="1" applyFill="1"/>
    <xf numFmtId="0" fontId="83" fillId="83" borderId="0" xfId="3261" applyFont="1" applyFill="1"/>
    <xf numFmtId="0" fontId="7" fillId="0" borderId="0" xfId="3261" applyFont="1"/>
    <xf numFmtId="172" fontId="0" fillId="0" borderId="0" xfId="0" applyNumberFormat="1"/>
    <xf numFmtId="172" fontId="0" fillId="0" borderId="0" xfId="0" applyNumberFormat="1" applyBorder="1"/>
    <xf numFmtId="0" fontId="0" fillId="0" borderId="0" xfId="0" applyAlignment="1">
      <alignment horizontal="left"/>
    </xf>
    <xf numFmtId="1" fontId="39" fillId="0" borderId="0" xfId="2002" applyNumberFormat="1" applyFont="1" applyFill="1" applyBorder="1" applyAlignment="1">
      <alignment horizontal="center"/>
    </xf>
    <xf numFmtId="0" fontId="0" fillId="0" borderId="0" xfId="0"/>
    <xf numFmtId="0" fontId="0" fillId="0" borderId="0" xfId="0" applyAlignment="1">
      <alignment horizontal="center"/>
    </xf>
    <xf numFmtId="0" fontId="12" fillId="0" borderId="0" xfId="0" applyFont="1" applyFill="1" applyBorder="1" applyAlignment="1">
      <alignment horizontal="center" vertical="center"/>
    </xf>
    <xf numFmtId="0" fontId="83" fillId="0" borderId="0" xfId="6229" applyFont="1"/>
    <xf numFmtId="0" fontId="5" fillId="0" borderId="0" xfId="6229"/>
    <xf numFmtId="0" fontId="5" fillId="0" borderId="0" xfId="6229" applyFont="1"/>
    <xf numFmtId="171" fontId="5" fillId="0" borderId="90" xfId="7504" applyNumberFormat="1" applyFont="1" applyFill="1" applyBorder="1" applyAlignment="1">
      <alignment horizontal="center"/>
    </xf>
    <xf numFmtId="171" fontId="5" fillId="50" borderId="90" xfId="7504" applyNumberFormat="1" applyFont="1" applyFill="1" applyBorder="1" applyAlignment="1">
      <alignment horizontal="center"/>
    </xf>
    <xf numFmtId="0" fontId="83" fillId="0" borderId="68" xfId="7490" applyFont="1" applyFill="1" applyBorder="1"/>
    <xf numFmtId="43" fontId="5" fillId="0" borderId="66" xfId="6610" applyFont="1" applyFill="1" applyBorder="1"/>
    <xf numFmtId="0" fontId="5" fillId="0" borderId="66" xfId="7490" applyFill="1" applyBorder="1"/>
    <xf numFmtId="0" fontId="83" fillId="0" borderId="66" xfId="7490" applyFont="1" applyFill="1" applyBorder="1"/>
    <xf numFmtId="0" fontId="83" fillId="0" borderId="67" xfId="7490" applyFont="1" applyFill="1" applyBorder="1"/>
    <xf numFmtId="0" fontId="83" fillId="0" borderId="17" xfId="7490" applyFont="1" applyFill="1" applyBorder="1"/>
    <xf numFmtId="2" fontId="5" fillId="0" borderId="0" xfId="7490" applyNumberFormat="1" applyFill="1" applyBorder="1"/>
    <xf numFmtId="2" fontId="5" fillId="50" borderId="0" xfId="7490" applyNumberFormat="1" applyFill="1" applyBorder="1"/>
    <xf numFmtId="0" fontId="5" fillId="50" borderId="17" xfId="7490" applyFont="1" applyFill="1" applyBorder="1"/>
    <xf numFmtId="0" fontId="5" fillId="0" borderId="0" xfId="7490" applyBorder="1"/>
    <xf numFmtId="0" fontId="5" fillId="0" borderId="17" xfId="7490" applyFont="1" applyBorder="1"/>
    <xf numFmtId="0" fontId="5" fillId="0" borderId="0" xfId="7490" applyFont="1" applyBorder="1"/>
    <xf numFmtId="0" fontId="5" fillId="0" borderId="21" xfId="7490" applyBorder="1"/>
    <xf numFmtId="0" fontId="5" fillId="0" borderId="91" xfId="7490" applyBorder="1"/>
    <xf numFmtId="0" fontId="5" fillId="0" borderId="90" xfId="7490" applyBorder="1"/>
    <xf numFmtId="0" fontId="5" fillId="0" borderId="92" xfId="7490" applyBorder="1"/>
    <xf numFmtId="0" fontId="85" fillId="0" borderId="0" xfId="0" applyFont="1"/>
    <xf numFmtId="0" fontId="124" fillId="0" borderId="0" xfId="991" applyFont="1"/>
    <xf numFmtId="0" fontId="125" fillId="84" borderId="0" xfId="991" applyFont="1" applyFill="1"/>
    <xf numFmtId="0" fontId="124" fillId="0" borderId="0" xfId="991" applyFont="1" applyAlignment="1">
      <alignment horizontal="right"/>
    </xf>
    <xf numFmtId="0" fontId="85" fillId="85" borderId="90" xfId="991" applyFont="1" applyFill="1" applyBorder="1" applyAlignment="1">
      <alignment horizontal="left" wrapText="1"/>
    </xf>
    <xf numFmtId="0" fontId="85" fillId="85" borderId="90" xfId="991" applyFont="1" applyFill="1" applyBorder="1" applyAlignment="1">
      <alignment horizontal="right" wrapText="1"/>
    </xf>
    <xf numFmtId="0" fontId="124" fillId="30" borderId="0" xfId="991" applyFont="1" applyFill="1"/>
    <xf numFmtId="0" fontId="94" fillId="0" borderId="0" xfId="991" applyFont="1" applyAlignment="1">
      <alignment horizontal="right"/>
    </xf>
    <xf numFmtId="0" fontId="94" fillId="85" borderId="90" xfId="991" applyFont="1" applyFill="1" applyBorder="1" applyAlignment="1">
      <alignment horizontal="right" wrapText="1"/>
    </xf>
    <xf numFmtId="0" fontId="94" fillId="0" borderId="0" xfId="0" applyFont="1"/>
    <xf numFmtId="0" fontId="0" fillId="0" borderId="0" xfId="0" applyNumberFormat="1" applyFont="1" applyFill="1" applyBorder="1" applyAlignment="1" applyProtection="1"/>
    <xf numFmtId="0" fontId="12" fillId="0" borderId="0" xfId="0" applyFont="1" applyFill="1"/>
    <xf numFmtId="172" fontId="0" fillId="0" borderId="96" xfId="0" applyNumberFormat="1" applyBorder="1"/>
    <xf numFmtId="172" fontId="12" fillId="0" borderId="96" xfId="0" applyNumberFormat="1" applyFont="1" applyFill="1" applyBorder="1"/>
    <xf numFmtId="172" fontId="0" fillId="0" borderId="96" xfId="0" applyNumberFormat="1" applyFill="1" applyBorder="1"/>
    <xf numFmtId="1" fontId="12" fillId="0" borderId="0" xfId="0" applyNumberFormat="1" applyFont="1" applyBorder="1"/>
    <xf numFmtId="172" fontId="12" fillId="0" borderId="0" xfId="0" applyNumberFormat="1" applyFont="1"/>
    <xf numFmtId="0" fontId="0" fillId="0" borderId="96" xfId="0" applyBorder="1"/>
    <xf numFmtId="0" fontId="0" fillId="0" borderId="96" xfId="0" applyFill="1" applyBorder="1"/>
    <xf numFmtId="0" fontId="85" fillId="31" borderId="93" xfId="991" applyFont="1" applyFill="1" applyBorder="1" applyAlignment="1">
      <alignment horizontal="left" vertical="center" wrapText="1"/>
    </xf>
    <xf numFmtId="0" fontId="85" fillId="31" borderId="93" xfId="991" applyFont="1" applyFill="1" applyBorder="1" applyAlignment="1">
      <alignment horizontal="left" vertical="top" wrapText="1"/>
    </xf>
    <xf numFmtId="0" fontId="85" fillId="31" borderId="93" xfId="991" applyFont="1" applyFill="1" applyBorder="1" applyAlignment="1">
      <alignment horizontal="right" vertical="center" wrapText="1"/>
    </xf>
    <xf numFmtId="0" fontId="94" fillId="31" borderId="93" xfId="991" applyFont="1" applyFill="1" applyBorder="1" applyAlignment="1">
      <alignment horizontal="right" vertical="center" wrapText="1"/>
    </xf>
    <xf numFmtId="0" fontId="85" fillId="31" borderId="0" xfId="991" applyFont="1" applyFill="1" applyAlignment="1">
      <alignment horizontal="right" vertical="center" wrapText="1"/>
    </xf>
    <xf numFmtId="187" fontId="34" fillId="88" borderId="0" xfId="0" applyNumberFormat="1" applyFont="1" applyFill="1"/>
    <xf numFmtId="0" fontId="34" fillId="88" borderId="0" xfId="991" applyFont="1" applyFill="1"/>
    <xf numFmtId="0" fontId="126" fillId="89" borderId="97" xfId="0" applyNumberFormat="1" applyFont="1" applyFill="1" applyBorder="1" applyAlignment="1" applyProtection="1">
      <alignment horizontal="right" wrapText="1"/>
    </xf>
    <xf numFmtId="0" fontId="34" fillId="90" borderId="0" xfId="0" applyNumberFormat="1" applyFont="1" applyFill="1" applyBorder="1" applyAlignment="1" applyProtection="1">
      <alignment horizontal="right" vertical="center" wrapText="1"/>
    </xf>
    <xf numFmtId="0" fontId="15" fillId="0" borderId="0" xfId="0" applyNumberFormat="1" applyFont="1" applyFill="1" applyBorder="1" applyAlignment="1" applyProtection="1"/>
    <xf numFmtId="0" fontId="34" fillId="0" borderId="0" xfId="0" applyNumberFormat="1" applyFont="1" applyFill="1" applyBorder="1" applyAlignment="1" applyProtection="1"/>
    <xf numFmtId="0" fontId="124" fillId="0" borderId="0" xfId="991" applyFont="1" applyFill="1" applyAlignment="1">
      <alignment horizontal="right"/>
    </xf>
    <xf numFmtId="0" fontId="34" fillId="50" borderId="12" xfId="0" applyFont="1" applyFill="1" applyBorder="1" applyAlignment="1">
      <alignment horizontal="left" vertical="center" wrapText="1"/>
    </xf>
    <xf numFmtId="0" fontId="12" fillId="50" borderId="0" xfId="0" applyFont="1" applyFill="1" applyBorder="1" applyAlignment="1"/>
    <xf numFmtId="0" fontId="48" fillId="29" borderId="95" xfId="0" applyFont="1" applyFill="1" applyBorder="1" applyAlignment="1">
      <alignment horizontal="left" vertical="center" wrapText="1"/>
    </xf>
    <xf numFmtId="172" fontId="0" fillId="0" borderId="0" xfId="0" applyNumberFormat="1" applyFill="1"/>
    <xf numFmtId="172" fontId="12" fillId="0" borderId="0" xfId="0" applyNumberFormat="1" applyFont="1" applyFill="1"/>
    <xf numFmtId="172" fontId="13" fillId="0" borderId="96" xfId="0" applyNumberFormat="1" applyFont="1" applyFill="1" applyBorder="1"/>
    <xf numFmtId="172" fontId="0" fillId="0" borderId="93" xfId="0" applyNumberFormat="1" applyBorder="1"/>
    <xf numFmtId="172" fontId="0" fillId="0" borderId="93" xfId="0" applyNumberFormat="1" applyFill="1" applyBorder="1"/>
    <xf numFmtId="172" fontId="13" fillId="0" borderId="93" xfId="0" applyNumberFormat="1" applyFont="1" applyFill="1" applyBorder="1"/>
    <xf numFmtId="172" fontId="6" fillId="0" borderId="96" xfId="5676" applyNumberFormat="1" applyFont="1" applyBorder="1"/>
    <xf numFmtId="0" fontId="56" fillId="0" borderId="0" xfId="0" applyFont="1"/>
    <xf numFmtId="172" fontId="12" fillId="0" borderId="96" xfId="0" applyNumberFormat="1" applyFont="1" applyBorder="1"/>
    <xf numFmtId="172" fontId="0" fillId="0" borderId="96" xfId="0" applyNumberFormat="1" applyFill="1" applyBorder="1" applyAlignment="1">
      <alignment wrapText="1"/>
    </xf>
    <xf numFmtId="0" fontId="0" fillId="0" borderId="93" xfId="0" applyBorder="1"/>
    <xf numFmtId="0" fontId="0" fillId="0" borderId="93" xfId="0" applyFill="1" applyBorder="1"/>
    <xf numFmtId="172" fontId="13" fillId="0" borderId="0" xfId="0" applyNumberFormat="1" applyFont="1" applyFill="1" applyBorder="1" applyAlignment="1">
      <alignment horizontal="left"/>
    </xf>
    <xf numFmtId="172" fontId="12" fillId="0" borderId="0" xfId="0" applyNumberFormat="1" applyFont="1" applyAlignment="1">
      <alignment horizontal="left"/>
    </xf>
    <xf numFmtId="172" fontId="14" fillId="0" borderId="0" xfId="0" applyNumberFormat="1" applyFont="1" applyAlignment="1">
      <alignment horizontal="left" wrapText="1"/>
    </xf>
    <xf numFmtId="0" fontId="127" fillId="0" borderId="0" xfId="0" applyFont="1"/>
    <xf numFmtId="172" fontId="35" fillId="29" borderId="96" xfId="0" applyNumberFormat="1" applyFont="1" applyFill="1" applyBorder="1" applyAlignment="1">
      <alignment horizontal="left" vertical="center" wrapText="1"/>
    </xf>
    <xf numFmtId="172" fontId="35" fillId="29" borderId="96" xfId="0" quotePrefix="1" applyNumberFormat="1" applyFont="1" applyFill="1" applyBorder="1" applyAlignment="1">
      <alignment horizontal="left" vertical="center" wrapText="1"/>
    </xf>
    <xf numFmtId="0" fontId="13" fillId="0" borderId="96" xfId="0" applyFont="1" applyFill="1" applyBorder="1" applyAlignment="1">
      <alignment horizontal="left"/>
    </xf>
    <xf numFmtId="0" fontId="13" fillId="0" borderId="96" xfId="0" applyFont="1" applyFill="1" applyBorder="1" applyAlignment="1">
      <alignment horizontal="center" vertical="center"/>
    </xf>
    <xf numFmtId="1" fontId="39" fillId="0" borderId="96" xfId="2002" applyNumberFormat="1" applyFont="1" applyFill="1" applyBorder="1" applyAlignment="1">
      <alignment horizontal="center"/>
    </xf>
    <xf numFmtId="0" fontId="129" fillId="0" borderId="0" xfId="420" applyFont="1" applyAlignment="1">
      <alignment horizontal="center"/>
    </xf>
    <xf numFmtId="171" fontId="0" fillId="0" borderId="0" xfId="0" applyNumberFormat="1" applyAlignment="1">
      <alignment horizontal="center"/>
    </xf>
    <xf numFmtId="171" fontId="0" fillId="0" borderId="0" xfId="0" applyNumberFormat="1"/>
    <xf numFmtId="0" fontId="130" fillId="91" borderId="0" xfId="0" applyFont="1" applyFill="1" applyAlignment="1">
      <alignment horizontal="left"/>
    </xf>
    <xf numFmtId="0" fontId="130" fillId="91" borderId="0" xfId="0" applyFont="1" applyFill="1" applyAlignment="1">
      <alignment horizontal="center"/>
    </xf>
    <xf numFmtId="0" fontId="132" fillId="0" borderId="98" xfId="0" applyFont="1" applyBorder="1" applyAlignment="1">
      <alignment horizontal="left"/>
    </xf>
    <xf numFmtId="0" fontId="124" fillId="0" borderId="0" xfId="0" applyFont="1" applyAlignment="1">
      <alignment horizontal="left"/>
    </xf>
    <xf numFmtId="175" fontId="133" fillId="37" borderId="0" xfId="430" applyNumberFormat="1" applyFont="1" applyFill="1" applyBorder="1"/>
    <xf numFmtId="175" fontId="133" fillId="37" borderId="14" xfId="430" applyNumberFormat="1" applyFont="1" applyFill="1" applyBorder="1"/>
    <xf numFmtId="175" fontId="133" fillId="37" borderId="58" xfId="430" applyNumberFormat="1" applyFont="1" applyFill="1" applyBorder="1"/>
    <xf numFmtId="0" fontId="134" fillId="0" borderId="0" xfId="0" applyFont="1"/>
    <xf numFmtId="171" fontId="135" fillId="40" borderId="80" xfId="1467" applyNumberFormat="1" applyFont="1" applyAlignment="1">
      <alignment horizontal="center"/>
    </xf>
    <xf numFmtId="175" fontId="136" fillId="37" borderId="58" xfId="430" applyNumberFormat="1" applyFont="1" applyFill="1" applyBorder="1"/>
    <xf numFmtId="175" fontId="136" fillId="37" borderId="0" xfId="430" applyNumberFormat="1" applyFont="1" applyFill="1" applyBorder="1"/>
    <xf numFmtId="175" fontId="136" fillId="37" borderId="14" xfId="430" applyNumberFormat="1" applyFont="1" applyFill="1" applyBorder="1"/>
    <xf numFmtId="9" fontId="12" fillId="55" borderId="0" xfId="1473" applyFont="1" applyFill="1" applyBorder="1"/>
    <xf numFmtId="0" fontId="131" fillId="88" borderId="98" xfId="0" applyFont="1" applyFill="1" applyBorder="1" applyAlignment="1">
      <alignment horizontal="left" wrapText="1"/>
    </xf>
    <xf numFmtId="0" fontId="131" fillId="88" borderId="98" xfId="0" applyFont="1" applyFill="1" applyBorder="1" applyAlignment="1">
      <alignment horizontal="center"/>
    </xf>
    <xf numFmtId="1" fontId="132" fillId="0" borderId="98" xfId="0" applyNumberFormat="1" applyFont="1" applyBorder="1" applyAlignment="1">
      <alignment horizontal="center"/>
    </xf>
    <xf numFmtId="0" fontId="124" fillId="0" borderId="0" xfId="0" applyFont="1" applyAlignment="1">
      <alignment vertical="center"/>
    </xf>
    <xf numFmtId="2" fontId="136" fillId="50" borderId="0" xfId="7490" applyNumberFormat="1" applyFont="1" applyFill="1" applyBorder="1"/>
    <xf numFmtId="2" fontId="133" fillId="50" borderId="0" xfId="7490" applyNumberFormat="1" applyFont="1" applyFill="1" applyBorder="1"/>
    <xf numFmtId="171" fontId="133" fillId="50" borderId="90" xfId="7504" applyNumberFormat="1" applyFont="1" applyFill="1" applyBorder="1" applyAlignment="1">
      <alignment horizontal="center"/>
    </xf>
    <xf numFmtId="171" fontId="136" fillId="50" borderId="90" xfId="7504" applyNumberFormat="1" applyFont="1" applyFill="1" applyBorder="1" applyAlignment="1">
      <alignment horizontal="center"/>
    </xf>
    <xf numFmtId="0" fontId="13" fillId="0" borderId="96" xfId="0" applyFont="1" applyBorder="1"/>
    <xf numFmtId="0" fontId="12" fillId="0" borderId="0" xfId="0" applyFont="1"/>
    <xf numFmtId="0" fontId="140" fillId="0" borderId="0" xfId="0" applyFont="1"/>
    <xf numFmtId="0" fontId="0" fillId="0" borderId="34" xfId="0" applyBorder="1"/>
    <xf numFmtId="9" fontId="12" fillId="0" borderId="0" xfId="1473"/>
    <xf numFmtId="2" fontId="12" fillId="0" borderId="0" xfId="0" applyNumberFormat="1" applyFont="1"/>
    <xf numFmtId="0" fontId="34" fillId="50" borderId="95" xfId="0" applyFont="1" applyFill="1" applyBorder="1" applyAlignment="1">
      <alignment horizontal="left" vertical="center" wrapText="1"/>
    </xf>
    <xf numFmtId="0" fontId="34" fillId="86" borderId="93" xfId="0" applyNumberFormat="1" applyFont="1" applyFill="1" applyBorder="1" applyAlignment="1" applyProtection="1">
      <alignment horizontal="left" vertical="center" wrapText="1"/>
    </xf>
    <xf numFmtId="0" fontId="48" fillId="87" borderId="105" xfId="0" applyNumberFormat="1" applyFont="1" applyFill="1" applyBorder="1" applyAlignment="1" applyProtection="1">
      <alignment horizontal="left" vertical="center" wrapText="1"/>
    </xf>
    <xf numFmtId="1" fontId="12" fillId="0" borderId="0" xfId="0" applyNumberFormat="1" applyFont="1" applyFill="1" applyBorder="1" applyAlignment="1" applyProtection="1">
      <alignment horizontal="center"/>
    </xf>
    <xf numFmtId="0" fontId="0" fillId="0" borderId="0" xfId="0"/>
    <xf numFmtId="1" fontId="12" fillId="0" borderId="0" xfId="0" applyNumberFormat="1" applyFont="1" applyFill="1" applyBorder="1" applyAlignment="1" applyProtection="1">
      <alignment horizontal="center"/>
    </xf>
    <xf numFmtId="0" fontId="0" fillId="0" borderId="0" xfId="0" applyNumberFormat="1" applyFont="1" applyFill="1" applyBorder="1" applyAlignment="1" applyProtection="1"/>
    <xf numFmtId="1" fontId="12" fillId="0" borderId="0" xfId="0" applyNumberFormat="1" applyFont="1" applyFill="1" applyBorder="1" applyAlignment="1" applyProtection="1">
      <alignment horizontal="center"/>
    </xf>
    <xf numFmtId="1" fontId="127" fillId="0" borderId="0" xfId="0" applyNumberFormat="1" applyFont="1" applyFill="1" applyBorder="1" applyAlignment="1" applyProtection="1">
      <alignment horizontal="center"/>
    </xf>
    <xf numFmtId="0" fontId="0" fillId="0" borderId="0" xfId="0"/>
    <xf numFmtId="0" fontId="0" fillId="0" borderId="0" xfId="0" applyNumberFormat="1" applyFont="1" applyFill="1" applyBorder="1" applyAlignment="1" applyProtection="1"/>
    <xf numFmtId="1" fontId="12" fillId="0" borderId="0" xfId="0" applyNumberFormat="1" applyFont="1" applyFill="1" applyBorder="1" applyAlignment="1" applyProtection="1">
      <alignment horizontal="center"/>
    </xf>
    <xf numFmtId="1" fontId="127" fillId="0" borderId="0" xfId="0" applyNumberFormat="1" applyFont="1" applyFill="1" applyBorder="1" applyAlignment="1" applyProtection="1">
      <alignment horizontal="center"/>
    </xf>
    <xf numFmtId="0" fontId="12" fillId="0" borderId="0" xfId="2611"/>
    <xf numFmtId="0" fontId="144" fillId="50" borderId="0" xfId="2611" applyFont="1" applyFill="1"/>
    <xf numFmtId="2" fontId="12" fillId="0" borderId="0" xfId="2611" applyNumberFormat="1"/>
    <xf numFmtId="0" fontId="12" fillId="30" borderId="0" xfId="2611" applyFill="1"/>
    <xf numFmtId="0" fontId="34" fillId="31" borderId="129" xfId="2611" applyFont="1" applyFill="1" applyBorder="1" applyAlignment="1">
      <alignment horizontal="left" vertical="center" wrapText="1"/>
    </xf>
    <xf numFmtId="0" fontId="34" fillId="48" borderId="129" xfId="2611" applyFont="1" applyFill="1" applyBorder="1" applyAlignment="1">
      <alignment horizontal="left" vertical="center" wrapText="1"/>
    </xf>
    <xf numFmtId="0" fontId="34" fillId="32" borderId="129" xfId="2611" applyFont="1" applyFill="1" applyBorder="1" applyAlignment="1">
      <alignment horizontal="left" vertical="center" wrapText="1"/>
    </xf>
    <xf numFmtId="0" fontId="34" fillId="49" borderId="129" xfId="2611" applyFont="1" applyFill="1" applyBorder="1" applyAlignment="1">
      <alignment horizontal="left" vertical="center" wrapText="1"/>
    </xf>
    <xf numFmtId="0" fontId="83" fillId="76" borderId="130" xfId="10686" applyFont="1" applyBorder="1" applyAlignment="1">
      <alignment horizontal="center" vertical="center" wrapText="1"/>
    </xf>
    <xf numFmtId="0" fontId="35" fillId="29" borderId="94" xfId="2611" applyFont="1" applyFill="1" applyBorder="1" applyAlignment="1">
      <alignment horizontal="left" vertical="center" wrapText="1"/>
    </xf>
    <xf numFmtId="0" fontId="35" fillId="29" borderId="96" xfId="2611" applyFont="1" applyFill="1" applyBorder="1" applyAlignment="1">
      <alignment horizontal="center" vertical="center" wrapText="1"/>
    </xf>
    <xf numFmtId="0" fontId="12" fillId="37" borderId="0" xfId="0" applyFont="1" applyFill="1"/>
    <xf numFmtId="0" fontId="12" fillId="0" borderId="0" xfId="2611" applyAlignment="1" applyProtection="1">
      <alignment horizontal="left"/>
      <protection locked="0"/>
    </xf>
    <xf numFmtId="2" fontId="12" fillId="0" borderId="0" xfId="2611" applyNumberFormat="1" applyAlignment="1">
      <alignment horizontal="center"/>
    </xf>
    <xf numFmtId="170" fontId="12" fillId="0" borderId="0" xfId="2611" applyNumberFormat="1" applyAlignment="1">
      <alignment horizontal="center"/>
    </xf>
    <xf numFmtId="171" fontId="12" fillId="0" borderId="0" xfId="2611" applyNumberFormat="1" applyAlignment="1">
      <alignment horizontal="center"/>
    </xf>
    <xf numFmtId="170" fontId="12" fillId="47" borderId="0" xfId="2611" applyNumberFormat="1" applyFill="1" applyAlignment="1">
      <alignment horizontal="center"/>
    </xf>
    <xf numFmtId="2" fontId="12" fillId="31" borderId="0" xfId="2611" applyNumberFormat="1" applyFill="1" applyAlignment="1">
      <alignment horizontal="center"/>
    </xf>
    <xf numFmtId="9" fontId="12" fillId="50" borderId="0" xfId="2611" applyNumberFormat="1" applyFill="1" applyAlignment="1">
      <alignment horizontal="center"/>
    </xf>
    <xf numFmtId="172" fontId="127" fillId="0" borderId="0" xfId="0" applyNumberFormat="1" applyFont="1"/>
    <xf numFmtId="0" fontId="12" fillId="0" borderId="0" xfId="2611" applyAlignment="1">
      <alignment horizontal="center"/>
    </xf>
    <xf numFmtId="171" fontId="12" fillId="50" borderId="0" xfId="2611" applyNumberFormat="1" applyFill="1" applyAlignment="1">
      <alignment horizontal="center"/>
    </xf>
    <xf numFmtId="170" fontId="12" fillId="0" borderId="0" xfId="2611" applyNumberFormat="1"/>
    <xf numFmtId="1" fontId="12" fillId="0" borderId="0" xfId="2611" applyNumberFormat="1" applyAlignment="1">
      <alignment horizontal="center"/>
    </xf>
    <xf numFmtId="170" fontId="12" fillId="55" borderId="0" xfId="2611" applyNumberFormat="1" applyFill="1" applyAlignment="1">
      <alignment horizontal="center"/>
    </xf>
    <xf numFmtId="0" fontId="12" fillId="0" borderId="96" xfId="2611" applyBorder="1" applyAlignment="1" applyProtection="1">
      <alignment horizontal="left"/>
      <protection locked="0"/>
    </xf>
    <xf numFmtId="0" fontId="12" fillId="0" borderId="96" xfId="2611" applyBorder="1"/>
    <xf numFmtId="2" fontId="12" fillId="0" borderId="96" xfId="2611" applyNumberFormat="1" applyBorder="1" applyAlignment="1">
      <alignment horizontal="center"/>
    </xf>
    <xf numFmtId="170" fontId="12" fillId="55" borderId="96" xfId="2611" applyNumberFormat="1" applyFill="1" applyBorder="1" applyAlignment="1">
      <alignment horizontal="center"/>
    </xf>
    <xf numFmtId="170" fontId="12" fillId="0" borderId="96" xfId="2611" applyNumberFormat="1" applyBorder="1"/>
    <xf numFmtId="170" fontId="70" fillId="41" borderId="0" xfId="417" applyNumberFormat="1"/>
    <xf numFmtId="0" fontId="12" fillId="0" borderId="68" xfId="2611" applyBorder="1"/>
    <xf numFmtId="0" fontId="46" fillId="0" borderId="66" xfId="2611" applyFont="1" applyBorder="1" applyAlignment="1">
      <alignment horizontal="center"/>
    </xf>
    <xf numFmtId="0" fontId="46" fillId="0" borderId="67" xfId="2611" applyFont="1" applyBorder="1" applyAlignment="1">
      <alignment horizontal="center"/>
    </xf>
    <xf numFmtId="0" fontId="12" fillId="0" borderId="17" xfId="2611" applyBorder="1"/>
    <xf numFmtId="0" fontId="12" fillId="0" borderId="21" xfId="2611" applyBorder="1"/>
    <xf numFmtId="0" fontId="46" fillId="0" borderId="17" xfId="2611" applyFont="1" applyBorder="1"/>
    <xf numFmtId="171" fontId="12" fillId="50" borderId="21" xfId="2611" applyNumberFormat="1" applyFill="1" applyBorder="1" applyAlignment="1">
      <alignment horizontal="center"/>
    </xf>
    <xf numFmtId="0" fontId="46" fillId="0" borderId="131" xfId="2611" applyFont="1" applyBorder="1"/>
    <xf numFmtId="171" fontId="12" fillId="0" borderId="132" xfId="2611" applyNumberFormat="1" applyBorder="1" applyAlignment="1">
      <alignment horizontal="center"/>
    </xf>
    <xf numFmtId="171" fontId="12" fillId="50" borderId="133" xfId="2611" applyNumberFormat="1" applyFill="1" applyBorder="1" applyAlignment="1">
      <alignment horizontal="center"/>
    </xf>
    <xf numFmtId="1" fontId="12" fillId="0" borderId="0" xfId="2611" applyNumberFormat="1"/>
    <xf numFmtId="0" fontId="143" fillId="0" borderId="0" xfId="10657"/>
    <xf numFmtId="0" fontId="145" fillId="0" borderId="0" xfId="10657" applyFont="1"/>
    <xf numFmtId="1" fontId="143" fillId="0" borderId="0" xfId="10657" applyNumberFormat="1"/>
    <xf numFmtId="0" fontId="143" fillId="0" borderId="0" xfId="10657" applyAlignment="1">
      <alignment wrapText="1"/>
    </xf>
    <xf numFmtId="0" fontId="143" fillId="92" borderId="0" xfId="10657" applyFill="1" applyAlignment="1">
      <alignment horizontal="right"/>
    </xf>
    <xf numFmtId="0" fontId="146" fillId="0" borderId="0" xfId="10657" applyFont="1"/>
    <xf numFmtId="0" fontId="107" fillId="2" borderId="0" xfId="3738" applyFont="1" applyFill="1"/>
    <xf numFmtId="0" fontId="147" fillId="2" borderId="0" xfId="3738" applyFont="1" applyFill="1" applyAlignment="1">
      <alignment horizontal="center"/>
    </xf>
    <xf numFmtId="0" fontId="107" fillId="2" borderId="96" xfId="3738" applyFont="1" applyFill="1" applyBorder="1"/>
    <xf numFmtId="3" fontId="107" fillId="2" borderId="96" xfId="3738" applyNumberFormat="1" applyFont="1" applyFill="1" applyBorder="1" applyAlignment="1">
      <alignment horizontal="right"/>
    </xf>
    <xf numFmtId="0" fontId="147" fillId="2" borderId="96" xfId="3738" applyFont="1" applyFill="1" applyBorder="1" applyAlignment="1">
      <alignment horizontal="center"/>
    </xf>
    <xf numFmtId="3" fontId="107" fillId="2" borderId="0" xfId="3738" applyNumberFormat="1" applyFont="1" applyFill="1" applyAlignment="1">
      <alignment horizontal="right"/>
    </xf>
    <xf numFmtId="188" fontId="148" fillId="93" borderId="134" xfId="3738" applyNumberFormat="1" applyFont="1" applyFill="1" applyBorder="1" applyAlignment="1">
      <alignment horizontal="right"/>
    </xf>
    <xf numFmtId="188" fontId="148" fillId="93" borderId="135" xfId="3738" applyNumberFormat="1" applyFont="1" applyFill="1" applyBorder="1" applyAlignment="1">
      <alignment horizontal="right"/>
    </xf>
    <xf numFmtId="188" fontId="148" fillId="2" borderId="136" xfId="3738" applyNumberFormat="1" applyFont="1" applyFill="1" applyBorder="1" applyAlignment="1">
      <alignment horizontal="right"/>
    </xf>
    <xf numFmtId="188" fontId="148" fillId="93" borderId="136" xfId="3738" applyNumberFormat="1" applyFont="1" applyFill="1" applyBorder="1" applyAlignment="1">
      <alignment horizontal="right"/>
    </xf>
    <xf numFmtId="0" fontId="147" fillId="2" borderId="136" xfId="3738" applyFont="1" applyFill="1" applyBorder="1" applyAlignment="1">
      <alignment horizontal="center"/>
    </xf>
    <xf numFmtId="0" fontId="148" fillId="2" borderId="136" xfId="3738" applyFont="1" applyFill="1" applyBorder="1" applyAlignment="1">
      <alignment horizontal="left"/>
    </xf>
    <xf numFmtId="188" fontId="107" fillId="93" borderId="137" xfId="3738" applyNumberFormat="1" applyFont="1" applyFill="1" applyBorder="1" applyAlignment="1">
      <alignment horizontal="right"/>
    </xf>
    <xf numFmtId="188" fontId="107" fillId="93" borderId="138" xfId="3738" applyNumberFormat="1" applyFont="1" applyFill="1" applyBorder="1" applyAlignment="1">
      <alignment horizontal="right"/>
    </xf>
    <xf numFmtId="188" fontId="107" fillId="2" borderId="139" xfId="3738" applyNumberFormat="1" applyFont="1" applyFill="1" applyBorder="1" applyAlignment="1">
      <alignment horizontal="right"/>
    </xf>
    <xf numFmtId="188" fontId="107" fillId="93" borderId="139" xfId="3738" applyNumberFormat="1" applyFont="1" applyFill="1" applyBorder="1" applyAlignment="1">
      <alignment horizontal="right"/>
    </xf>
    <xf numFmtId="0" fontId="147" fillId="2" borderId="139" xfId="3738" applyFont="1" applyFill="1" applyBorder="1" applyAlignment="1">
      <alignment horizontal="center"/>
    </xf>
    <xf numFmtId="0" fontId="107" fillId="2" borderId="139" xfId="3738" applyFont="1" applyFill="1" applyBorder="1" applyAlignment="1">
      <alignment horizontal="left"/>
    </xf>
    <xf numFmtId="0" fontId="148" fillId="2" borderId="139" xfId="3738" applyFont="1" applyFill="1" applyBorder="1" applyAlignment="1">
      <alignment horizontal="center"/>
    </xf>
    <xf numFmtId="0" fontId="107" fillId="2" borderId="139" xfId="3738" applyFont="1" applyFill="1" applyBorder="1"/>
    <xf numFmtId="188" fontId="107" fillId="93" borderId="140" xfId="3738" applyNumberFormat="1" applyFont="1" applyFill="1" applyBorder="1" applyAlignment="1">
      <alignment horizontal="right"/>
    </xf>
    <xf numFmtId="188" fontId="107" fillId="93" borderId="141" xfId="3738" applyNumberFormat="1" applyFont="1" applyFill="1" applyBorder="1" applyAlignment="1">
      <alignment horizontal="right"/>
    </xf>
    <xf numFmtId="188" fontId="107" fillId="2" borderId="142" xfId="3738" applyNumberFormat="1" applyFont="1" applyFill="1" applyBorder="1" applyAlignment="1">
      <alignment horizontal="right"/>
    </xf>
    <xf numFmtId="188" fontId="107" fillId="93" borderId="142" xfId="3738" applyNumberFormat="1" applyFont="1" applyFill="1" applyBorder="1" applyAlignment="1">
      <alignment horizontal="right"/>
    </xf>
    <xf numFmtId="0" fontId="147" fillId="2" borderId="142" xfId="3738" applyFont="1" applyFill="1" applyBorder="1" applyAlignment="1">
      <alignment horizontal="center"/>
    </xf>
    <xf numFmtId="0" fontId="107" fillId="2" borderId="142" xfId="3738" applyFont="1" applyFill="1" applyBorder="1" applyAlignment="1">
      <alignment horizontal="left"/>
    </xf>
    <xf numFmtId="0" fontId="148" fillId="2" borderId="142" xfId="3738" applyFont="1" applyFill="1" applyBorder="1" applyAlignment="1">
      <alignment horizontal="center"/>
    </xf>
    <xf numFmtId="0" fontId="107" fillId="2" borderId="142" xfId="3738" applyFont="1" applyFill="1" applyBorder="1"/>
    <xf numFmtId="188" fontId="107" fillId="93" borderId="143" xfId="3738" applyNumberFormat="1" applyFont="1" applyFill="1" applyBorder="1" applyAlignment="1">
      <alignment horizontal="right"/>
    </xf>
    <xf numFmtId="188" fontId="107" fillId="93" borderId="144" xfId="3738" applyNumberFormat="1" applyFont="1" applyFill="1" applyBorder="1" applyAlignment="1">
      <alignment horizontal="right"/>
    </xf>
    <xf numFmtId="188" fontId="107" fillId="2" borderId="145" xfId="3738" applyNumberFormat="1" applyFont="1" applyFill="1" applyBorder="1" applyAlignment="1">
      <alignment horizontal="right"/>
    </xf>
    <xf numFmtId="188" fontId="107" fillId="93" borderId="145" xfId="3738" applyNumberFormat="1" applyFont="1" applyFill="1" applyBorder="1" applyAlignment="1">
      <alignment horizontal="right"/>
    </xf>
    <xf numFmtId="0" fontId="147" fillId="2" borderId="145" xfId="3738" applyFont="1" applyFill="1" applyBorder="1" applyAlignment="1">
      <alignment horizontal="center"/>
    </xf>
    <xf numFmtId="0" fontId="107" fillId="2" borderId="145" xfId="3738" applyFont="1" applyFill="1" applyBorder="1" applyAlignment="1">
      <alignment horizontal="left"/>
    </xf>
    <xf numFmtId="0" fontId="148" fillId="2" borderId="145" xfId="3738" applyFont="1" applyFill="1" applyBorder="1" applyAlignment="1">
      <alignment horizontal="center"/>
    </xf>
    <xf numFmtId="188" fontId="107" fillId="93" borderId="146" xfId="3738" applyNumberFormat="1" applyFont="1" applyFill="1" applyBorder="1" applyAlignment="1">
      <alignment horizontal="right"/>
    </xf>
    <xf numFmtId="188" fontId="107" fillId="93" borderId="147" xfId="3738" applyNumberFormat="1" applyFont="1" applyFill="1" applyBorder="1" applyAlignment="1">
      <alignment horizontal="right"/>
    </xf>
    <xf numFmtId="188" fontId="107" fillId="2" borderId="148" xfId="3738" applyNumberFormat="1" applyFont="1" applyFill="1" applyBorder="1" applyAlignment="1">
      <alignment horizontal="right"/>
    </xf>
    <xf numFmtId="188" fontId="107" fillId="93" borderId="148" xfId="3738" applyNumberFormat="1" applyFont="1" applyFill="1" applyBorder="1" applyAlignment="1">
      <alignment horizontal="right"/>
    </xf>
    <xf numFmtId="0" fontId="147" fillId="2" borderId="148" xfId="3738" applyFont="1" applyFill="1" applyBorder="1" applyAlignment="1">
      <alignment horizontal="center"/>
    </xf>
    <xf numFmtId="0" fontId="107" fillId="2" borderId="148" xfId="3738" applyFont="1" applyFill="1" applyBorder="1" applyAlignment="1">
      <alignment horizontal="left"/>
    </xf>
    <xf numFmtId="0" fontId="148" fillId="2" borderId="148" xfId="3738" applyFont="1" applyFill="1" applyBorder="1" applyAlignment="1">
      <alignment horizontal="center"/>
    </xf>
    <xf numFmtId="0" fontId="149" fillId="2" borderId="0" xfId="3738" applyFont="1" applyFill="1"/>
    <xf numFmtId="188" fontId="149" fillId="93" borderId="140" xfId="3738" applyNumberFormat="1" applyFont="1" applyFill="1" applyBorder="1" applyAlignment="1">
      <alignment horizontal="right"/>
    </xf>
    <xf numFmtId="188" fontId="149" fillId="93" borderId="141" xfId="3738" applyNumberFormat="1" applyFont="1" applyFill="1" applyBorder="1" applyAlignment="1">
      <alignment horizontal="right"/>
    </xf>
    <xf numFmtId="188" fontId="149" fillId="2" borderId="142" xfId="3738" applyNumberFormat="1" applyFont="1" applyFill="1" applyBorder="1" applyAlignment="1">
      <alignment horizontal="right"/>
    </xf>
    <xf numFmtId="188" fontId="149" fillId="93" borderId="142" xfId="3738" applyNumberFormat="1" applyFont="1" applyFill="1" applyBorder="1" applyAlignment="1">
      <alignment horizontal="right"/>
    </xf>
    <xf numFmtId="0" fontId="150" fillId="2" borderId="142" xfId="3738" applyFont="1" applyFill="1" applyBorder="1" applyAlignment="1">
      <alignment horizontal="center"/>
    </xf>
    <xf numFmtId="0" fontId="149" fillId="2" borderId="142" xfId="3738" applyFont="1" applyFill="1" applyBorder="1" applyAlignment="1">
      <alignment horizontal="left"/>
    </xf>
    <xf numFmtId="0" fontId="151" fillId="2" borderId="142" xfId="3738" applyFont="1" applyFill="1" applyBorder="1" applyAlignment="1">
      <alignment horizontal="center"/>
    </xf>
    <xf numFmtId="188" fontId="148" fillId="93" borderId="34" xfId="3738" applyNumberFormat="1" applyFont="1" applyFill="1" applyBorder="1" applyAlignment="1">
      <alignment horizontal="right"/>
    </xf>
    <xf numFmtId="188" fontId="148" fillId="93" borderId="42" xfId="3738" applyNumberFormat="1" applyFont="1" applyFill="1" applyBorder="1" applyAlignment="1">
      <alignment horizontal="right"/>
    </xf>
    <xf numFmtId="188" fontId="148" fillId="2" borderId="14" xfId="3738" applyNumberFormat="1" applyFont="1" applyFill="1" applyBorder="1" applyAlignment="1">
      <alignment horizontal="right"/>
    </xf>
    <xf numFmtId="188" fontId="148" fillId="93" borderId="14" xfId="3738" applyNumberFormat="1" applyFont="1" applyFill="1" applyBorder="1" applyAlignment="1">
      <alignment horizontal="right"/>
    </xf>
    <xf numFmtId="0" fontId="147" fillId="2" borderId="14" xfId="3738" applyFont="1" applyFill="1" applyBorder="1" applyAlignment="1">
      <alignment horizontal="center"/>
    </xf>
    <xf numFmtId="0" fontId="148" fillId="2" borderId="14" xfId="3738" applyFont="1" applyFill="1" applyBorder="1" applyAlignment="1">
      <alignment horizontal="left"/>
    </xf>
    <xf numFmtId="0" fontId="107" fillId="50" borderId="0" xfId="3738" applyFont="1" applyFill="1"/>
    <xf numFmtId="188" fontId="107" fillId="50" borderId="140" xfId="3738" applyNumberFormat="1" applyFont="1" applyFill="1" applyBorder="1" applyAlignment="1">
      <alignment horizontal="right"/>
    </xf>
    <xf numFmtId="188" fontId="107" fillId="50" borderId="141" xfId="3738" applyNumberFormat="1" applyFont="1" applyFill="1" applyBorder="1" applyAlignment="1">
      <alignment horizontal="right"/>
    </xf>
    <xf numFmtId="188" fontId="107" fillId="50" borderId="142" xfId="3738" applyNumberFormat="1" applyFont="1" applyFill="1" applyBorder="1" applyAlignment="1">
      <alignment horizontal="right"/>
    </xf>
    <xf numFmtId="0" fontId="147" fillId="50" borderId="142" xfId="3738" applyFont="1" applyFill="1" applyBorder="1" applyAlignment="1">
      <alignment horizontal="center"/>
    </xf>
    <xf numFmtId="0" fontId="107" fillId="50" borderId="142" xfId="3738" applyFont="1" applyFill="1" applyBorder="1" applyAlignment="1">
      <alignment horizontal="left"/>
    </xf>
    <xf numFmtId="0" fontId="148" fillId="50" borderId="142" xfId="3738" applyFont="1" applyFill="1" applyBorder="1" applyAlignment="1">
      <alignment horizontal="center"/>
    </xf>
    <xf numFmtId="188" fontId="148" fillId="93" borderId="149" xfId="3738" applyNumberFormat="1" applyFont="1" applyFill="1" applyBorder="1" applyAlignment="1">
      <alignment horizontal="right"/>
    </xf>
    <xf numFmtId="188" fontId="148" fillId="93" borderId="124" xfId="3738" applyNumberFormat="1" applyFont="1" applyFill="1" applyBorder="1" applyAlignment="1">
      <alignment horizontal="right"/>
    </xf>
    <xf numFmtId="188" fontId="148" fillId="2" borderId="130" xfId="3738" applyNumberFormat="1" applyFont="1" applyFill="1" applyBorder="1" applyAlignment="1">
      <alignment horizontal="right"/>
    </xf>
    <xf numFmtId="188" fontId="148" fillId="93" borderId="130" xfId="3738" applyNumberFormat="1" applyFont="1" applyFill="1" applyBorder="1" applyAlignment="1">
      <alignment horizontal="right"/>
    </xf>
    <xf numFmtId="0" fontId="147" fillId="2" borderId="130" xfId="3738" applyFont="1" applyFill="1" applyBorder="1" applyAlignment="1">
      <alignment horizontal="center"/>
    </xf>
    <xf numFmtId="0" fontId="148" fillId="2" borderId="130" xfId="3738" applyFont="1" applyFill="1" applyBorder="1" applyAlignment="1">
      <alignment horizontal="left"/>
    </xf>
    <xf numFmtId="188" fontId="107" fillId="93" borderId="150" xfId="3738" applyNumberFormat="1" applyFont="1" applyFill="1" applyBorder="1" applyAlignment="1">
      <alignment horizontal="right"/>
    </xf>
    <xf numFmtId="188" fontId="107" fillId="93" borderId="151" xfId="3738" applyNumberFormat="1" applyFont="1" applyFill="1" applyBorder="1" applyAlignment="1">
      <alignment horizontal="right"/>
    </xf>
    <xf numFmtId="188" fontId="107" fillId="2" borderId="152" xfId="3738" applyNumberFormat="1" applyFont="1" applyFill="1" applyBorder="1" applyAlignment="1">
      <alignment horizontal="right"/>
    </xf>
    <xf numFmtId="188" fontId="107" fillId="93" borderId="152" xfId="3738" applyNumberFormat="1" applyFont="1" applyFill="1" applyBorder="1" applyAlignment="1">
      <alignment horizontal="right"/>
    </xf>
    <xf numFmtId="0" fontId="147" fillId="2" borderId="152" xfId="3738" applyFont="1" applyFill="1" applyBorder="1" applyAlignment="1">
      <alignment horizontal="center"/>
    </xf>
    <xf numFmtId="0" fontId="107" fillId="2" borderId="152" xfId="3738" applyFont="1" applyFill="1" applyBorder="1" applyAlignment="1">
      <alignment horizontal="left"/>
    </xf>
    <xf numFmtId="0" fontId="148" fillId="2" borderId="152" xfId="3738" applyFont="1" applyFill="1" applyBorder="1" applyAlignment="1">
      <alignment horizontal="center"/>
    </xf>
    <xf numFmtId="0" fontId="107" fillId="93" borderId="153" xfId="3738" applyFont="1" applyFill="1" applyBorder="1" applyAlignment="1">
      <alignment horizontal="center"/>
    </xf>
    <xf numFmtId="0" fontId="107" fillId="93" borderId="154" xfId="3738" applyFont="1" applyFill="1" applyBorder="1" applyAlignment="1">
      <alignment horizontal="center"/>
    </xf>
    <xf numFmtId="0" fontId="107" fillId="2" borderId="129" xfId="3738" applyFont="1" applyFill="1" applyBorder="1" applyAlignment="1">
      <alignment horizontal="center"/>
    </xf>
    <xf numFmtId="3" fontId="107" fillId="2" borderId="129" xfId="3738" applyNumberFormat="1" applyFont="1" applyFill="1" applyBorder="1" applyAlignment="1">
      <alignment horizontal="center"/>
    </xf>
    <xf numFmtId="3" fontId="107" fillId="93" borderId="153" xfId="3738" applyNumberFormat="1" applyFont="1" applyFill="1" applyBorder="1" applyAlignment="1">
      <alignment horizontal="center"/>
    </xf>
    <xf numFmtId="0" fontId="107" fillId="93" borderId="129" xfId="3738" applyFont="1" applyFill="1" applyBorder="1" applyAlignment="1">
      <alignment horizontal="center"/>
    </xf>
    <xf numFmtId="0" fontId="147" fillId="2" borderId="129" xfId="3738" applyFont="1" applyFill="1" applyBorder="1" applyAlignment="1">
      <alignment horizontal="center"/>
    </xf>
    <xf numFmtId="0" fontId="107" fillId="2" borderId="129" xfId="3738" applyFont="1" applyFill="1" applyBorder="1"/>
    <xf numFmtId="0" fontId="148" fillId="93" borderId="149" xfId="3738" applyFont="1" applyFill="1" applyBorder="1" applyAlignment="1">
      <alignment horizontal="center" vertical="center" wrapText="1"/>
    </xf>
    <xf numFmtId="0" fontId="148" fillId="93" borderId="124" xfId="3738" applyFont="1" applyFill="1" applyBorder="1" applyAlignment="1">
      <alignment horizontal="center" vertical="center" wrapText="1"/>
    </xf>
    <xf numFmtId="0" fontId="148" fillId="2" borderId="130" xfId="3738" applyFont="1" applyFill="1" applyBorder="1" applyAlignment="1">
      <alignment horizontal="center" vertical="center" wrapText="1"/>
    </xf>
    <xf numFmtId="0" fontId="148" fillId="2" borderId="130" xfId="3738" applyFont="1" applyFill="1" applyBorder="1" applyAlignment="1">
      <alignment horizontal="center" vertical="center"/>
    </xf>
    <xf numFmtId="0" fontId="148" fillId="93" borderId="149" xfId="3738" applyFont="1" applyFill="1" applyBorder="1" applyAlignment="1">
      <alignment horizontal="center" vertical="center"/>
    </xf>
    <xf numFmtId="0" fontId="148" fillId="93" borderId="130" xfId="3738" applyFont="1" applyFill="1" applyBorder="1" applyAlignment="1">
      <alignment horizontal="center" vertical="center" wrapText="1"/>
    </xf>
    <xf numFmtId="0" fontId="152" fillId="2" borderId="130" xfId="3738" quotePrefix="1" applyFont="1" applyFill="1" applyBorder="1" applyAlignment="1">
      <alignment horizontal="center" vertical="center"/>
    </xf>
    <xf numFmtId="0" fontId="152" fillId="2" borderId="130" xfId="3738" applyFont="1" applyFill="1" applyBorder="1" applyAlignment="1">
      <alignment horizontal="center" vertical="center"/>
    </xf>
    <xf numFmtId="0" fontId="152" fillId="2" borderId="130" xfId="3738" applyFont="1" applyFill="1" applyBorder="1" applyAlignment="1">
      <alignment horizontal="centerContinuous" vertical="center"/>
    </xf>
    <xf numFmtId="0" fontId="107" fillId="2" borderId="0" xfId="3738" applyFont="1" applyFill="1" applyAlignment="1">
      <alignment horizontal="center"/>
    </xf>
    <xf numFmtId="0" fontId="107" fillId="2" borderId="14" xfId="3738" applyFont="1" applyFill="1" applyBorder="1" applyAlignment="1">
      <alignment horizontal="center"/>
    </xf>
    <xf numFmtId="0" fontId="107" fillId="2" borderId="34" xfId="3738" applyFont="1" applyFill="1" applyBorder="1" applyAlignment="1">
      <alignment horizontal="center"/>
    </xf>
    <xf numFmtId="0" fontId="148" fillId="2" borderId="14" xfId="3738" applyFont="1" applyFill="1" applyBorder="1" applyAlignment="1">
      <alignment horizontal="center"/>
    </xf>
    <xf numFmtId="0" fontId="107" fillId="2" borderId="14" xfId="3738" applyFont="1" applyFill="1" applyBorder="1"/>
    <xf numFmtId="3" fontId="107" fillId="2" borderId="14" xfId="3738" applyNumberFormat="1" applyFont="1" applyFill="1" applyBorder="1" applyAlignment="1">
      <alignment horizontal="right"/>
    </xf>
    <xf numFmtId="188" fontId="148" fillId="2" borderId="96" xfId="3738" applyNumberFormat="1" applyFont="1" applyFill="1" applyBorder="1" applyAlignment="1">
      <alignment horizontal="right"/>
    </xf>
    <xf numFmtId="188" fontId="148" fillId="93" borderId="96" xfId="3738" applyNumberFormat="1" applyFont="1" applyFill="1" applyBorder="1" applyAlignment="1">
      <alignment horizontal="right"/>
    </xf>
    <xf numFmtId="0" fontId="148" fillId="2" borderId="96" xfId="3738" applyFont="1" applyFill="1" applyBorder="1" applyAlignment="1">
      <alignment horizontal="left"/>
    </xf>
    <xf numFmtId="0" fontId="107" fillId="2" borderId="96" xfId="3738" applyFont="1" applyFill="1" applyBorder="1" applyAlignment="1">
      <alignment horizontal="center"/>
    </xf>
    <xf numFmtId="0" fontId="148" fillId="2" borderId="96" xfId="3738" applyFont="1" applyFill="1" applyBorder="1" applyAlignment="1">
      <alignment horizontal="center"/>
    </xf>
    <xf numFmtId="189" fontId="12" fillId="0" borderId="0" xfId="2611" applyNumberFormat="1"/>
    <xf numFmtId="2" fontId="143" fillId="0" borderId="0" xfId="2611" applyNumberFormat="1" applyFont="1"/>
    <xf numFmtId="0" fontId="145" fillId="0" borderId="0" xfId="2611" applyFont="1" applyAlignment="1">
      <alignment horizontal="left"/>
    </xf>
    <xf numFmtId="0" fontId="46" fillId="94" borderId="0" xfId="0" applyFont="1" applyFill="1"/>
    <xf numFmtId="0" fontId="143" fillId="0" borderId="0" xfId="2611" applyFont="1"/>
    <xf numFmtId="0" fontId="153" fillId="0" borderId="0" xfId="2611" applyFont="1"/>
    <xf numFmtId="0" fontId="145" fillId="0" borderId="0" xfId="2611" applyFont="1"/>
    <xf numFmtId="0" fontId="46" fillId="0" borderId="0" xfId="2611" applyFont="1"/>
    <xf numFmtId="0" fontId="143" fillId="0" borderId="92" xfId="2611" applyFont="1" applyBorder="1"/>
    <xf numFmtId="0" fontId="143" fillId="0" borderId="97" xfId="2611" applyFont="1" applyBorder="1"/>
    <xf numFmtId="170" fontId="12" fillId="0" borderId="97" xfId="2611" applyNumberFormat="1" applyBorder="1"/>
    <xf numFmtId="0" fontId="12" fillId="0" borderId="97" xfId="2611" applyBorder="1"/>
    <xf numFmtId="0" fontId="12" fillId="0" borderId="91" xfId="2611" applyBorder="1"/>
    <xf numFmtId="0" fontId="143" fillId="0" borderId="21" xfId="2611" applyFont="1" applyBorder="1"/>
    <xf numFmtId="0" fontId="3" fillId="0" borderId="0" xfId="10687" applyAlignment="1">
      <alignment horizontal="left"/>
    </xf>
    <xf numFmtId="0" fontId="3" fillId="0" borderId="17" xfId="10687" applyBorder="1" applyAlignment="1">
      <alignment horizontal="left"/>
    </xf>
    <xf numFmtId="0" fontId="12" fillId="0" borderId="67" xfId="2611" applyBorder="1"/>
    <xf numFmtId="0" fontId="12" fillId="0" borderId="66" xfId="2611" applyBorder="1"/>
    <xf numFmtId="0" fontId="3" fillId="0" borderId="0" xfId="10687"/>
    <xf numFmtId="10" fontId="3" fillId="0" borderId="0" xfId="10653" applyNumberFormat="1" applyFont="1"/>
    <xf numFmtId="2" fontId="3" fillId="0" borderId="0" xfId="10687" applyNumberFormat="1"/>
    <xf numFmtId="0" fontId="83" fillId="0" borderId="0" xfId="10687" applyFont="1"/>
    <xf numFmtId="2" fontId="3" fillId="0" borderId="0" xfId="10687" quotePrefix="1" applyNumberFormat="1"/>
    <xf numFmtId="190" fontId="154" fillId="0" borderId="0" xfId="10656" applyNumberFormat="1" applyFont="1"/>
    <xf numFmtId="0" fontId="3" fillId="0" borderId="0" xfId="10687" applyAlignment="1">
      <alignment horizontal="center"/>
    </xf>
    <xf numFmtId="171" fontId="132" fillId="0" borderId="0" xfId="10687" applyNumberFormat="1" applyFont="1" applyAlignment="1">
      <alignment horizontal="center"/>
    </xf>
    <xf numFmtId="1" fontId="3" fillId="0" borderId="0" xfId="10687" applyNumberFormat="1" applyAlignment="1">
      <alignment horizontal="center"/>
    </xf>
    <xf numFmtId="0" fontId="3" fillId="0" borderId="129" xfId="10687" applyBorder="1"/>
    <xf numFmtId="171" fontId="124" fillId="0" borderId="0" xfId="10687" applyNumberFormat="1" applyFont="1" applyAlignment="1">
      <alignment horizontal="right"/>
    </xf>
    <xf numFmtId="0" fontId="155" fillId="0" borderId="0" xfId="10687" applyFont="1"/>
    <xf numFmtId="1" fontId="132" fillId="0" borderId="0" xfId="10687" applyNumberFormat="1" applyFont="1" applyAlignment="1">
      <alignment horizontal="center"/>
    </xf>
    <xf numFmtId="0" fontId="155" fillId="0" borderId="0" xfId="10687" applyFont="1" applyAlignment="1">
      <alignment horizontal="left"/>
    </xf>
    <xf numFmtId="0" fontId="132" fillId="0" borderId="0" xfId="10687" applyFont="1" applyAlignment="1">
      <alignment horizontal="left"/>
    </xf>
    <xf numFmtId="2" fontId="155" fillId="0" borderId="155" xfId="49" applyNumberFormat="1" applyFont="1" applyBorder="1" applyAlignment="1">
      <alignment horizontal="center"/>
    </xf>
    <xf numFmtId="0" fontId="3" fillId="0" borderId="130" xfId="10687" applyBorder="1"/>
    <xf numFmtId="2" fontId="155" fillId="0" borderId="149" xfId="49" applyNumberFormat="1" applyFont="1" applyBorder="1" applyAlignment="1">
      <alignment horizontal="center"/>
    </xf>
    <xf numFmtId="0" fontId="3" fillId="31" borderId="0" xfId="10687" applyFill="1" applyAlignment="1">
      <alignment horizontal="left" wrapText="1"/>
    </xf>
    <xf numFmtId="0" fontId="30" fillId="31" borderId="0" xfId="10687" applyFont="1" applyFill="1" applyAlignment="1">
      <alignment horizontal="left" wrapText="1"/>
    </xf>
    <xf numFmtId="175" fontId="156" fillId="0" borderId="0" xfId="49" applyNumberFormat="1" applyFont="1"/>
    <xf numFmtId="0" fontId="24" fillId="0" borderId="0" xfId="10687" applyFont="1" applyAlignment="1">
      <alignment horizontal="left"/>
    </xf>
    <xf numFmtId="0" fontId="3" fillId="0" borderId="0" xfId="10687" applyAlignment="1">
      <alignment horizontal="right"/>
    </xf>
    <xf numFmtId="43" fontId="3" fillId="0" borderId="0" xfId="10687" applyNumberFormat="1" applyAlignment="1">
      <alignment horizontal="left"/>
    </xf>
    <xf numFmtId="170" fontId="3" fillId="0" borderId="0" xfId="10687" applyNumberFormat="1" applyAlignment="1">
      <alignment horizontal="left"/>
    </xf>
    <xf numFmtId="0" fontId="3" fillId="95" borderId="0" xfId="10687" applyFill="1" applyAlignment="1">
      <alignment horizontal="left"/>
    </xf>
    <xf numFmtId="2" fontId="3" fillId="0" borderId="0" xfId="10687" applyNumberFormat="1" applyAlignment="1">
      <alignment horizontal="left"/>
    </xf>
    <xf numFmtId="0" fontId="30" fillId="95" borderId="0" xfId="10687" applyFont="1" applyFill="1" applyAlignment="1">
      <alignment horizontal="left"/>
    </xf>
    <xf numFmtId="0" fontId="3" fillId="31" borderId="0" xfId="10687" applyFill="1" applyAlignment="1">
      <alignment horizontal="left"/>
    </xf>
    <xf numFmtId="0" fontId="30" fillId="31" borderId="0" xfId="10687" applyFont="1" applyFill="1" applyAlignment="1">
      <alignment horizontal="left"/>
    </xf>
    <xf numFmtId="191" fontId="12" fillId="0" borderId="0" xfId="10655" applyNumberFormat="1"/>
    <xf numFmtId="1" fontId="3" fillId="0" borderId="0" xfId="10687" applyNumberFormat="1" applyAlignment="1">
      <alignment horizontal="left"/>
    </xf>
    <xf numFmtId="171" fontId="12" fillId="0" borderId="0" xfId="2611" applyNumberFormat="1"/>
    <xf numFmtId="171" fontId="3" fillId="0" borderId="0" xfId="10687" applyNumberFormat="1" applyAlignment="1">
      <alignment horizontal="right"/>
    </xf>
    <xf numFmtId="192" fontId="3" fillId="0" borderId="0" xfId="10687" applyNumberFormat="1"/>
    <xf numFmtId="43" fontId="3" fillId="0" borderId="0" xfId="10687" applyNumberFormat="1"/>
    <xf numFmtId="192" fontId="157" fillId="0" borderId="0" xfId="10687" applyNumberFormat="1" applyFont="1" applyAlignment="1">
      <alignment horizontal="left"/>
    </xf>
    <xf numFmtId="192" fontId="15" fillId="0" borderId="0" xfId="10653" applyNumberFormat="1"/>
    <xf numFmtId="192" fontId="157" fillId="0" borderId="0" xfId="10653" applyNumberFormat="1" applyFont="1" applyAlignment="1">
      <alignment horizontal="left"/>
    </xf>
    <xf numFmtId="192" fontId="158" fillId="0" borderId="0" xfId="10653" applyNumberFormat="1" applyFont="1" applyAlignment="1">
      <alignment horizontal="left"/>
    </xf>
    <xf numFmtId="9" fontId="157" fillId="0" borderId="0" xfId="10653" applyFont="1" applyAlignment="1">
      <alignment horizontal="left"/>
    </xf>
    <xf numFmtId="0" fontId="157" fillId="0" borderId="0" xfId="10687" applyFont="1" applyAlignment="1">
      <alignment horizontal="left"/>
    </xf>
    <xf numFmtId="171" fontId="3" fillId="0" borderId="0" xfId="10687" applyNumberFormat="1" applyAlignment="1">
      <alignment horizontal="left"/>
    </xf>
    <xf numFmtId="0" fontId="158" fillId="0" borderId="0" xfId="10688" quotePrefix="1" applyFont="1"/>
    <xf numFmtId="0" fontId="159" fillId="0" borderId="0" xfId="10687" quotePrefix="1" applyFont="1" applyAlignment="1">
      <alignment horizontal="left"/>
    </xf>
    <xf numFmtId="0" fontId="159" fillId="0" borderId="0" xfId="10688" quotePrefix="1" applyFont="1"/>
    <xf numFmtId="0" fontId="32" fillId="0" borderId="0" xfId="10687" quotePrefix="1" applyFont="1"/>
    <xf numFmtId="192" fontId="160" fillId="0" borderId="0" xfId="10687" applyNumberFormat="1" applyFont="1" applyAlignment="1">
      <alignment horizontal="left"/>
    </xf>
    <xf numFmtId="192" fontId="32" fillId="0" borderId="0" xfId="10653" applyNumberFormat="1" applyFont="1" applyAlignment="1">
      <alignment horizontal="left"/>
    </xf>
    <xf numFmtId="192" fontId="161" fillId="0" borderId="0" xfId="10653" applyNumberFormat="1" applyFont="1" applyAlignment="1">
      <alignment horizontal="left"/>
    </xf>
    <xf numFmtId="192" fontId="15" fillId="0" borderId="0" xfId="10653" applyNumberFormat="1" applyAlignment="1">
      <alignment horizontal="left"/>
    </xf>
    <xf numFmtId="192" fontId="162" fillId="0" borderId="0" xfId="10653" applyNumberFormat="1" applyFont="1" applyAlignment="1">
      <alignment horizontal="left"/>
    </xf>
    <xf numFmtId="9" fontId="159" fillId="0" borderId="0" xfId="10653" applyFont="1" applyAlignment="1">
      <alignment horizontal="left"/>
    </xf>
    <xf numFmtId="0" fontId="39" fillId="0" borderId="0" xfId="10687" applyFont="1" applyAlignment="1">
      <alignment horizontal="left"/>
    </xf>
    <xf numFmtId="0" fontId="159" fillId="0" borderId="0" xfId="10687" applyFont="1" applyAlignment="1">
      <alignment horizontal="left"/>
    </xf>
    <xf numFmtId="0" fontId="163" fillId="0" borderId="0" xfId="10688" quotePrefix="1" applyFont="1"/>
    <xf numFmtId="0" fontId="77" fillId="0" borderId="0" xfId="10687" applyFont="1" applyAlignment="1">
      <alignment horizontal="left"/>
    </xf>
    <xf numFmtId="9" fontId="15" fillId="0" borderId="0" xfId="10653"/>
    <xf numFmtId="192" fontId="164" fillId="0" borderId="0" xfId="10653" applyNumberFormat="1" applyFont="1" applyAlignment="1">
      <alignment horizontal="left"/>
    </xf>
    <xf numFmtId="43" fontId="15" fillId="0" borderId="0" xfId="49" applyAlignment="1">
      <alignment horizontal="left"/>
    </xf>
    <xf numFmtId="43" fontId="165" fillId="0" borderId="0" xfId="49" applyFont="1"/>
    <xf numFmtId="0" fontId="166" fillId="0" borderId="0" xfId="10687" applyFont="1" applyAlignment="1">
      <alignment horizontal="right"/>
    </xf>
    <xf numFmtId="43" fontId="15" fillId="0" borderId="0" xfId="49"/>
    <xf numFmtId="43" fontId="160" fillId="0" borderId="0" xfId="49" applyFont="1"/>
    <xf numFmtId="43" fontId="161" fillId="0" borderId="0" xfId="49" applyFont="1"/>
    <xf numFmtId="43" fontId="22" fillId="0" borderId="0" xfId="49" applyFont="1"/>
    <xf numFmtId="43" fontId="24" fillId="0" borderId="0" xfId="49" applyFont="1"/>
    <xf numFmtId="43" fontId="162" fillId="0" borderId="0" xfId="49" applyFont="1"/>
    <xf numFmtId="43" fontId="24" fillId="0" borderId="0" xfId="49" applyFont="1" applyAlignment="1">
      <alignment horizontal="left"/>
    </xf>
    <xf numFmtId="43" fontId="161" fillId="0" borderId="0" xfId="49" applyFont="1" applyAlignment="1">
      <alignment horizontal="left"/>
    </xf>
    <xf numFmtId="175" fontId="167" fillId="0" borderId="0" xfId="49" applyNumberFormat="1" applyFont="1"/>
    <xf numFmtId="43" fontId="168" fillId="0" borderId="0" xfId="2618" applyNumberFormat="1" applyFont="1" applyAlignment="1">
      <alignment horizontal="right"/>
    </xf>
    <xf numFmtId="43" fontId="169" fillId="0" borderId="0" xfId="49" applyFont="1" applyAlignment="1">
      <alignment horizontal="left"/>
    </xf>
    <xf numFmtId="0" fontId="141" fillId="0" borderId="0" xfId="10652"/>
    <xf numFmtId="43" fontId="170" fillId="0" borderId="16" xfId="2618" applyNumberFormat="1" applyFont="1" applyBorder="1" applyAlignment="1">
      <alignment horizontal="left"/>
    </xf>
    <xf numFmtId="43" fontId="15" fillId="0" borderId="16" xfId="49" applyBorder="1" applyAlignment="1">
      <alignment horizontal="left"/>
    </xf>
    <xf numFmtId="43" fontId="160" fillId="0" borderId="96" xfId="49" applyFont="1" applyBorder="1"/>
    <xf numFmtId="43" fontId="161" fillId="0" borderId="96" xfId="49" applyFont="1" applyBorder="1"/>
    <xf numFmtId="43" fontId="22" fillId="0" borderId="96" xfId="49" applyFont="1" applyBorder="1"/>
    <xf numFmtId="43" fontId="15" fillId="0" borderId="96" xfId="49" applyBorder="1" applyAlignment="1">
      <alignment horizontal="left"/>
    </xf>
    <xf numFmtId="43" fontId="15" fillId="0" borderId="96" xfId="49" applyBorder="1"/>
    <xf numFmtId="43" fontId="24" fillId="0" borderId="96" xfId="49" applyFont="1" applyBorder="1"/>
    <xf numFmtId="43" fontId="162" fillId="0" borderId="96" xfId="49" applyFont="1" applyBorder="1"/>
    <xf numFmtId="43" fontId="24" fillId="0" borderId="96" xfId="49" applyFont="1" applyBorder="1" applyAlignment="1">
      <alignment horizontal="left"/>
    </xf>
    <xf numFmtId="43" fontId="161" fillId="0" borderId="96" xfId="49" applyFont="1" applyBorder="1" applyAlignment="1">
      <alignment horizontal="left"/>
    </xf>
    <xf numFmtId="43" fontId="170" fillId="0" borderId="34" xfId="2618" applyNumberFormat="1" applyFont="1" applyBorder="1" applyAlignment="1">
      <alignment horizontal="left"/>
    </xf>
    <xf numFmtId="0" fontId="3" fillId="0" borderId="42" xfId="10687" applyBorder="1" applyAlignment="1">
      <alignment horizontal="left"/>
    </xf>
    <xf numFmtId="43" fontId="170" fillId="0" borderId="20" xfId="2618" applyNumberFormat="1" applyFont="1" applyBorder="1" applyAlignment="1">
      <alignment horizontal="left"/>
    </xf>
    <xf numFmtId="43" fontId="15" fillId="0" borderId="20" xfId="49" applyBorder="1" applyAlignment="1">
      <alignment horizontal="left"/>
    </xf>
    <xf numFmtId="43" fontId="170" fillId="0" borderId="19" xfId="2618" applyNumberFormat="1" applyFont="1" applyBorder="1" applyAlignment="1">
      <alignment horizontal="left"/>
    </xf>
    <xf numFmtId="0" fontId="3" fillId="0" borderId="18" xfId="10687" applyBorder="1" applyAlignment="1">
      <alignment horizontal="left"/>
    </xf>
    <xf numFmtId="43" fontId="170" fillId="0" borderId="156" xfId="2618" applyNumberFormat="1" applyFont="1" applyBorder="1" applyAlignment="1">
      <alignment horizontal="left"/>
    </xf>
    <xf numFmtId="43" fontId="15" fillId="0" borderId="156" xfId="49" applyBorder="1" applyAlignment="1">
      <alignment horizontal="left"/>
    </xf>
    <xf numFmtId="43" fontId="160" fillId="0" borderId="129" xfId="49" applyFont="1" applyBorder="1"/>
    <xf numFmtId="43" fontId="161" fillId="0" borderId="129" xfId="49" applyFont="1" applyBorder="1"/>
    <xf numFmtId="43" fontId="22" fillId="0" borderId="129" xfId="49" applyFont="1" applyBorder="1"/>
    <xf numFmtId="43" fontId="15" fillId="0" borderId="129" xfId="49" applyBorder="1" applyAlignment="1">
      <alignment horizontal="left"/>
    </xf>
    <xf numFmtId="43" fontId="15" fillId="0" borderId="129" xfId="49" applyBorder="1"/>
    <xf numFmtId="43" fontId="24" fillId="0" borderId="129" xfId="49" applyFont="1" applyBorder="1"/>
    <xf numFmtId="43" fontId="162" fillId="0" borderId="129" xfId="49" applyFont="1" applyBorder="1"/>
    <xf numFmtId="43" fontId="24" fillId="0" borderId="129" xfId="49" applyFont="1" applyBorder="1" applyAlignment="1">
      <alignment horizontal="left"/>
    </xf>
    <xf numFmtId="43" fontId="161" fillId="0" borderId="129" xfId="49" applyFont="1" applyBorder="1" applyAlignment="1">
      <alignment horizontal="left"/>
    </xf>
    <xf numFmtId="43" fontId="170" fillId="0" borderId="153" xfId="2618" applyNumberFormat="1" applyFont="1" applyBorder="1" applyAlignment="1">
      <alignment horizontal="left"/>
    </xf>
    <xf numFmtId="0" fontId="3" fillId="0" borderId="154" xfId="10687" applyBorder="1" applyAlignment="1">
      <alignment horizontal="left"/>
    </xf>
    <xf numFmtId="43" fontId="3" fillId="25" borderId="155" xfId="49" applyFont="1" applyFill="1" applyBorder="1" applyAlignment="1">
      <alignment horizontal="right"/>
    </xf>
    <xf numFmtId="43" fontId="160" fillId="25" borderId="130" xfId="49" applyFont="1" applyFill="1" applyBorder="1" applyAlignment="1">
      <alignment horizontal="right"/>
    </xf>
    <xf numFmtId="43" fontId="161" fillId="25" borderId="130" xfId="49" applyFont="1" applyFill="1" applyBorder="1" applyAlignment="1">
      <alignment horizontal="right"/>
    </xf>
    <xf numFmtId="43" fontId="22" fillId="25" borderId="130" xfId="49" applyFont="1" applyFill="1" applyBorder="1" applyAlignment="1">
      <alignment horizontal="right"/>
    </xf>
    <xf numFmtId="43" fontId="32" fillId="25" borderId="130" xfId="49" applyFont="1" applyFill="1" applyBorder="1" applyAlignment="1">
      <alignment horizontal="left"/>
    </xf>
    <xf numFmtId="43" fontId="32" fillId="25" borderId="130" xfId="49" applyFont="1" applyFill="1" applyBorder="1" applyAlignment="1">
      <alignment horizontal="right"/>
    </xf>
    <xf numFmtId="43" fontId="3" fillId="25" borderId="130" xfId="49" applyFont="1" applyFill="1" applyBorder="1" applyAlignment="1">
      <alignment horizontal="right"/>
    </xf>
    <xf numFmtId="43" fontId="167" fillId="29" borderId="130" xfId="49" applyFont="1" applyFill="1" applyBorder="1"/>
    <xf numFmtId="43" fontId="168" fillId="29" borderId="130" xfId="49" applyFont="1" applyFill="1" applyBorder="1" applyAlignment="1">
      <alignment horizontal="right"/>
    </xf>
    <xf numFmtId="43" fontId="3" fillId="96" borderId="130" xfId="49" applyFont="1" applyFill="1" applyBorder="1" applyAlignment="1">
      <alignment horizontal="right"/>
    </xf>
    <xf numFmtId="43" fontId="162" fillId="0" borderId="130" xfId="49" applyFont="1" applyBorder="1"/>
    <xf numFmtId="43" fontId="167" fillId="96" borderId="130" xfId="49" applyFont="1" applyFill="1" applyBorder="1"/>
    <xf numFmtId="43" fontId="161" fillId="96" borderId="130" xfId="49" applyFont="1" applyFill="1" applyBorder="1"/>
    <xf numFmtId="43" fontId="165" fillId="96" borderId="130" xfId="49" applyFont="1" applyFill="1" applyBorder="1"/>
    <xf numFmtId="43" fontId="168" fillId="96" borderId="130" xfId="49" applyFont="1" applyFill="1" applyBorder="1" applyAlignment="1">
      <alignment horizontal="right"/>
    </xf>
    <xf numFmtId="43" fontId="159" fillId="96" borderId="149" xfId="49" applyFont="1" applyFill="1" applyBorder="1" applyAlignment="1">
      <alignment horizontal="right"/>
    </xf>
    <xf numFmtId="0" fontId="3" fillId="0" borderId="124" xfId="10687" applyBorder="1" applyAlignment="1">
      <alignment horizontal="left"/>
    </xf>
    <xf numFmtId="43" fontId="15" fillId="0" borderId="0" xfId="49" applyAlignment="1">
      <alignment horizontal="right"/>
    </xf>
    <xf numFmtId="2" fontId="141" fillId="0" borderId="0" xfId="10652" applyNumberFormat="1"/>
    <xf numFmtId="0" fontId="3" fillId="0" borderId="96" xfId="10687" applyBorder="1" applyAlignment="1">
      <alignment horizontal="left"/>
    </xf>
    <xf numFmtId="0" fontId="159" fillId="0" borderId="34" xfId="10687" applyFont="1" applyBorder="1" applyAlignment="1">
      <alignment horizontal="left"/>
    </xf>
    <xf numFmtId="0" fontId="3" fillId="0" borderId="34" xfId="10687" applyBorder="1" applyAlignment="1">
      <alignment horizontal="left"/>
    </xf>
    <xf numFmtId="0" fontId="159" fillId="0" borderId="19" xfId="10687" applyFont="1" applyBorder="1" applyAlignment="1">
      <alignment horizontal="left"/>
    </xf>
    <xf numFmtId="0" fontId="3" fillId="0" borderId="19" xfId="10687" applyBorder="1" applyAlignment="1">
      <alignment horizontal="left"/>
    </xf>
    <xf numFmtId="0" fontId="24" fillId="0" borderId="0" xfId="10687" applyFont="1"/>
    <xf numFmtId="43" fontId="170" fillId="0" borderId="0" xfId="2618" applyNumberFormat="1" applyFont="1" applyAlignment="1">
      <alignment horizontal="left"/>
    </xf>
    <xf numFmtId="0" fontId="3" fillId="88" borderId="0" xfId="10687" applyFill="1" applyAlignment="1">
      <alignment horizontal="left"/>
    </xf>
    <xf numFmtId="175" fontId="56" fillId="33" borderId="0" xfId="49" applyNumberFormat="1" applyFont="1" applyFill="1"/>
    <xf numFmtId="43" fontId="15" fillId="0" borderId="129" xfId="49" applyBorder="1" applyAlignment="1">
      <alignment horizontal="right"/>
    </xf>
    <xf numFmtId="43" fontId="170" fillId="0" borderId="129" xfId="2618" applyNumberFormat="1" applyFont="1" applyBorder="1" applyAlignment="1">
      <alignment horizontal="left"/>
    </xf>
    <xf numFmtId="0" fontId="159" fillId="0" borderId="153" xfId="10687" applyFont="1" applyBorder="1" applyAlignment="1">
      <alignment horizontal="left"/>
    </xf>
    <xf numFmtId="0" fontId="160" fillId="0" borderId="0" xfId="10687" applyFont="1" applyAlignment="1">
      <alignment horizontal="right"/>
    </xf>
    <xf numFmtId="0" fontId="161" fillId="0" borderId="0" xfId="10687" applyFont="1" applyAlignment="1">
      <alignment horizontal="right"/>
    </xf>
    <xf numFmtId="0" fontId="22" fillId="0" borderId="0" xfId="10687" applyFont="1" applyAlignment="1">
      <alignment horizontal="right"/>
    </xf>
    <xf numFmtId="43" fontId="32" fillId="0" borderId="0" xfId="10687" applyNumberFormat="1" applyFont="1" applyAlignment="1">
      <alignment horizontal="left"/>
    </xf>
    <xf numFmtId="43" fontId="32" fillId="0" borderId="0" xfId="10687" applyNumberFormat="1" applyFont="1" applyAlignment="1">
      <alignment horizontal="right"/>
    </xf>
    <xf numFmtId="175" fontId="56" fillId="0" borderId="0" xfId="49" applyNumberFormat="1" applyFont="1"/>
    <xf numFmtId="43" fontId="12" fillId="0" borderId="0" xfId="49" applyFont="1"/>
    <xf numFmtId="43" fontId="170" fillId="0" borderId="0" xfId="2618" applyNumberFormat="1" applyFont="1" applyAlignment="1">
      <alignment horizontal="right"/>
    </xf>
    <xf numFmtId="43" fontId="3" fillId="0" borderId="0" xfId="10687" applyNumberFormat="1" applyAlignment="1">
      <alignment horizontal="right"/>
    </xf>
    <xf numFmtId="43" fontId="156" fillId="0" borderId="0" xfId="2618" applyNumberFormat="1" applyFont="1"/>
    <xf numFmtId="43" fontId="161" fillId="0" borderId="0" xfId="10687" applyNumberFormat="1" applyFont="1"/>
    <xf numFmtId="0" fontId="159" fillId="0" borderId="0" xfId="10687" applyFont="1" applyAlignment="1">
      <alignment horizontal="right"/>
    </xf>
    <xf numFmtId="0" fontId="171" fillId="0" borderId="0" xfId="2618" applyFont="1" applyAlignment="1">
      <alignment horizontal="right"/>
    </xf>
    <xf numFmtId="43" fontId="100" fillId="56" borderId="0" xfId="3332" applyNumberFormat="1" applyAlignment="1">
      <alignment horizontal="left"/>
    </xf>
    <xf numFmtId="2" fontId="39" fillId="0" borderId="0" xfId="2002" applyNumberFormat="1" applyFont="1" applyFill="1" applyAlignment="1">
      <alignment horizontal="right"/>
    </xf>
    <xf numFmtId="0" fontId="12" fillId="0" borderId="0" xfId="2611" applyAlignment="1">
      <alignment horizontal="center" vertical="center"/>
    </xf>
    <xf numFmtId="0" fontId="12" fillId="0" borderId="0" xfId="2611" applyAlignment="1">
      <alignment horizontal="left"/>
    </xf>
    <xf numFmtId="1" fontId="39" fillId="0" borderId="0" xfId="2002" applyNumberFormat="1" applyFont="1" applyFill="1" applyAlignment="1">
      <alignment horizontal="center"/>
    </xf>
    <xf numFmtId="2" fontId="3" fillId="0" borderId="0" xfId="10687" applyNumberFormat="1" applyAlignment="1">
      <alignment horizontal="right"/>
    </xf>
    <xf numFmtId="0" fontId="48" fillId="29" borderId="129" xfId="2611" applyFont="1" applyFill="1" applyBorder="1" applyAlignment="1">
      <alignment horizontal="left" vertical="center" wrapText="1"/>
    </xf>
    <xf numFmtId="0" fontId="35" fillId="29" borderId="129" xfId="2611" applyFont="1" applyFill="1" applyBorder="1" applyAlignment="1">
      <alignment horizontal="left" vertical="center" wrapText="1"/>
    </xf>
    <xf numFmtId="0" fontId="46" fillId="0" borderId="0" xfId="2611" applyFont="1" applyAlignment="1">
      <alignment horizontal="left"/>
    </xf>
    <xf numFmtId="0" fontId="34" fillId="34" borderId="129" xfId="2611" applyFont="1" applyFill="1" applyBorder="1" applyAlignment="1">
      <alignment horizontal="left" vertical="center" wrapText="1"/>
    </xf>
    <xf numFmtId="179" fontId="34" fillId="37" borderId="0" xfId="3371" applyAlignment="1">
      <alignment horizontal="left"/>
    </xf>
    <xf numFmtId="179" fontId="34" fillId="37" borderId="0" xfId="3371"/>
    <xf numFmtId="0" fontId="0" fillId="37" borderId="92" xfId="0" applyFill="1" applyBorder="1"/>
    <xf numFmtId="0" fontId="0" fillId="37" borderId="97" xfId="0" applyFill="1" applyBorder="1"/>
    <xf numFmtId="180" fontId="0" fillId="37" borderId="97" xfId="0" applyNumberFormat="1" applyFill="1" applyBorder="1"/>
    <xf numFmtId="9" fontId="12" fillId="50" borderId="97" xfId="3259" applyFill="1" applyBorder="1"/>
    <xf numFmtId="181" fontId="0" fillId="37" borderId="97" xfId="0" applyNumberFormat="1" applyFill="1" applyBorder="1"/>
    <xf numFmtId="181" fontId="76" fillId="37" borderId="97" xfId="433" applyNumberFormat="1" applyFill="1" applyBorder="1" applyAlignment="1"/>
    <xf numFmtId="179" fontId="0" fillId="37" borderId="97" xfId="0" applyNumberFormat="1" applyFill="1" applyBorder="1"/>
    <xf numFmtId="180" fontId="76" fillId="43" borderId="97" xfId="433" applyNumberFormat="1" applyBorder="1" applyAlignment="1"/>
    <xf numFmtId="174" fontId="68" fillId="39" borderId="97" xfId="25" applyNumberFormat="1" applyBorder="1"/>
    <xf numFmtId="0" fontId="0" fillId="37" borderId="91" xfId="0" applyFill="1" applyBorder="1"/>
    <xf numFmtId="180" fontId="0" fillId="37" borderId="0" xfId="0" applyNumberFormat="1" applyFill="1"/>
    <xf numFmtId="9" fontId="12" fillId="50" borderId="0" xfId="3259" applyFill="1"/>
    <xf numFmtId="181" fontId="0" fillId="37" borderId="0" xfId="0" applyNumberFormat="1" applyFill="1"/>
    <xf numFmtId="181" fontId="76" fillId="37" borderId="0" xfId="433" applyNumberFormat="1" applyFill="1" applyAlignment="1"/>
    <xf numFmtId="179" fontId="0" fillId="37" borderId="0" xfId="0" applyNumberFormat="1" applyFill="1"/>
    <xf numFmtId="180" fontId="76" fillId="43" borderId="0" xfId="433" applyNumberFormat="1" applyAlignment="1"/>
    <xf numFmtId="0" fontId="85" fillId="37" borderId="0" xfId="0" applyFont="1" applyFill="1"/>
    <xf numFmtId="182" fontId="92" fillId="43" borderId="0" xfId="433" applyNumberFormat="1" applyFont="1" applyAlignment="1"/>
    <xf numFmtId="180" fontId="76" fillId="43" borderId="0" xfId="433" applyNumberFormat="1" applyAlignment="1" applyProtection="1">
      <protection locked="0"/>
    </xf>
    <xf numFmtId="174" fontId="34" fillId="37" borderId="0" xfId="433" applyNumberFormat="1" applyFont="1" applyFill="1" applyAlignment="1"/>
    <xf numFmtId="9" fontId="68" fillId="39" borderId="0" xfId="25" applyNumberFormat="1" applyBorder="1"/>
    <xf numFmtId="0" fontId="0" fillId="50" borderId="0" xfId="0" applyFill="1"/>
    <xf numFmtId="174" fontId="0" fillId="50" borderId="0" xfId="0" applyNumberFormat="1" applyFill="1"/>
    <xf numFmtId="0" fontId="12" fillId="51" borderId="66" xfId="0" applyFont="1" applyFill="1" applyBorder="1"/>
    <xf numFmtId="181" fontId="85" fillId="50" borderId="124" xfId="995" applyNumberFormat="1" applyFont="1" applyFill="1" applyBorder="1"/>
    <xf numFmtId="179" fontId="85" fillId="50" borderId="124" xfId="995" applyFont="1" applyFill="1" applyBorder="1"/>
    <xf numFmtId="179" fontId="85" fillId="2" borderId="124" xfId="995" applyFont="1" applyFill="1" applyBorder="1"/>
    <xf numFmtId="181" fontId="68" fillId="39" borderId="124" xfId="25" applyNumberFormat="1" applyBorder="1"/>
    <xf numFmtId="182" fontId="68" fillId="39" borderId="124" xfId="25" applyNumberFormat="1" applyBorder="1"/>
    <xf numFmtId="181" fontId="90" fillId="39" borderId="124" xfId="25" applyNumberFormat="1" applyFont="1" applyBorder="1"/>
    <xf numFmtId="179" fontId="90" fillId="39" borderId="124" xfId="25" applyNumberFormat="1" applyFont="1" applyBorder="1"/>
    <xf numFmtId="179" fontId="85" fillId="2" borderId="124" xfId="995" applyFont="1" applyFill="1" applyBorder="1" applyAlignment="1">
      <alignment horizontal="centerContinuous"/>
    </xf>
    <xf numFmtId="179" fontId="89" fillId="2" borderId="0" xfId="1471" applyFont="1" applyAlignment="1"/>
    <xf numFmtId="182" fontId="85" fillId="37" borderId="124" xfId="995" applyNumberFormat="1" applyFont="1" applyBorder="1"/>
    <xf numFmtId="182" fontId="85" fillId="54" borderId="124" xfId="995" applyNumberFormat="1" applyFont="1" applyFill="1" applyBorder="1"/>
    <xf numFmtId="179" fontId="85" fillId="37" borderId="124" xfId="995" applyFont="1" applyBorder="1"/>
    <xf numFmtId="179" fontId="87" fillId="37" borderId="124" xfId="995" applyFont="1" applyBorder="1"/>
    <xf numFmtId="180" fontId="85" fillId="50" borderId="124" xfId="995" applyNumberFormat="1" applyFont="1" applyFill="1" applyBorder="1"/>
    <xf numFmtId="180" fontId="85" fillId="2" borderId="124" xfId="995" applyNumberFormat="1" applyFont="1" applyFill="1" applyBorder="1"/>
    <xf numFmtId="179" fontId="85" fillId="37" borderId="0" xfId="995" applyFont="1"/>
    <xf numFmtId="180" fontId="94" fillId="37" borderId="124" xfId="2000" applyNumberFormat="1" applyFont="1" applyFill="1" applyBorder="1"/>
    <xf numFmtId="179" fontId="87" fillId="37" borderId="0" xfId="995" applyFont="1"/>
    <xf numFmtId="179" fontId="92" fillId="43" borderId="124" xfId="433" applyFont="1" applyBorder="1" applyAlignment="1">
      <alignment horizontal="left"/>
    </xf>
    <xf numFmtId="179" fontId="92" fillId="43" borderId="124" xfId="433" applyFont="1" applyBorder="1" applyAlignment="1"/>
    <xf numFmtId="179" fontId="84" fillId="37" borderId="124" xfId="2000" applyNumberFormat="1" applyFill="1" applyBorder="1"/>
    <xf numFmtId="182" fontId="85" fillId="37" borderId="124" xfId="28" applyNumberFormat="1" applyFont="1" applyBorder="1"/>
    <xf numFmtId="179" fontId="85" fillId="52" borderId="124" xfId="995" applyFont="1" applyFill="1" applyBorder="1"/>
    <xf numFmtId="179" fontId="91" fillId="52" borderId="124" xfId="995" applyFont="1" applyFill="1" applyBorder="1" applyAlignment="1">
      <alignment horizontal="left"/>
    </xf>
    <xf numFmtId="179" fontId="94" fillId="37" borderId="124" xfId="2000" applyNumberFormat="1" applyFont="1" applyFill="1" applyBorder="1"/>
    <xf numFmtId="181" fontId="85" fillId="37" borderId="0" xfId="995" applyNumberFormat="1" applyFont="1"/>
    <xf numFmtId="179" fontId="91" fillId="37" borderId="124" xfId="995" applyFont="1" applyBorder="1" applyAlignment="1">
      <alignment horizontal="left"/>
    </xf>
    <xf numFmtId="179" fontId="87" fillId="53" borderId="124" xfId="995" applyFont="1" applyFill="1" applyBorder="1"/>
    <xf numFmtId="179" fontId="87" fillId="53" borderId="124" xfId="995" applyFont="1" applyFill="1" applyBorder="1" applyAlignment="1">
      <alignment horizontal="right"/>
    </xf>
    <xf numFmtId="184" fontId="85" fillId="37" borderId="0" xfId="995" applyNumberFormat="1" applyFont="1"/>
    <xf numFmtId="182" fontId="90" fillId="39" borderId="124" xfId="25" applyNumberFormat="1" applyFont="1" applyBorder="1"/>
    <xf numFmtId="0" fontId="85" fillId="37" borderId="124" xfId="28" applyFont="1" applyBorder="1"/>
    <xf numFmtId="0" fontId="92" fillId="43" borderId="124" xfId="433" applyNumberFormat="1" applyFont="1" applyBorder="1" applyAlignment="1">
      <alignment horizontal="left"/>
    </xf>
    <xf numFmtId="182" fontId="85" fillId="37" borderId="124" xfId="28" applyNumberFormat="1" applyFont="1" applyBorder="1" applyProtection="1">
      <protection locked="0"/>
    </xf>
    <xf numFmtId="182" fontId="90" fillId="39" borderId="124" xfId="25" applyNumberFormat="1" applyFont="1" applyBorder="1" applyProtection="1">
      <protection locked="0"/>
    </xf>
    <xf numFmtId="182" fontId="94" fillId="37" borderId="124" xfId="2000" applyNumberFormat="1" applyFont="1" applyFill="1" applyBorder="1" applyProtection="1">
      <protection locked="0"/>
    </xf>
    <xf numFmtId="0" fontId="85" fillId="38" borderId="124" xfId="995" applyNumberFormat="1" applyFont="1" applyFill="1" applyBorder="1"/>
    <xf numFmtId="179" fontId="93" fillId="38" borderId="124" xfId="995" applyFont="1" applyFill="1" applyBorder="1"/>
    <xf numFmtId="182" fontId="90" fillId="45" borderId="124" xfId="25" applyNumberFormat="1" applyFont="1" applyFill="1" applyBorder="1" applyProtection="1">
      <protection locked="0"/>
    </xf>
    <xf numFmtId="0" fontId="85" fillId="38" borderId="124" xfId="995" applyNumberFormat="1" applyFont="1" applyFill="1" applyBorder="1" applyAlignment="1">
      <alignment horizontal="left"/>
    </xf>
    <xf numFmtId="182" fontId="85" fillId="38" borderId="124" xfId="995" applyNumberFormat="1" applyFont="1" applyFill="1" applyBorder="1"/>
    <xf numFmtId="184" fontId="85" fillId="37" borderId="124" xfId="28" applyNumberFormat="1" applyFont="1" applyBorder="1"/>
    <xf numFmtId="179" fontId="85" fillId="37" borderId="42" xfId="995" applyFont="1" applyBorder="1"/>
    <xf numFmtId="179" fontId="85" fillId="37" borderId="18" xfId="995" applyFont="1" applyBorder="1"/>
    <xf numFmtId="182" fontId="92" fillId="43" borderId="156" xfId="433" applyNumberFormat="1" applyFont="1" applyBorder="1" applyAlignment="1"/>
    <xf numFmtId="182" fontId="92" fillId="43" borderId="153" xfId="433" applyNumberFormat="1" applyFont="1" applyBorder="1" applyAlignment="1"/>
    <xf numFmtId="179" fontId="85" fillId="37" borderId="154" xfId="995" applyFont="1" applyBorder="1"/>
    <xf numFmtId="179" fontId="88" fillId="2" borderId="155" xfId="995" applyFont="1" applyFill="1" applyBorder="1" applyAlignment="1">
      <alignment horizontal="right"/>
    </xf>
    <xf numFmtId="179" fontId="88" fillId="2" borderId="149" xfId="995" applyFont="1" applyFill="1" applyBorder="1" applyAlignment="1">
      <alignment horizontal="right"/>
    </xf>
    <xf numFmtId="179" fontId="34" fillId="37" borderId="0" xfId="995"/>
    <xf numFmtId="9" fontId="92" fillId="43" borderId="16" xfId="3259" applyFont="1" applyFill="1" applyBorder="1"/>
    <xf numFmtId="177" fontId="85" fillId="50" borderId="96" xfId="28" applyNumberFormat="1" applyFont="1" applyFill="1" applyBorder="1" applyAlignment="1">
      <alignment horizontal="right"/>
    </xf>
    <xf numFmtId="179" fontId="92" fillId="52" borderId="96" xfId="995" applyFont="1" applyFill="1" applyBorder="1"/>
    <xf numFmtId="182" fontId="92" fillId="43" borderId="96" xfId="433" applyNumberFormat="1" applyFont="1" applyBorder="1" applyAlignment="1"/>
    <xf numFmtId="180" fontId="92" fillId="50" borderId="96" xfId="433" applyNumberFormat="1" applyFont="1" applyFill="1" applyBorder="1" applyAlignment="1"/>
    <xf numFmtId="180" fontId="92" fillId="43" borderId="96" xfId="433" applyNumberFormat="1" applyFont="1" applyBorder="1" applyAlignment="1"/>
    <xf numFmtId="9" fontId="92" fillId="43" borderId="20" xfId="3259" applyFont="1" applyFill="1" applyBorder="1"/>
    <xf numFmtId="179" fontId="92" fillId="52" borderId="0" xfId="995" applyFont="1" applyFill="1"/>
    <xf numFmtId="180" fontId="92" fillId="50" borderId="0" xfId="433" applyNumberFormat="1" applyFont="1" applyFill="1" applyAlignment="1"/>
    <xf numFmtId="180" fontId="92" fillId="43" borderId="0" xfId="433" applyNumberFormat="1" applyFont="1" applyAlignment="1"/>
    <xf numFmtId="9" fontId="92" fillId="50" borderId="20" xfId="3259" applyFont="1" applyFill="1" applyBorder="1"/>
    <xf numFmtId="177" fontId="88" fillId="2" borderId="0" xfId="3259" applyNumberFormat="1" applyFont="1" applyFill="1"/>
    <xf numFmtId="180" fontId="92" fillId="52" borderId="0" xfId="995" applyNumberFormat="1" applyFont="1" applyFill="1"/>
    <xf numFmtId="182" fontId="85" fillId="50" borderId="156" xfId="28" applyNumberFormat="1" applyFont="1" applyFill="1" applyBorder="1"/>
    <xf numFmtId="9" fontId="92" fillId="43" borderId="156" xfId="3259" applyFont="1" applyFill="1" applyBorder="1"/>
    <xf numFmtId="9" fontId="92" fillId="50" borderId="156" xfId="3259" applyFont="1" applyFill="1" applyBorder="1"/>
    <xf numFmtId="179" fontId="85" fillId="52" borderId="154" xfId="28" applyNumberFormat="1" applyFont="1" applyFill="1" applyBorder="1" applyAlignment="1">
      <alignment horizontal="center"/>
    </xf>
    <xf numFmtId="183" fontId="92" fillId="50" borderId="156" xfId="433" applyNumberFormat="1" applyFont="1" applyFill="1" applyBorder="1" applyAlignment="1"/>
    <xf numFmtId="185" fontId="92" fillId="50" borderId="156" xfId="433" applyNumberFormat="1" applyFont="1" applyFill="1" applyBorder="1" applyAlignment="1"/>
    <xf numFmtId="177" fontId="85" fillId="50" borderId="129" xfId="28" applyNumberFormat="1" applyFont="1" applyFill="1" applyBorder="1" applyAlignment="1">
      <alignment horizontal="right"/>
    </xf>
    <xf numFmtId="180" fontId="92" fillId="52" borderId="129" xfId="995" applyNumberFormat="1" applyFont="1" applyFill="1" applyBorder="1"/>
    <xf numFmtId="182" fontId="92" fillId="43" borderId="129" xfId="433" applyNumberFormat="1" applyFont="1" applyBorder="1" applyAlignment="1"/>
    <xf numFmtId="180" fontId="92" fillId="50" borderId="129" xfId="433" applyNumberFormat="1" applyFont="1" applyFill="1" applyBorder="1" applyAlignment="1"/>
    <xf numFmtId="180" fontId="92" fillId="43" borderId="129" xfId="433" applyNumberFormat="1" applyFont="1" applyBorder="1" applyAlignment="1"/>
    <xf numFmtId="180" fontId="92" fillId="43" borderId="153" xfId="433" applyNumberFormat="1" applyFont="1" applyBorder="1" applyAlignment="1"/>
    <xf numFmtId="179" fontId="85" fillId="2" borderId="156" xfId="995" applyFont="1" applyFill="1" applyBorder="1" applyAlignment="1">
      <alignment horizontal="left"/>
    </xf>
    <xf numFmtId="179" fontId="85" fillId="2" borderId="153" xfId="995" applyFont="1" applyFill="1" applyBorder="1"/>
    <xf numFmtId="179" fontId="85" fillId="2" borderId="96" xfId="995" applyFont="1" applyFill="1" applyBorder="1" applyAlignment="1">
      <alignment horizontal="right"/>
    </xf>
    <xf numFmtId="179" fontId="85" fillId="2" borderId="96" xfId="995" applyFont="1" applyFill="1" applyBorder="1"/>
    <xf numFmtId="179" fontId="85" fillId="2" borderId="96" xfId="995" applyFont="1" applyFill="1" applyBorder="1" applyAlignment="1">
      <alignment horizontal="center"/>
    </xf>
    <xf numFmtId="179" fontId="85" fillId="2" borderId="156" xfId="995" applyFont="1" applyFill="1" applyBorder="1" applyAlignment="1">
      <alignment horizontal="center" wrapText="1"/>
    </xf>
    <xf numFmtId="179" fontId="85" fillId="2" borderId="129" xfId="995" applyFont="1" applyFill="1" applyBorder="1" applyAlignment="1">
      <alignment wrapText="1"/>
    </xf>
    <xf numFmtId="179" fontId="85" fillId="2" borderId="129" xfId="995" applyFont="1" applyFill="1" applyBorder="1" applyAlignment="1">
      <alignment horizontal="center" wrapText="1"/>
    </xf>
    <xf numFmtId="179" fontId="85" fillId="2" borderId="129" xfId="995" applyFont="1" applyFill="1" applyBorder="1" applyAlignment="1">
      <alignment horizontal="centerContinuous" wrapText="1"/>
    </xf>
    <xf numFmtId="179" fontId="85" fillId="2" borderId="153" xfId="995" applyFont="1" applyFill="1" applyBorder="1" applyAlignment="1">
      <alignment horizontal="center" wrapText="1"/>
    </xf>
    <xf numFmtId="179" fontId="85" fillId="2" borderId="129" xfId="995" applyFont="1" applyFill="1" applyBorder="1"/>
    <xf numFmtId="0" fontId="12" fillId="0" borderId="0" xfId="0" applyFont="1" applyAlignment="1">
      <alignment horizontal="center" vertical="center"/>
    </xf>
    <xf numFmtId="0" fontId="172" fillId="50" borderId="0" xfId="0" applyFont="1" applyFill="1"/>
    <xf numFmtId="0" fontId="0" fillId="0" borderId="14" xfId="0" applyBorder="1"/>
    <xf numFmtId="0" fontId="12" fillId="0" borderId="14" xfId="0" applyFont="1" applyBorder="1"/>
    <xf numFmtId="172" fontId="12" fillId="0" borderId="14" xfId="0" applyNumberFormat="1" applyFont="1" applyFill="1" applyBorder="1"/>
    <xf numFmtId="172" fontId="13" fillId="0" borderId="14" xfId="0" applyNumberFormat="1" applyFont="1" applyFill="1" applyBorder="1"/>
    <xf numFmtId="172" fontId="0" fillId="0" borderId="14" xfId="0" applyNumberFormat="1" applyBorder="1"/>
    <xf numFmtId="0" fontId="35" fillId="29" borderId="13" xfId="2611" applyFont="1" applyFill="1" applyBorder="1" applyAlignment="1">
      <alignment horizontal="left" vertical="center" wrapText="1"/>
    </xf>
    <xf numFmtId="193" fontId="13" fillId="0" borderId="0" xfId="975" applyNumberFormat="1"/>
    <xf numFmtId="0" fontId="12" fillId="0" borderId="14" xfId="2611" applyBorder="1"/>
    <xf numFmtId="2" fontId="12" fillId="0" borderId="14" xfId="2611" applyNumberFormat="1" applyBorder="1"/>
    <xf numFmtId="0" fontId="127" fillId="0" borderId="0" xfId="2611" applyFont="1"/>
    <xf numFmtId="0" fontId="103" fillId="0" borderId="0" xfId="0" applyFont="1"/>
    <xf numFmtId="0" fontId="34" fillId="31" borderId="12" xfId="2611" applyFont="1" applyFill="1" applyBorder="1" applyAlignment="1">
      <alignment horizontal="left" vertical="center" wrapText="1"/>
    </xf>
    <xf numFmtId="0" fontId="34" fillId="32" borderId="12" xfId="2611" applyFont="1" applyFill="1" applyBorder="1" applyAlignment="1">
      <alignment horizontal="left" vertical="center" wrapText="1"/>
    </xf>
    <xf numFmtId="0" fontId="84" fillId="31" borderId="12" xfId="2611" applyFont="1" applyFill="1" applyBorder="1" applyAlignment="1">
      <alignment horizontal="left" vertical="center" wrapText="1"/>
    </xf>
    <xf numFmtId="0" fontId="84" fillId="32" borderId="12" xfId="2611" applyFont="1" applyFill="1" applyBorder="1" applyAlignment="1">
      <alignment horizontal="left" vertical="center" wrapText="1"/>
    </xf>
    <xf numFmtId="0" fontId="84" fillId="49" borderId="12" xfId="2611" applyFont="1" applyFill="1" applyBorder="1" applyAlignment="1">
      <alignment horizontal="left" vertical="center" wrapText="1"/>
    </xf>
    <xf numFmtId="0" fontId="173" fillId="29" borderId="13" xfId="2611" applyFont="1" applyFill="1" applyBorder="1" applyAlignment="1">
      <alignment horizontal="left" vertical="center" wrapText="1"/>
    </xf>
    <xf numFmtId="2" fontId="127" fillId="50" borderId="0" xfId="2611" applyNumberFormat="1" applyFont="1" applyFill="1" applyAlignment="1">
      <alignment horizontal="center"/>
    </xf>
    <xf numFmtId="171" fontId="127" fillId="97" borderId="0" xfId="2611" applyNumberFormat="1" applyFont="1" applyFill="1" applyAlignment="1">
      <alignment horizontal="center"/>
    </xf>
    <xf numFmtId="0" fontId="127" fillId="0" borderId="0" xfId="2611" applyFont="1" applyAlignment="1">
      <alignment horizontal="center"/>
    </xf>
    <xf numFmtId="2" fontId="127" fillId="0" borderId="0" xfId="2611" applyNumberFormat="1" applyFont="1" applyAlignment="1">
      <alignment horizontal="center"/>
    </xf>
    <xf numFmtId="2" fontId="12" fillId="98" borderId="0" xfId="2611" applyNumberFormat="1" applyFill="1" applyAlignment="1">
      <alignment horizontal="center"/>
    </xf>
    <xf numFmtId="0" fontId="12" fillId="0" borderId="14" xfId="2611" applyBorder="1" applyAlignment="1" applyProtection="1">
      <alignment horizontal="left"/>
      <protection locked="0"/>
    </xf>
    <xf numFmtId="2" fontId="12" fillId="0" borderId="14" xfId="2611" applyNumberFormat="1" applyBorder="1" applyAlignment="1">
      <alignment horizontal="center"/>
    </xf>
    <xf numFmtId="170" fontId="12" fillId="0" borderId="14" xfId="2611" applyNumberFormat="1" applyBorder="1"/>
    <xf numFmtId="2" fontId="127" fillId="0" borderId="14" xfId="2611" applyNumberFormat="1" applyFont="1" applyBorder="1" applyAlignment="1">
      <alignment horizontal="center"/>
    </xf>
    <xf numFmtId="0" fontId="0" fillId="0" borderId="0" xfId="0" quotePrefix="1"/>
    <xf numFmtId="2" fontId="0" fillId="0" borderId="0" xfId="0" applyNumberFormat="1"/>
    <xf numFmtId="0" fontId="137" fillId="0" borderId="0" xfId="0" applyFont="1" applyFill="1" applyBorder="1" applyAlignment="1">
      <alignment horizontal="center"/>
    </xf>
    <xf numFmtId="0" fontId="12" fillId="0" borderId="0" xfId="0" applyFont="1" applyAlignment="1">
      <alignment horizontal="left"/>
    </xf>
    <xf numFmtId="0" fontId="34" fillId="0" borderId="12" xfId="0" applyFont="1" applyBorder="1" applyAlignment="1">
      <alignment horizontal="left" vertical="center" wrapText="1"/>
    </xf>
    <xf numFmtId="0" fontId="12" fillId="44" borderId="0" xfId="0" applyFont="1" applyFill="1" applyAlignment="1">
      <alignment horizontal="center" vertical="center"/>
    </xf>
    <xf numFmtId="175" fontId="12" fillId="0" borderId="0" xfId="0" applyNumberFormat="1" applyFont="1" applyAlignment="1">
      <alignment horizontal="left"/>
    </xf>
    <xf numFmtId="175" fontId="12" fillId="44" borderId="0" xfId="0" applyNumberFormat="1" applyFont="1" applyFill="1" applyAlignment="1">
      <alignment horizontal="left"/>
    </xf>
    <xf numFmtId="166" fontId="12" fillId="0" borderId="0" xfId="0" applyNumberFormat="1" applyFont="1" applyAlignment="1">
      <alignment horizontal="left"/>
    </xf>
    <xf numFmtId="14" fontId="0" fillId="0" borderId="0" xfId="0" applyNumberFormat="1"/>
    <xf numFmtId="0" fontId="0" fillId="0" borderId="131" xfId="0" applyBorder="1"/>
    <xf numFmtId="0" fontId="12" fillId="0" borderId="132" xfId="0" applyFont="1" applyBorder="1"/>
    <xf numFmtId="9" fontId="0" fillId="0" borderId="132" xfId="1473" applyFont="1" applyBorder="1"/>
    <xf numFmtId="0" fontId="0" fillId="0" borderId="132" xfId="0" applyBorder="1"/>
    <xf numFmtId="0" fontId="0" fillId="0" borderId="133" xfId="0" applyBorder="1"/>
    <xf numFmtId="0" fontId="12" fillId="0" borderId="17" xfId="0" applyFont="1" applyBorder="1" applyAlignment="1">
      <alignment horizontal="left"/>
    </xf>
    <xf numFmtId="180" fontId="0" fillId="0" borderId="0" xfId="0" applyNumberFormat="1"/>
    <xf numFmtId="0" fontId="12" fillId="0" borderId="131" xfId="0" applyFont="1" applyBorder="1" applyAlignment="1">
      <alignment horizontal="left"/>
    </xf>
    <xf numFmtId="180" fontId="0" fillId="0" borderId="132" xfId="0" applyNumberFormat="1" applyBorder="1"/>
    <xf numFmtId="0" fontId="0" fillId="2" borderId="0" xfId="0" applyFill="1"/>
    <xf numFmtId="0" fontId="83" fillId="37" borderId="0" xfId="983" applyFont="1" applyFill="1"/>
    <xf numFmtId="175" fontId="2" fillId="37" borderId="0" xfId="430" applyNumberFormat="1" applyFont="1" applyFill="1" applyBorder="1"/>
    <xf numFmtId="0" fontId="2" fillId="37" borderId="58" xfId="983" applyFont="1" applyFill="1" applyBorder="1"/>
    <xf numFmtId="175" fontId="2" fillId="37" borderId="58" xfId="430" applyNumberFormat="1" applyFont="1" applyFill="1" applyBorder="1"/>
    <xf numFmtId="0" fontId="66" fillId="37" borderId="0" xfId="983" applyFill="1"/>
    <xf numFmtId="0" fontId="2" fillId="37" borderId="0" xfId="983" applyFont="1" applyFill="1"/>
    <xf numFmtId="175" fontId="136" fillId="37" borderId="12" xfId="430" applyNumberFormat="1" applyFont="1" applyFill="1" applyBorder="1"/>
    <xf numFmtId="0" fontId="2" fillId="37" borderId="14" xfId="983" applyFont="1" applyFill="1" applyBorder="1"/>
    <xf numFmtId="175" fontId="2" fillId="37" borderId="14" xfId="430" applyNumberFormat="1" applyFont="1" applyFill="1" applyBorder="1"/>
    <xf numFmtId="0" fontId="12" fillId="2" borderId="0" xfId="0" applyFont="1" applyFill="1"/>
    <xf numFmtId="0" fontId="131" fillId="88" borderId="2" xfId="0" applyFont="1" applyFill="1" applyBorder="1" applyAlignment="1">
      <alignment horizontal="center" wrapText="1"/>
    </xf>
    <xf numFmtId="0" fontId="131" fillId="88" borderId="2" xfId="0" applyFont="1" applyFill="1" applyBorder="1" applyAlignment="1">
      <alignment horizontal="center" vertical="top"/>
    </xf>
    <xf numFmtId="0" fontId="131" fillId="88" borderId="2" xfId="0" applyFont="1" applyFill="1" applyBorder="1" applyAlignment="1">
      <alignment horizontal="center" vertical="top" wrapText="1"/>
    </xf>
    <xf numFmtId="0" fontId="132" fillId="0" borderId="2" xfId="0" applyFont="1" applyBorder="1" applyAlignment="1">
      <alignment horizontal="left"/>
    </xf>
    <xf numFmtId="171" fontId="132" fillId="0" borderId="2" xfId="0" applyNumberFormat="1" applyFont="1" applyBorder="1" applyAlignment="1">
      <alignment horizontal="center"/>
    </xf>
    <xf numFmtId="0" fontId="174" fillId="0" borderId="0" xfId="0" applyFont="1"/>
    <xf numFmtId="0" fontId="131" fillId="88" borderId="2" xfId="0" applyFont="1" applyFill="1" applyBorder="1" applyAlignment="1">
      <alignment vertical="top" wrapText="1"/>
    </xf>
    <xf numFmtId="0" fontId="131" fillId="88" borderId="71" xfId="0" applyFont="1" applyFill="1" applyBorder="1" applyAlignment="1">
      <alignment horizontal="center" vertical="top"/>
    </xf>
    <xf numFmtId="0" fontId="131" fillId="88" borderId="58" xfId="0" applyFont="1" applyFill="1" applyBorder="1" applyAlignment="1">
      <alignment horizontal="center" vertical="top"/>
    </xf>
    <xf numFmtId="0" fontId="131" fillId="88" borderId="155" xfId="0" applyFont="1" applyFill="1" applyBorder="1" applyAlignment="1">
      <alignment horizontal="center" vertical="top"/>
    </xf>
    <xf numFmtId="0" fontId="175" fillId="99" borderId="2" xfId="0" applyFont="1" applyFill="1" applyBorder="1" applyAlignment="1">
      <alignment horizontal="center" vertical="top"/>
    </xf>
    <xf numFmtId="2" fontId="132" fillId="0" borderId="2" xfId="0" applyNumberFormat="1" applyFont="1" applyBorder="1" applyAlignment="1">
      <alignment horizontal="center"/>
    </xf>
    <xf numFmtId="171" fontId="176" fillId="0" borderId="38" xfId="0" applyNumberFormat="1" applyFont="1" applyBorder="1" applyAlignment="1">
      <alignment horizontal="center"/>
    </xf>
    <xf numFmtId="171" fontId="176" fillId="0" borderId="2" xfId="0" applyNumberFormat="1" applyFont="1" applyBorder="1" applyAlignment="1">
      <alignment horizontal="center"/>
    </xf>
    <xf numFmtId="171" fontId="176" fillId="0" borderId="23" xfId="0" applyNumberFormat="1" applyFont="1" applyBorder="1" applyAlignment="1">
      <alignment horizontal="center"/>
    </xf>
    <xf numFmtId="0" fontId="12" fillId="50" borderId="0" xfId="0" applyFont="1" applyFill="1"/>
    <xf numFmtId="0" fontId="34" fillId="31" borderId="129" xfId="0" applyFont="1" applyFill="1" applyBorder="1" applyAlignment="1">
      <alignment horizontal="center" vertical="center" wrapText="1"/>
    </xf>
    <xf numFmtId="0" fontId="34" fillId="31" borderId="0" xfId="0" applyFont="1" applyFill="1" applyBorder="1" applyAlignment="1">
      <alignment horizontal="center" vertical="center" wrapText="1"/>
    </xf>
    <xf numFmtId="0" fontId="177" fillId="0" borderId="0" xfId="0" applyFont="1" applyAlignment="1">
      <alignment horizontal="left" vertical="top"/>
    </xf>
    <xf numFmtId="171" fontId="177" fillId="0" borderId="0" xfId="0" applyNumberFormat="1" applyFont="1" applyAlignment="1">
      <alignment horizontal="left" vertical="top"/>
    </xf>
    <xf numFmtId="0" fontId="177" fillId="0" borderId="0" xfId="0" applyFont="1" applyAlignment="1">
      <alignment horizontal="left"/>
    </xf>
    <xf numFmtId="171" fontId="178" fillId="0" borderId="0" xfId="0" applyNumberFormat="1" applyFont="1" applyAlignment="1">
      <alignment horizontal="left"/>
    </xf>
    <xf numFmtId="0" fontId="85" fillId="85" borderId="97" xfId="991" applyFont="1" applyFill="1" applyBorder="1" applyAlignment="1">
      <alignment horizontal="right" wrapText="1"/>
    </xf>
    <xf numFmtId="0" fontId="85" fillId="31" borderId="130" xfId="991" applyFont="1" applyFill="1" applyBorder="1" applyAlignment="1">
      <alignment horizontal="right" vertical="center" wrapText="1"/>
    </xf>
    <xf numFmtId="0" fontId="39" fillId="0" borderId="0" xfId="0" applyFont="1"/>
    <xf numFmtId="0" fontId="143" fillId="0" borderId="132" xfId="0" applyFont="1" applyBorder="1" applyAlignment="1">
      <alignment vertical="center"/>
    </xf>
    <xf numFmtId="0" fontId="145" fillId="0" borderId="132" xfId="0" applyFont="1" applyBorder="1" applyAlignment="1">
      <alignment vertical="center" wrapText="1"/>
    </xf>
    <xf numFmtId="0" fontId="143" fillId="0" borderId="0" xfId="0" applyFont="1" applyAlignment="1">
      <alignment horizontal="right" vertical="center"/>
    </xf>
    <xf numFmtId="0" fontId="143" fillId="0" borderId="132" xfId="0" applyFont="1" applyBorder="1" applyAlignment="1">
      <alignment horizontal="right" vertical="center"/>
    </xf>
    <xf numFmtId="0" fontId="145" fillId="0" borderId="132" xfId="0" applyFont="1" applyBorder="1" applyAlignment="1">
      <alignment vertical="center"/>
    </xf>
    <xf numFmtId="0" fontId="39" fillId="0" borderId="0" xfId="0" applyFont="1" applyAlignment="1">
      <alignment vertical="center"/>
    </xf>
    <xf numFmtId="0" fontId="179" fillId="0" borderId="0" xfId="0" applyFont="1" applyAlignment="1">
      <alignment vertical="center"/>
    </xf>
    <xf numFmtId="0" fontId="34" fillId="86" borderId="130" xfId="0" applyNumberFormat="1" applyFont="1" applyFill="1" applyBorder="1" applyAlignment="1" applyProtection="1">
      <alignment horizontal="left" vertical="center" wrapText="1"/>
    </xf>
    <xf numFmtId="0" fontId="48" fillId="87" borderId="94" xfId="0" applyNumberFormat="1" applyFont="1" applyFill="1" applyBorder="1" applyAlignment="1" applyProtection="1">
      <alignment horizontal="left" vertical="center" wrapText="1"/>
    </xf>
    <xf numFmtId="0" fontId="12" fillId="0" borderId="96" xfId="0" applyFont="1" applyBorder="1"/>
    <xf numFmtId="189" fontId="0" fillId="0" borderId="0" xfId="0" applyNumberFormat="1"/>
    <xf numFmtId="0" fontId="180" fillId="0" borderId="0" xfId="10689" applyFont="1"/>
    <xf numFmtId="174" fontId="180" fillId="0" borderId="0" xfId="10689" applyNumberFormat="1" applyFont="1"/>
    <xf numFmtId="0" fontId="183" fillId="0" borderId="0" xfId="10689" applyFont="1" applyAlignment="1">
      <alignment horizontal="center" vertical="center"/>
    </xf>
    <xf numFmtId="0" fontId="182" fillId="0" borderId="23" xfId="10691" applyFont="1" applyBorder="1" applyAlignment="1">
      <alignment horizontal="center" vertical="center" wrapText="1"/>
    </xf>
    <xf numFmtId="0" fontId="182" fillId="0" borderId="23" xfId="10690" applyFont="1" applyBorder="1" applyAlignment="1">
      <alignment horizontal="center" vertical="center" wrapText="1"/>
    </xf>
    <xf numFmtId="0" fontId="184" fillId="0" borderId="0" xfId="10689" applyFont="1" applyAlignment="1">
      <alignment horizontal="center" vertical="center"/>
    </xf>
    <xf numFmtId="0" fontId="180" fillId="0" borderId="74" xfId="10690" applyFont="1" applyBorder="1" applyAlignment="1">
      <alignment horizontal="left" wrapText="1"/>
    </xf>
    <xf numFmtId="0" fontId="180" fillId="0" borderId="163" xfId="10690" applyFont="1" applyBorder="1" applyAlignment="1">
      <alignment horizontal="left"/>
    </xf>
    <xf numFmtId="0" fontId="180" fillId="0" borderId="163" xfId="10690" applyFont="1" applyBorder="1" applyAlignment="1">
      <alignment wrapText="1"/>
    </xf>
    <xf numFmtId="0" fontId="180" fillId="0" borderId="163" xfId="10690" applyFont="1" applyBorder="1" applyAlignment="1">
      <alignment horizontal="left" indent="1"/>
    </xf>
    <xf numFmtId="0" fontId="180" fillId="0" borderId="163" xfId="10690" applyFont="1" applyBorder="1"/>
    <xf numFmtId="0" fontId="181" fillId="0" borderId="163" xfId="10690" applyFont="1" applyBorder="1" applyAlignment="1">
      <alignment horizontal="left"/>
    </xf>
    <xf numFmtId="0" fontId="181" fillId="0" borderId="163" xfId="10690" applyFont="1" applyBorder="1"/>
    <xf numFmtId="170" fontId="180" fillId="0" borderId="0" xfId="10689" applyNumberFormat="1" applyFont="1"/>
    <xf numFmtId="193" fontId="180" fillId="0" borderId="0" xfId="10689" applyNumberFormat="1" applyFont="1"/>
    <xf numFmtId="0" fontId="180" fillId="0" borderId="163" xfId="10690" applyFont="1" applyBorder="1" applyAlignment="1">
      <alignment horizontal="left" wrapText="1" indent="1"/>
    </xf>
    <xf numFmtId="0" fontId="181" fillId="0" borderId="163" xfId="10690" applyFont="1" applyBorder="1" applyAlignment="1">
      <alignment wrapText="1"/>
    </xf>
    <xf numFmtId="0" fontId="181" fillId="0" borderId="163" xfId="10690" applyFont="1" applyBorder="1" applyAlignment="1">
      <alignment horizontal="left" indent="1"/>
    </xf>
    <xf numFmtId="0" fontId="180" fillId="0" borderId="163" xfId="10690" applyFont="1" applyBorder="1" applyAlignment="1">
      <alignment horizontal="left" wrapText="1" indent="2"/>
    </xf>
    <xf numFmtId="0" fontId="180" fillId="0" borderId="163" xfId="10690" applyFont="1" applyBorder="1" applyAlignment="1">
      <alignment horizontal="left" indent="2"/>
    </xf>
    <xf numFmtId="0" fontId="181" fillId="0" borderId="0" xfId="10689" applyFont="1"/>
    <xf numFmtId="174" fontId="181" fillId="0" borderId="0" xfId="10689" applyNumberFormat="1" applyFont="1"/>
    <xf numFmtId="0" fontId="181" fillId="0" borderId="163" xfId="10690" applyFont="1" applyBorder="1" applyAlignment="1">
      <alignment horizontal="left" wrapText="1" indent="1"/>
    </xf>
    <xf numFmtId="0" fontId="180" fillId="0" borderId="163" xfId="10691" applyFont="1" applyBorder="1" applyAlignment="1">
      <alignment horizontal="left" wrapText="1" indent="2"/>
    </xf>
    <xf numFmtId="0" fontId="181" fillId="0" borderId="165" xfId="10690" applyFont="1" applyBorder="1" applyAlignment="1">
      <alignment wrapText="1"/>
    </xf>
    <xf numFmtId="172" fontId="12" fillId="0" borderId="12" xfId="0" applyNumberFormat="1" applyFont="1" applyFill="1" applyBorder="1"/>
    <xf numFmtId="0" fontId="34" fillId="0" borderId="0" xfId="0" applyNumberFormat="1" applyFont="1" applyFill="1" applyBorder="1" applyAlignment="1" applyProtection="1">
      <alignment horizontal="left" vertical="center" wrapText="1"/>
    </xf>
    <xf numFmtId="0" fontId="48" fillId="0" borderId="0" xfId="0" applyNumberFormat="1" applyFont="1" applyFill="1" applyBorder="1" applyAlignment="1" applyProtection="1">
      <alignment horizontal="left" vertical="center" wrapText="1"/>
    </xf>
    <xf numFmtId="0" fontId="183" fillId="0" borderId="0" xfId="10689" applyFont="1"/>
    <xf numFmtId="174" fontId="181" fillId="0" borderId="166" xfId="2616" applyNumberFormat="1" applyFont="1" applyBorder="1" applyAlignment="1">
      <alignment horizontal="right"/>
    </xf>
    <xf numFmtId="174" fontId="180" fillId="0" borderId="23" xfId="2616" applyNumberFormat="1" applyFont="1" applyBorder="1" applyAlignment="1">
      <alignment horizontal="right"/>
    </xf>
    <xf numFmtId="174" fontId="181" fillId="0" borderId="23" xfId="2616" applyNumberFormat="1" applyFont="1" applyBorder="1" applyAlignment="1">
      <alignment horizontal="right"/>
    </xf>
    <xf numFmtId="0" fontId="181" fillId="0" borderId="165" xfId="2616" applyFont="1" applyBorder="1" applyAlignment="1">
      <alignment wrapText="1"/>
    </xf>
    <xf numFmtId="174" fontId="180" fillId="0" borderId="164" xfId="2616" applyNumberFormat="1" applyFont="1" applyBorder="1" applyAlignment="1">
      <alignment horizontal="right"/>
    </xf>
    <xf numFmtId="174" fontId="180" fillId="0" borderId="2" xfId="2616" applyNumberFormat="1" applyFont="1" applyBorder="1" applyAlignment="1">
      <alignment horizontal="right"/>
    </xf>
    <xf numFmtId="0" fontId="180" fillId="0" borderId="163" xfId="2616" applyFont="1" applyBorder="1" applyAlignment="1">
      <alignment horizontal="left" indent="2"/>
    </xf>
    <xf numFmtId="0" fontId="180" fillId="0" borderId="163" xfId="2616" applyFont="1" applyBorder="1" applyAlignment="1">
      <alignment horizontal="left" wrapText="1" indent="2"/>
    </xf>
    <xf numFmtId="174" fontId="181" fillId="0" borderId="164" xfId="2616" applyNumberFormat="1" applyFont="1" applyBorder="1" applyAlignment="1">
      <alignment horizontal="right"/>
    </xf>
    <xf numFmtId="174" fontId="181" fillId="0" borderId="2" xfId="2616" applyNumberFormat="1" applyFont="1" applyBorder="1" applyAlignment="1">
      <alignment horizontal="right"/>
    </xf>
    <xf numFmtId="0" fontId="181" fillId="0" borderId="163" xfId="2616" applyFont="1" applyBorder="1" applyAlignment="1">
      <alignment horizontal="left" wrapText="1" indent="1"/>
    </xf>
    <xf numFmtId="174" fontId="180" fillId="0" borderId="2" xfId="2616" applyNumberFormat="1" applyFont="1" applyBorder="1"/>
    <xf numFmtId="0" fontId="181" fillId="0" borderId="163" xfId="2616" applyFont="1" applyBorder="1" applyAlignment="1">
      <alignment horizontal="left" indent="1"/>
    </xf>
    <xf numFmtId="0" fontId="181" fillId="0" borderId="163" xfId="2616" applyFont="1" applyBorder="1" applyAlignment="1">
      <alignment wrapText="1"/>
    </xf>
    <xf numFmtId="0" fontId="180" fillId="0" borderId="163" xfId="2616" applyFont="1" applyBorder="1" applyAlignment="1">
      <alignment horizontal="left" indent="1"/>
    </xf>
    <xf numFmtId="0" fontId="180" fillId="0" borderId="163" xfId="2616" applyFont="1" applyBorder="1" applyAlignment="1">
      <alignment horizontal="left" wrapText="1" indent="1"/>
    </xf>
    <xf numFmtId="0" fontId="181" fillId="0" borderId="163" xfId="2616" applyFont="1" applyBorder="1"/>
    <xf numFmtId="0" fontId="181" fillId="0" borderId="163" xfId="2616" applyFont="1" applyBorder="1" applyAlignment="1">
      <alignment horizontal="left"/>
    </xf>
    <xf numFmtId="0" fontId="180" fillId="0" borderId="163" xfId="2616" applyFont="1" applyBorder="1"/>
    <xf numFmtId="0" fontId="180" fillId="0" borderId="163" xfId="2616" applyFont="1" applyBorder="1" applyAlignment="1">
      <alignment wrapText="1"/>
    </xf>
    <xf numFmtId="0" fontId="180" fillId="0" borderId="163" xfId="2616" applyFont="1" applyBorder="1" applyAlignment="1">
      <alignment horizontal="left"/>
    </xf>
    <xf numFmtId="174" fontId="180" fillId="0" borderId="162" xfId="2616" applyNumberFormat="1" applyFont="1" applyBorder="1" applyAlignment="1">
      <alignment horizontal="right"/>
    </xf>
    <xf numFmtId="174" fontId="180" fillId="0" borderId="42" xfId="2616" applyNumberFormat="1" applyFont="1" applyBorder="1" applyAlignment="1">
      <alignment horizontal="right"/>
    </xf>
    <xf numFmtId="0" fontId="180" fillId="0" borderId="74" xfId="2616" applyFont="1" applyBorder="1" applyAlignment="1">
      <alignment horizontal="left" wrapText="1"/>
    </xf>
    <xf numFmtId="0" fontId="180" fillId="0" borderId="0" xfId="10689" applyFont="1" applyAlignment="1">
      <alignment horizontal="center" vertical="center"/>
    </xf>
    <xf numFmtId="0" fontId="181" fillId="0" borderId="23" xfId="10691" applyFont="1" applyBorder="1" applyAlignment="1">
      <alignment horizontal="center" vertical="center" wrapText="1"/>
    </xf>
    <xf numFmtId="0" fontId="181" fillId="0" borderId="23" xfId="2616" applyFont="1" applyBorder="1" applyAlignment="1">
      <alignment horizontal="center" vertical="center" wrapText="1"/>
    </xf>
    <xf numFmtId="0" fontId="181" fillId="0" borderId="0" xfId="10689" applyFont="1" applyAlignment="1">
      <alignment horizontal="center" vertical="center"/>
    </xf>
    <xf numFmtId="174" fontId="180" fillId="0" borderId="42" xfId="10689" applyNumberFormat="1" applyFont="1" applyBorder="1" applyAlignment="1">
      <alignment horizontal="right"/>
    </xf>
    <xf numFmtId="174" fontId="180" fillId="0" borderId="162" xfId="10689" applyNumberFormat="1" applyFont="1" applyBorder="1" applyAlignment="1">
      <alignment horizontal="right"/>
    </xf>
    <xf numFmtId="174" fontId="180" fillId="0" borderId="2" xfId="10689" applyNumberFormat="1" applyFont="1" applyBorder="1" applyAlignment="1">
      <alignment horizontal="right"/>
    </xf>
    <xf numFmtId="174" fontId="180" fillId="0" borderId="164" xfId="10689" applyNumberFormat="1" applyFont="1" applyBorder="1" applyAlignment="1">
      <alignment horizontal="right"/>
    </xf>
    <xf numFmtId="174" fontId="181" fillId="0" borderId="2" xfId="10689" applyNumberFormat="1" applyFont="1" applyBorder="1" applyAlignment="1">
      <alignment horizontal="right"/>
    </xf>
    <xf numFmtId="174" fontId="181" fillId="0" borderId="164" xfId="10689" applyNumberFormat="1" applyFont="1" applyBorder="1" applyAlignment="1">
      <alignment horizontal="right"/>
    </xf>
    <xf numFmtId="0" fontId="180" fillId="0" borderId="163" xfId="10691" applyFont="1" applyBorder="1" applyAlignment="1">
      <alignment horizontal="left" indent="2"/>
    </xf>
    <xf numFmtId="174" fontId="181" fillId="0" borderId="23" xfId="10689" applyNumberFormat="1" applyFont="1" applyBorder="1" applyAlignment="1">
      <alignment horizontal="right"/>
    </xf>
    <xf numFmtId="174" fontId="180" fillId="0" borderId="23" xfId="10689" applyNumberFormat="1" applyFont="1" applyBorder="1" applyAlignment="1">
      <alignment horizontal="right"/>
    </xf>
    <xf numFmtId="174" fontId="181" fillId="0" borderId="166" xfId="10689" applyNumberFormat="1" applyFont="1" applyBorder="1" applyAlignment="1">
      <alignment horizontal="right"/>
    </xf>
    <xf numFmtId="0" fontId="180" fillId="0" borderId="132" xfId="2616" applyFont="1" applyBorder="1" applyAlignment="1"/>
    <xf numFmtId="0" fontId="180" fillId="0" borderId="132" xfId="10690" applyFont="1" applyBorder="1" applyAlignment="1"/>
    <xf numFmtId="170" fontId="127" fillId="0" borderId="0" xfId="0" applyNumberFormat="1" applyFont="1"/>
    <xf numFmtId="1" fontId="127" fillId="50" borderId="0" xfId="2611" applyNumberFormat="1" applyFont="1" applyFill="1" applyAlignment="1">
      <alignment horizontal="center"/>
    </xf>
    <xf numFmtId="0" fontId="186" fillId="101" borderId="0" xfId="10692" applyFont="1" applyFill="1" applyAlignment="1">
      <alignment wrapText="1"/>
    </xf>
    <xf numFmtId="0" fontId="186" fillId="101" borderId="0" xfId="10692" applyFont="1" applyFill="1" applyAlignment="1">
      <alignment horizontal="right"/>
    </xf>
    <xf numFmtId="0" fontId="186" fillId="101" borderId="0" xfId="10692" applyFont="1" applyFill="1" applyAlignment="1">
      <alignment horizontal="right" wrapText="1"/>
    </xf>
    <xf numFmtId="0" fontId="185" fillId="0" borderId="0" xfId="10692"/>
    <xf numFmtId="0" fontId="188" fillId="0" borderId="0" xfId="10692" applyFont="1"/>
    <xf numFmtId="0" fontId="189" fillId="0" borderId="0" xfId="10692" applyFont="1" applyAlignment="1">
      <alignment horizontal="right"/>
    </xf>
    <xf numFmtId="0" fontId="189" fillId="0" borderId="0" xfId="10692" applyFont="1" applyAlignment="1">
      <alignment horizontal="left" indent="1"/>
    </xf>
    <xf numFmtId="174" fontId="189" fillId="0" borderId="0" xfId="10692" applyNumberFormat="1" applyFont="1" applyAlignment="1">
      <alignment horizontal="right"/>
    </xf>
    <xf numFmtId="197" fontId="189" fillId="0" borderId="0" xfId="10692" applyNumberFormat="1" applyFont="1" applyAlignment="1">
      <alignment horizontal="right"/>
    </xf>
    <xf numFmtId="0" fontId="191" fillId="0" borderId="0" xfId="10692" applyFont="1" applyAlignment="1">
      <alignment wrapText="1"/>
    </xf>
    <xf numFmtId="0" fontId="191" fillId="0" borderId="0" xfId="10692" applyFont="1" applyAlignment="1">
      <alignment horizontal="right"/>
    </xf>
    <xf numFmtId="0" fontId="188" fillId="0" borderId="0" xfId="10692" applyFont="1" applyAlignment="1">
      <alignment horizontal="left"/>
    </xf>
    <xf numFmtId="0" fontId="189" fillId="0" borderId="0" xfId="10692" applyFont="1" applyAlignment="1">
      <alignment horizontal="left" indent="6"/>
    </xf>
    <xf numFmtId="0" fontId="189" fillId="0" borderId="0" xfId="10693" applyNumberFormat="1" applyFont="1" applyBorder="1" applyAlignment="1" applyProtection="1">
      <alignment horizontal="left" indent="1"/>
    </xf>
    <xf numFmtId="0" fontId="189" fillId="0" borderId="0" xfId="10693" applyNumberFormat="1" applyFont="1" applyBorder="1" applyAlignment="1" applyProtection="1">
      <alignment horizontal="left" indent="6"/>
    </xf>
    <xf numFmtId="0" fontId="186" fillId="101" borderId="0" xfId="10692" applyFont="1" applyFill="1" applyAlignment="1">
      <alignment horizontal="left"/>
    </xf>
    <xf numFmtId="0" fontId="191" fillId="0" borderId="0" xfId="10692" applyFont="1" applyAlignment="1">
      <alignment horizontal="left"/>
    </xf>
    <xf numFmtId="0" fontId="34" fillId="31" borderId="0" xfId="0" applyFont="1" applyFill="1" applyBorder="1" applyAlignment="1">
      <alignment horizontal="left" vertical="center" wrapText="1"/>
    </xf>
    <xf numFmtId="174" fontId="192" fillId="0" borderId="42" xfId="0" applyNumberFormat="1" applyFont="1" applyBorder="1" applyAlignment="1">
      <alignment horizontal="right"/>
    </xf>
    <xf numFmtId="174" fontId="192" fillId="0" borderId="162" xfId="0" applyNumberFormat="1" applyFont="1" applyBorder="1" applyAlignment="1">
      <alignment horizontal="right"/>
    </xf>
    <xf numFmtId="174" fontId="192" fillId="0" borderId="2" xfId="0" applyNumberFormat="1" applyFont="1" applyBorder="1" applyAlignment="1">
      <alignment horizontal="right"/>
    </xf>
    <xf numFmtId="174" fontId="192" fillId="0" borderId="164" xfId="0" applyNumberFormat="1" applyFont="1" applyBorder="1" applyAlignment="1">
      <alignment horizontal="right"/>
    </xf>
    <xf numFmtId="174" fontId="193" fillId="0" borderId="2" xfId="0" applyNumberFormat="1" applyFont="1" applyBorder="1" applyAlignment="1">
      <alignment horizontal="right"/>
    </xf>
    <xf numFmtId="174" fontId="193" fillId="0" borderId="164" xfId="0" applyNumberFormat="1" applyFont="1" applyBorder="1" applyAlignment="1">
      <alignment horizontal="right"/>
    </xf>
    <xf numFmtId="174" fontId="193" fillId="0" borderId="23" xfId="0" applyNumberFormat="1" applyFont="1" applyBorder="1" applyAlignment="1">
      <alignment horizontal="right"/>
    </xf>
    <xf numFmtId="174" fontId="192" fillId="0" borderId="23" xfId="0" applyNumberFormat="1" applyFont="1" applyBorder="1" applyAlignment="1">
      <alignment horizontal="right"/>
    </xf>
    <xf numFmtId="174" fontId="193" fillId="0" borderId="166" xfId="0" applyNumberFormat="1" applyFont="1" applyBorder="1" applyAlignment="1">
      <alignment horizontal="right"/>
    </xf>
    <xf numFmtId="9" fontId="127" fillId="0" borderId="0" xfId="1473" applyFont="1" applyBorder="1"/>
    <xf numFmtId="0" fontId="1" fillId="0" borderId="0" xfId="10694" applyAlignment="1">
      <alignment horizontal="left"/>
    </xf>
    <xf numFmtId="0" fontId="194" fillId="0" borderId="0" xfId="10694" applyFont="1" applyAlignment="1">
      <alignment horizontal="left"/>
    </xf>
    <xf numFmtId="0" fontId="195" fillId="0" borderId="0" xfId="10694" applyFont="1"/>
    <xf numFmtId="0" fontId="194" fillId="0" borderId="0" xfId="10694" applyFont="1"/>
    <xf numFmtId="0" fontId="196" fillId="0" borderId="0" xfId="10694" applyFont="1"/>
    <xf numFmtId="0" fontId="1" fillId="0" borderId="0" xfId="10694"/>
    <xf numFmtId="0" fontId="32" fillId="0" borderId="0" xfId="10694" applyFont="1" applyAlignment="1">
      <alignment horizontal="center"/>
    </xf>
    <xf numFmtId="0" fontId="1" fillId="0" borderId="0" xfId="10694" applyAlignment="1">
      <alignment horizontal="center"/>
    </xf>
    <xf numFmtId="0" fontId="39" fillId="0" borderId="0" xfId="10694" applyFont="1" applyAlignment="1">
      <alignment horizontal="left"/>
    </xf>
    <xf numFmtId="0" fontId="133" fillId="0" borderId="0" xfId="10694" applyFont="1" applyAlignment="1">
      <alignment horizontal="left"/>
    </xf>
    <xf numFmtId="0" fontId="1" fillId="102" borderId="0" xfId="10694" applyFill="1"/>
    <xf numFmtId="0" fontId="1" fillId="50" borderId="0" xfId="10694" applyFill="1"/>
    <xf numFmtId="0" fontId="1" fillId="45" borderId="0" xfId="10694" applyFill="1" applyAlignment="1">
      <alignment horizontal="left"/>
    </xf>
    <xf numFmtId="0" fontId="1" fillId="103" borderId="0" xfId="10694" applyFill="1" applyAlignment="1">
      <alignment horizontal="left"/>
    </xf>
    <xf numFmtId="0" fontId="1" fillId="104" borderId="0" xfId="10694" applyFill="1" applyAlignment="1">
      <alignment horizontal="left"/>
    </xf>
    <xf numFmtId="0" fontId="1" fillId="105" borderId="0" xfId="10694" applyFill="1" applyAlignment="1">
      <alignment horizontal="left"/>
    </xf>
    <xf numFmtId="0" fontId="1" fillId="106" borderId="0" xfId="10694" applyFill="1" applyAlignment="1">
      <alignment horizontal="left"/>
    </xf>
    <xf numFmtId="0" fontId="1" fillId="107" borderId="0" xfId="10694" applyFill="1" applyAlignment="1">
      <alignment horizontal="left"/>
    </xf>
    <xf numFmtId="0" fontId="1" fillId="94" borderId="0" xfId="10694" applyFill="1" applyAlignment="1">
      <alignment horizontal="left"/>
    </xf>
    <xf numFmtId="0" fontId="1" fillId="47" borderId="0" xfId="10694" applyFill="1" applyAlignment="1">
      <alignment horizontal="left"/>
    </xf>
    <xf numFmtId="0" fontId="1" fillId="108" borderId="0" xfId="10694" applyFill="1" applyAlignment="1">
      <alignment horizontal="left"/>
    </xf>
    <xf numFmtId="0" fontId="1" fillId="54" borderId="0" xfId="10694" applyFill="1" applyAlignment="1">
      <alignment horizontal="left"/>
    </xf>
    <xf numFmtId="0" fontId="32" fillId="0" borderId="0" xfId="10694" applyFont="1" applyAlignment="1">
      <alignment horizontal="left"/>
    </xf>
    <xf numFmtId="0" fontId="0" fillId="0" borderId="129" xfId="0" applyFill="1" applyBorder="1"/>
    <xf numFmtId="172" fontId="0" fillId="0" borderId="129" xfId="0" applyNumberFormat="1" applyFill="1" applyBorder="1"/>
    <xf numFmtId="172" fontId="0" fillId="0" borderId="129" xfId="0" applyNumberFormat="1" applyFill="1" applyBorder="1" applyAlignment="1">
      <alignment wrapText="1"/>
    </xf>
    <xf numFmtId="172" fontId="13" fillId="0" borderId="129" xfId="0" applyNumberFormat="1" applyFont="1" applyFill="1" applyBorder="1"/>
    <xf numFmtId="172" fontId="12" fillId="0" borderId="129" xfId="0" applyNumberFormat="1" applyFont="1" applyFill="1" applyBorder="1"/>
    <xf numFmtId="0" fontId="0" fillId="0" borderId="129" xfId="0" applyBorder="1"/>
    <xf numFmtId="172" fontId="0" fillId="0" borderId="129" xfId="0" applyNumberFormat="1" applyBorder="1"/>
    <xf numFmtId="171" fontId="12" fillId="100" borderId="0" xfId="2611" applyNumberFormat="1" applyFill="1"/>
    <xf numFmtId="171" fontId="127" fillId="100" borderId="0" xfId="2611" applyNumberFormat="1" applyFont="1" applyFill="1"/>
    <xf numFmtId="195" fontId="12" fillId="0" borderId="0" xfId="2611" applyNumberFormat="1"/>
    <xf numFmtId="196" fontId="12" fillId="0" borderId="0" xfId="2611" applyNumberFormat="1"/>
    <xf numFmtId="194" fontId="12" fillId="0" borderId="0" xfId="2611" applyNumberFormat="1"/>
    <xf numFmtId="0" fontId="47" fillId="0" borderId="0" xfId="2611" applyFont="1" applyAlignment="1">
      <alignment horizontal="right"/>
    </xf>
    <xf numFmtId="0" fontId="47" fillId="32" borderId="0" xfId="2611" applyFont="1" applyFill="1" applyAlignment="1">
      <alignment horizontal="right"/>
    </xf>
    <xf numFmtId="0" fontId="47" fillId="32" borderId="13" xfId="2611" applyFont="1" applyFill="1" applyBorder="1" applyAlignment="1">
      <alignment horizontal="right"/>
    </xf>
    <xf numFmtId="0" fontId="47" fillId="32" borderId="132" xfId="2611" applyFont="1" applyFill="1" applyBorder="1" applyAlignment="1">
      <alignment horizontal="right"/>
    </xf>
    <xf numFmtId="0" fontId="47" fillId="32" borderId="50" xfId="2611" applyFont="1" applyFill="1" applyBorder="1" applyAlignment="1">
      <alignment horizontal="right"/>
    </xf>
    <xf numFmtId="0" fontId="47" fillId="32" borderId="13" xfId="2611" applyFont="1" applyFill="1" applyBorder="1" applyAlignment="1">
      <alignment horizontal="left"/>
    </xf>
    <xf numFmtId="0" fontId="47" fillId="0" borderId="0" xfId="2611" applyFont="1" applyAlignment="1">
      <alignment horizontal="center" vertical="center" wrapText="1"/>
    </xf>
    <xf numFmtId="0" fontId="12" fillId="0" borderId="0" xfId="2611" quotePrefix="1"/>
    <xf numFmtId="0" fontId="47" fillId="29" borderId="0" xfId="2611" applyFont="1" applyFill="1" applyAlignment="1">
      <alignment horizontal="center" vertical="center" wrapText="1"/>
    </xf>
    <xf numFmtId="0" fontId="47" fillId="29" borderId="13" xfId="2611" applyFont="1" applyFill="1" applyBorder="1" applyAlignment="1">
      <alignment horizontal="center" vertical="center" wrapText="1"/>
    </xf>
    <xf numFmtId="0" fontId="47" fillId="29" borderId="13" xfId="2611" applyFont="1" applyFill="1" applyBorder="1" applyAlignment="1">
      <alignment horizontal="right" vertical="center" wrapText="1"/>
    </xf>
    <xf numFmtId="0" fontId="47" fillId="29" borderId="25" xfId="2611" applyFont="1" applyFill="1" applyBorder="1" applyAlignment="1">
      <alignment horizontal="right" vertical="center" wrapText="1"/>
    </xf>
    <xf numFmtId="0" fontId="47" fillId="29" borderId="13" xfId="2611" applyFont="1" applyFill="1" applyBorder="1" applyAlignment="1">
      <alignment horizontal="left" vertical="center" wrapText="1"/>
    </xf>
    <xf numFmtId="0" fontId="34" fillId="0" borderId="0" xfId="2611" applyFont="1" applyAlignment="1">
      <alignment horizontal="right" vertical="center" wrapText="1"/>
    </xf>
    <xf numFmtId="0" fontId="34" fillId="0" borderId="0" xfId="2611" applyFont="1" applyAlignment="1">
      <alignment horizontal="left" vertical="center" wrapText="1"/>
    </xf>
    <xf numFmtId="0" fontId="34" fillId="31" borderId="0" xfId="2611" applyFont="1" applyFill="1" applyAlignment="1">
      <alignment horizontal="right" vertical="center" wrapText="1"/>
    </xf>
    <xf numFmtId="0" fontId="34" fillId="31" borderId="129" xfId="2611" applyFont="1" applyFill="1" applyBorder="1" applyAlignment="1">
      <alignment horizontal="right" vertical="center" wrapText="1"/>
    </xf>
    <xf numFmtId="0" fontId="34" fillId="31" borderId="130" xfId="2611" applyFont="1" applyFill="1" applyBorder="1" applyAlignment="1">
      <alignment horizontal="left" vertical="center" wrapText="1"/>
    </xf>
    <xf numFmtId="0" fontId="34" fillId="31" borderId="129" xfId="2611" applyFont="1" applyFill="1" applyBorder="1" applyAlignment="1">
      <alignment horizontal="center" vertical="center" wrapText="1"/>
    </xf>
    <xf numFmtId="0" fontId="34" fillId="31" borderId="156" xfId="2611" applyFont="1" applyFill="1" applyBorder="1" applyAlignment="1">
      <alignment horizontal="left" vertical="center" wrapText="1"/>
    </xf>
    <xf numFmtId="0" fontId="34" fillId="0" borderId="0" xfId="2611" applyFont="1"/>
    <xf numFmtId="172" fontId="0" fillId="0" borderId="0" xfId="0" applyNumberFormat="1" applyFont="1"/>
    <xf numFmtId="0" fontId="0" fillId="98" borderId="0" xfId="0" applyFill="1"/>
    <xf numFmtId="172" fontId="12" fillId="0" borderId="14" xfId="0" applyNumberFormat="1" applyFont="1" applyBorder="1"/>
    <xf numFmtId="0" fontId="131" fillId="88" borderId="154" xfId="0" applyFont="1" applyFill="1" applyBorder="1" applyAlignment="1">
      <alignment horizontal="left" vertical="top" wrapText="1"/>
    </xf>
    <xf numFmtId="0" fontId="131" fillId="88" borderId="42" xfId="0" applyFont="1" applyFill="1" applyBorder="1" applyAlignment="1">
      <alignment horizontal="left" vertical="top" wrapText="1"/>
    </xf>
    <xf numFmtId="0" fontId="131" fillId="88" borderId="71" xfId="0" applyFont="1" applyFill="1" applyBorder="1" applyAlignment="1">
      <alignment horizontal="center" vertical="top"/>
    </xf>
    <xf numFmtId="0" fontId="131" fillId="88" borderId="58" xfId="0" applyFont="1" applyFill="1" applyBorder="1" applyAlignment="1">
      <alignment horizontal="center" vertical="top"/>
    </xf>
    <xf numFmtId="0" fontId="131" fillId="88" borderId="155" xfId="0" applyFont="1" applyFill="1" applyBorder="1" applyAlignment="1">
      <alignment horizontal="center" vertical="top"/>
    </xf>
    <xf numFmtId="0" fontId="137" fillId="0" borderId="0" xfId="0" applyFont="1" applyFill="1" applyBorder="1" applyAlignment="1">
      <alignment horizontal="center"/>
    </xf>
    <xf numFmtId="0" fontId="46" fillId="37" borderId="0" xfId="0" applyFont="1" applyFill="1" applyAlignment="1">
      <alignment horizontal="center"/>
    </xf>
    <xf numFmtId="0" fontId="143" fillId="0" borderId="66" xfId="0" applyFont="1" applyBorder="1" applyAlignment="1">
      <alignment vertical="center"/>
    </xf>
    <xf numFmtId="0" fontId="181" fillId="0" borderId="0" xfId="2616" applyFont="1" applyAlignment="1">
      <alignment horizontal="left"/>
    </xf>
    <xf numFmtId="0" fontId="182" fillId="0" borderId="38" xfId="2616" applyFont="1" applyBorder="1" applyAlignment="1">
      <alignment horizontal="center" vertical="center" wrapText="1"/>
    </xf>
    <xf numFmtId="0" fontId="182" fillId="0" borderId="23" xfId="2616" applyFont="1" applyBorder="1" applyAlignment="1">
      <alignment horizontal="center" vertical="center" wrapText="1"/>
    </xf>
    <xf numFmtId="0" fontId="182" fillId="0" borderId="38" xfId="10691" applyFont="1" applyBorder="1" applyAlignment="1">
      <alignment horizontal="center" vertical="center" wrapText="1"/>
    </xf>
    <xf numFmtId="0" fontId="182" fillId="0" borderId="23" xfId="10691" applyFont="1" applyBorder="1" applyAlignment="1">
      <alignment horizontal="center" vertical="center" wrapText="1"/>
    </xf>
    <xf numFmtId="0" fontId="182" fillId="0" borderId="167" xfId="2616" applyFont="1" applyBorder="1" applyAlignment="1">
      <alignment horizontal="center" vertical="center" wrapText="1"/>
    </xf>
    <xf numFmtId="0" fontId="182" fillId="0" borderId="166" xfId="2616" applyFont="1" applyBorder="1" applyAlignment="1">
      <alignment horizontal="center" vertical="center" wrapText="1"/>
    </xf>
    <xf numFmtId="0" fontId="182" fillId="0" borderId="168" xfId="2616" applyFont="1" applyBorder="1" applyAlignment="1">
      <alignment horizontal="center" vertical="center"/>
    </xf>
    <xf numFmtId="0" fontId="182" fillId="0" borderId="165" xfId="2616" applyFont="1" applyBorder="1" applyAlignment="1">
      <alignment horizontal="center" vertical="center"/>
    </xf>
    <xf numFmtId="0" fontId="182" fillId="0" borderId="75" xfId="10691" applyFont="1" applyBorder="1" applyAlignment="1">
      <alignment horizontal="center" vertical="center" wrapText="1"/>
    </xf>
    <xf numFmtId="0" fontId="182" fillId="0" borderId="160" xfId="10691" applyFont="1" applyBorder="1" applyAlignment="1">
      <alignment horizontal="center" vertical="center" wrapText="1"/>
    </xf>
    <xf numFmtId="0" fontId="182" fillId="0" borderId="38" xfId="10691" applyFont="1" applyBorder="1" applyAlignment="1">
      <alignment horizontal="center" vertical="center"/>
    </xf>
    <xf numFmtId="0" fontId="181" fillId="0" borderId="75" xfId="10691" applyFont="1" applyBorder="1" applyAlignment="1">
      <alignment horizontal="center" vertical="center" wrapText="1"/>
    </xf>
    <xf numFmtId="0" fontId="181" fillId="0" borderId="160" xfId="10691" applyFont="1" applyBorder="1" applyAlignment="1">
      <alignment horizontal="center" vertical="center" wrapText="1"/>
    </xf>
    <xf numFmtId="0" fontId="181" fillId="0" borderId="159" xfId="10691" applyFont="1" applyBorder="1" applyAlignment="1">
      <alignment horizontal="center" vertical="center" wrapText="1"/>
    </xf>
    <xf numFmtId="0" fontId="181" fillId="0" borderId="161" xfId="10691" applyFont="1" applyBorder="1" applyAlignment="1">
      <alignment horizontal="center" vertical="center" wrapText="1"/>
    </xf>
    <xf numFmtId="0" fontId="181" fillId="0" borderId="73" xfId="10691" applyFont="1" applyBorder="1" applyAlignment="1">
      <alignment horizontal="center" vertical="center"/>
    </xf>
    <xf numFmtId="0" fontId="181" fillId="0" borderId="56" xfId="10691" applyFont="1" applyBorder="1" applyAlignment="1">
      <alignment horizontal="center" vertical="center"/>
    </xf>
    <xf numFmtId="0" fontId="181" fillId="0" borderId="157" xfId="10691" applyFont="1" applyBorder="1" applyAlignment="1">
      <alignment horizontal="center" vertical="center"/>
    </xf>
    <xf numFmtId="0" fontId="181" fillId="0" borderId="158" xfId="10691" applyFont="1" applyBorder="1" applyAlignment="1">
      <alignment horizontal="center" vertical="center"/>
    </xf>
    <xf numFmtId="0" fontId="181" fillId="0" borderId="37" xfId="10691" applyFont="1" applyBorder="1" applyAlignment="1">
      <alignment horizontal="center" vertical="center"/>
    </xf>
    <xf numFmtId="0" fontId="182" fillId="0" borderId="159" xfId="10691" applyFont="1" applyBorder="1" applyAlignment="1">
      <alignment horizontal="center" vertical="center" wrapText="1"/>
    </xf>
    <xf numFmtId="0" fontId="182" fillId="0" borderId="161" xfId="10691" applyFont="1" applyBorder="1" applyAlignment="1">
      <alignment horizontal="center" vertical="center" wrapText="1"/>
    </xf>
    <xf numFmtId="0" fontId="182" fillId="0" borderId="73" xfId="10691" applyFont="1" applyBorder="1" applyAlignment="1">
      <alignment horizontal="center" vertical="center"/>
    </xf>
    <xf numFmtId="0" fontId="182" fillId="0" borderId="56" xfId="10691" applyFont="1" applyBorder="1" applyAlignment="1">
      <alignment horizontal="center" vertical="center"/>
    </xf>
    <xf numFmtId="0" fontId="182" fillId="0" borderId="157" xfId="10691" applyFont="1" applyBorder="1" applyAlignment="1">
      <alignment horizontal="center" vertical="center"/>
    </xf>
    <xf numFmtId="0" fontId="182" fillId="0" borderId="158" xfId="10691" applyFont="1" applyBorder="1" applyAlignment="1">
      <alignment horizontal="center" vertical="center"/>
    </xf>
    <xf numFmtId="0" fontId="182" fillId="0" borderId="37" xfId="10691" applyFont="1" applyBorder="1" applyAlignment="1">
      <alignment horizontal="center" vertical="center"/>
    </xf>
    <xf numFmtId="0" fontId="52" fillId="32" borderId="51" xfId="0" applyFont="1" applyFill="1" applyBorder="1" applyAlignment="1" applyProtection="1">
      <alignment horizontal="center" vertical="center"/>
    </xf>
    <xf numFmtId="0" fontId="52" fillId="32" borderId="34" xfId="0" applyFont="1" applyFill="1" applyBorder="1" applyAlignment="1" applyProtection="1">
      <alignment horizontal="center" vertical="center"/>
    </xf>
    <xf numFmtId="0" fontId="52" fillId="32" borderId="67" xfId="0" applyFont="1" applyFill="1" applyBorder="1" applyAlignment="1" applyProtection="1">
      <alignment horizontal="center" vertical="center"/>
    </xf>
    <xf numFmtId="0" fontId="52" fillId="32" borderId="62" xfId="0" applyFont="1" applyFill="1" applyBorder="1" applyAlignment="1" applyProtection="1">
      <alignment horizontal="center" vertical="center"/>
    </xf>
    <xf numFmtId="0" fontId="52" fillId="32" borderId="63" xfId="0" applyFont="1" applyFill="1" applyBorder="1" applyAlignment="1" applyProtection="1">
      <alignment horizontal="left" vertical="center"/>
      <protection locked="0"/>
    </xf>
    <xf numFmtId="0" fontId="52" fillId="32" borderId="64" xfId="0" applyFont="1" applyFill="1" applyBorder="1" applyAlignment="1" applyProtection="1">
      <alignment horizontal="left" vertical="center"/>
      <protection locked="0"/>
    </xf>
    <xf numFmtId="0" fontId="52" fillId="32" borderId="65" xfId="0" applyFont="1" applyFill="1" applyBorder="1" applyAlignment="1" applyProtection="1">
      <alignment horizontal="left" vertical="center"/>
      <protection locked="0"/>
    </xf>
    <xf numFmtId="0" fontId="52" fillId="32" borderId="21" xfId="0" applyFont="1" applyFill="1" applyBorder="1" applyAlignment="1" applyProtection="1">
      <alignment horizontal="right" vertical="center"/>
    </xf>
    <xf numFmtId="0" fontId="52" fillId="32" borderId="73" xfId="0" applyFont="1" applyFill="1" applyBorder="1" applyAlignment="1" applyProtection="1">
      <alignment horizontal="center" vertical="center"/>
    </xf>
    <xf numFmtId="0" fontId="52" fillId="32" borderId="74" xfId="0" applyFont="1" applyFill="1" applyBorder="1" applyAlignment="1" applyProtection="1">
      <alignment horizontal="center" vertical="center"/>
    </xf>
    <xf numFmtId="0" fontId="52" fillId="32" borderId="75" xfId="0" applyFont="1" applyFill="1" applyBorder="1" applyAlignment="1" applyProtection="1">
      <alignment horizontal="center" vertical="center"/>
    </xf>
    <xf numFmtId="0" fontId="52" fillId="32" borderId="42" xfId="0" applyFont="1" applyFill="1" applyBorder="1" applyAlignment="1" applyProtection="1">
      <alignment horizontal="center" vertical="center"/>
    </xf>
    <xf numFmtId="0" fontId="52" fillId="32" borderId="76" xfId="0" applyFont="1" applyFill="1" applyBorder="1" applyAlignment="1" applyProtection="1">
      <alignment horizontal="center" vertical="center"/>
    </xf>
    <xf numFmtId="0" fontId="52" fillId="32" borderId="66" xfId="0" applyFont="1" applyFill="1" applyBorder="1" applyAlignment="1" applyProtection="1">
      <alignment horizontal="center" vertical="center"/>
    </xf>
    <xf numFmtId="0" fontId="52" fillId="0" borderId="0" xfId="975" applyFont="1" applyFill="1" applyBorder="1" applyAlignment="1" applyProtection="1">
      <alignment horizontal="center" vertical="center"/>
    </xf>
    <xf numFmtId="0" fontId="52" fillId="0" borderId="0" xfId="975" applyFont="1" applyFill="1" applyBorder="1" applyAlignment="1" applyProtection="1">
      <alignment horizontal="right" vertical="center"/>
    </xf>
    <xf numFmtId="0" fontId="3" fillId="0" borderId="0" xfId="10687" applyAlignment="1">
      <alignment horizontal="center"/>
    </xf>
  </cellXfs>
  <cellStyles count="10695">
    <cellStyle name="_x000a_shell=progma 2" xfId="1"/>
    <cellStyle name="_x000a_shell=progma 2 2" xfId="2073"/>
    <cellStyle name="1.000" xfId="2"/>
    <cellStyle name="1.000 2" xfId="2074"/>
    <cellStyle name="20 % - Markeringsfarve1" xfId="3339" builtinId="30" customBuiltin="1"/>
    <cellStyle name="20 % - Markeringsfarve1 2" xfId="3588"/>
    <cellStyle name="20 % - Markeringsfarve1 2 2" xfId="3587"/>
    <cellStyle name="20 % - Markeringsfarve1 2 2 2" xfId="4229"/>
    <cellStyle name="20 % - Markeringsfarve1 2 2 2 2" xfId="7397"/>
    <cellStyle name="20 % - Markeringsfarve1 2 2 2 2 2" xfId="10152"/>
    <cellStyle name="20 % - Markeringsfarve1 2 2 2 3" xfId="8790"/>
    <cellStyle name="20 % - Markeringsfarve1 2 2 3" xfId="6774"/>
    <cellStyle name="20 % - Markeringsfarve1 2 2 3 2" xfId="9529"/>
    <cellStyle name="20 % - Markeringsfarve1 2 2 4" xfId="8167"/>
    <cellStyle name="20 % - Markeringsfarve1 2 3" xfId="3586"/>
    <cellStyle name="20 % - Markeringsfarve1 2 3 2" xfId="4228"/>
    <cellStyle name="20 % - Markeringsfarve1 2 3 2 2" xfId="7396"/>
    <cellStyle name="20 % - Markeringsfarve1 2 3 2 2 2" xfId="10151"/>
    <cellStyle name="20 % - Markeringsfarve1 2 3 2 3" xfId="8789"/>
    <cellStyle name="20 % - Markeringsfarve1 2 3 3" xfId="6773"/>
    <cellStyle name="20 % - Markeringsfarve1 2 3 3 2" xfId="9528"/>
    <cellStyle name="20 % - Markeringsfarve1 2 3 4" xfId="8166"/>
    <cellStyle name="20 % - Markeringsfarve1 2 4" xfId="4230"/>
    <cellStyle name="20 % - Markeringsfarve1 2 4 2" xfId="7398"/>
    <cellStyle name="20 % - Markeringsfarve1 2 4 2 2" xfId="10153"/>
    <cellStyle name="20 % - Markeringsfarve1 2 4 3" xfId="8791"/>
    <cellStyle name="20 % - Markeringsfarve1 2 5" xfId="6775"/>
    <cellStyle name="20 % - Markeringsfarve1 2 5 2" xfId="9530"/>
    <cellStyle name="20 % - Markeringsfarve1 2 6" xfId="8168"/>
    <cellStyle name="20 % - Markeringsfarve1 3" xfId="3585"/>
    <cellStyle name="20 % - Markeringsfarve1 3 2" xfId="3531"/>
    <cellStyle name="20 % - Markeringsfarve1 3 2 2" xfId="4173"/>
    <cellStyle name="20 % - Markeringsfarve1 3 2 2 2" xfId="7341"/>
    <cellStyle name="20 % - Markeringsfarve1 3 2 2 2 2" xfId="10096"/>
    <cellStyle name="20 % - Markeringsfarve1 3 2 2 3" xfId="8734"/>
    <cellStyle name="20 % - Markeringsfarve1 3 2 3" xfId="6718"/>
    <cellStyle name="20 % - Markeringsfarve1 3 2 3 2" xfId="9473"/>
    <cellStyle name="20 % - Markeringsfarve1 3 2 4" xfId="8111"/>
    <cellStyle name="20 % - Markeringsfarve1 3 3" xfId="4227"/>
    <cellStyle name="20 % - Markeringsfarve1 3 3 2" xfId="7395"/>
    <cellStyle name="20 % - Markeringsfarve1 3 3 2 2" xfId="10150"/>
    <cellStyle name="20 % - Markeringsfarve1 3 3 3" xfId="8788"/>
    <cellStyle name="20 % - Markeringsfarve1 3 4" xfId="6772"/>
    <cellStyle name="20 % - Markeringsfarve1 3 4 2" xfId="9527"/>
    <cellStyle name="20 % - Markeringsfarve1 3 5" xfId="8165"/>
    <cellStyle name="20 % - Markeringsfarve1 4" xfId="3584"/>
    <cellStyle name="20 % - Markeringsfarve1 4 2" xfId="4226"/>
    <cellStyle name="20 % - Markeringsfarve1 4 2 2" xfId="7394"/>
    <cellStyle name="20 % - Markeringsfarve1 4 2 2 2" xfId="10149"/>
    <cellStyle name="20 % - Markeringsfarve1 4 2 3" xfId="8787"/>
    <cellStyle name="20 % - Markeringsfarve1 4 3" xfId="6771"/>
    <cellStyle name="20 % - Markeringsfarve1 4 3 2" xfId="9526"/>
    <cellStyle name="20 % - Markeringsfarve1 4 4" xfId="8164"/>
    <cellStyle name="20 % - Markeringsfarve1 5" xfId="3533"/>
    <cellStyle name="20 % - Markeringsfarve1 5 2" xfId="4175"/>
    <cellStyle name="20 % - Markeringsfarve1 5 2 2" xfId="7343"/>
    <cellStyle name="20 % - Markeringsfarve1 5 2 2 2" xfId="10098"/>
    <cellStyle name="20 % - Markeringsfarve1 5 2 3" xfId="8736"/>
    <cellStyle name="20 % - Markeringsfarve1 5 3" xfId="6720"/>
    <cellStyle name="20 % - Markeringsfarve1 5 3 2" xfId="9475"/>
    <cellStyle name="20 % - Markeringsfarve1 5 4" xfId="8113"/>
    <cellStyle name="20 % - Markeringsfarve1 6" xfId="3529"/>
    <cellStyle name="20 % - Markeringsfarve1 6 2" xfId="4171"/>
    <cellStyle name="20 % - Markeringsfarve1 6 2 2" xfId="7339"/>
    <cellStyle name="20 % - Markeringsfarve1 6 2 2 2" xfId="10094"/>
    <cellStyle name="20 % - Markeringsfarve1 6 2 3" xfId="8732"/>
    <cellStyle name="20 % - Markeringsfarve1 6 3" xfId="6716"/>
    <cellStyle name="20 % - Markeringsfarve1 6 3 2" xfId="9471"/>
    <cellStyle name="20 % - Markeringsfarve1 6 4" xfId="8109"/>
    <cellStyle name="20 % - Markeringsfarve1 7" xfId="4159"/>
    <cellStyle name="20 % - Markeringsfarve1 7 2" xfId="7327"/>
    <cellStyle name="20 % - Markeringsfarve1 7 2 2" xfId="10082"/>
    <cellStyle name="20 % - Markeringsfarve1 7 3" xfId="8720"/>
    <cellStyle name="20 % - Markeringsfarve2" xfId="3343" builtinId="34" customBuiltin="1"/>
    <cellStyle name="20 % - Markeringsfarve2 2" xfId="3583"/>
    <cellStyle name="20 % - Markeringsfarve2 2 2" xfId="3532"/>
    <cellStyle name="20 % - Markeringsfarve2 2 2 2" xfId="4174"/>
    <cellStyle name="20 % - Markeringsfarve2 2 2 2 2" xfId="7342"/>
    <cellStyle name="20 % - Markeringsfarve2 2 2 2 2 2" xfId="10097"/>
    <cellStyle name="20 % - Markeringsfarve2 2 2 2 3" xfId="8735"/>
    <cellStyle name="20 % - Markeringsfarve2 2 2 3" xfId="6719"/>
    <cellStyle name="20 % - Markeringsfarve2 2 2 3 2" xfId="9474"/>
    <cellStyle name="20 % - Markeringsfarve2 2 2 4" xfId="8112"/>
    <cellStyle name="20 % - Markeringsfarve2 2 3" xfId="3530"/>
    <cellStyle name="20 % - Markeringsfarve2 2 3 2" xfId="4172"/>
    <cellStyle name="20 % - Markeringsfarve2 2 3 2 2" xfId="7340"/>
    <cellStyle name="20 % - Markeringsfarve2 2 3 2 2 2" xfId="10095"/>
    <cellStyle name="20 % - Markeringsfarve2 2 3 2 3" xfId="8733"/>
    <cellStyle name="20 % - Markeringsfarve2 2 3 3" xfId="6717"/>
    <cellStyle name="20 % - Markeringsfarve2 2 3 3 2" xfId="9472"/>
    <cellStyle name="20 % - Markeringsfarve2 2 3 4" xfId="8110"/>
    <cellStyle name="20 % - Markeringsfarve2 2 4" xfId="4225"/>
    <cellStyle name="20 % - Markeringsfarve2 2 4 2" xfId="7393"/>
    <cellStyle name="20 % - Markeringsfarve2 2 4 2 2" xfId="10148"/>
    <cellStyle name="20 % - Markeringsfarve2 2 4 3" xfId="8786"/>
    <cellStyle name="20 % - Markeringsfarve2 2 5" xfId="6770"/>
    <cellStyle name="20 % - Markeringsfarve2 2 5 2" xfId="9525"/>
    <cellStyle name="20 % - Markeringsfarve2 2 6" xfId="8163"/>
    <cellStyle name="20 % - Markeringsfarve2 3" xfId="3582"/>
    <cellStyle name="20 % - Markeringsfarve2 3 2" xfId="4224"/>
    <cellStyle name="20 % - Markeringsfarve2 3 2 2" xfId="7392"/>
    <cellStyle name="20 % - Markeringsfarve2 3 2 2 2" xfId="10147"/>
    <cellStyle name="20 % - Markeringsfarve2 3 2 3" xfId="8785"/>
    <cellStyle name="20 % - Markeringsfarve2 3 3" xfId="6769"/>
    <cellStyle name="20 % - Markeringsfarve2 3 3 2" xfId="9524"/>
    <cellStyle name="20 % - Markeringsfarve2 3 4" xfId="8162"/>
    <cellStyle name="20 % - Markeringsfarve2 4" xfId="3581"/>
    <cellStyle name="20 % - Markeringsfarve2 4 2" xfId="4223"/>
    <cellStyle name="20 % - Markeringsfarve2 4 2 2" xfId="7391"/>
    <cellStyle name="20 % - Markeringsfarve2 4 2 2 2" xfId="10146"/>
    <cellStyle name="20 % - Markeringsfarve2 4 2 3" xfId="8784"/>
    <cellStyle name="20 % - Markeringsfarve2 4 3" xfId="6768"/>
    <cellStyle name="20 % - Markeringsfarve2 4 3 2" xfId="9523"/>
    <cellStyle name="20 % - Markeringsfarve2 4 4" xfId="8161"/>
    <cellStyle name="20 % - Markeringsfarve2 5" xfId="3580"/>
    <cellStyle name="20 % - Markeringsfarve2 5 2" xfId="4222"/>
    <cellStyle name="20 % - Markeringsfarve2 5 2 2" xfId="7390"/>
    <cellStyle name="20 % - Markeringsfarve2 5 2 2 2" xfId="10145"/>
    <cellStyle name="20 % - Markeringsfarve2 5 2 3" xfId="8783"/>
    <cellStyle name="20 % - Markeringsfarve2 5 3" xfId="6767"/>
    <cellStyle name="20 % - Markeringsfarve2 5 3 2" xfId="9522"/>
    <cellStyle name="20 % - Markeringsfarve2 5 4" xfId="8160"/>
    <cellStyle name="20 % - Markeringsfarve2 6" xfId="3579"/>
    <cellStyle name="20 % - Markeringsfarve2 6 2" xfId="4221"/>
    <cellStyle name="20 % - Markeringsfarve2 6 2 2" xfId="7389"/>
    <cellStyle name="20 % - Markeringsfarve2 6 2 2 2" xfId="10144"/>
    <cellStyle name="20 % - Markeringsfarve2 6 2 3" xfId="8782"/>
    <cellStyle name="20 % - Markeringsfarve2 6 3" xfId="6766"/>
    <cellStyle name="20 % - Markeringsfarve2 6 3 2" xfId="9521"/>
    <cellStyle name="20 % - Markeringsfarve2 6 4" xfId="8159"/>
    <cellStyle name="20 % - Markeringsfarve2 7" xfId="4161"/>
    <cellStyle name="20 % - Markeringsfarve2 7 2" xfId="7329"/>
    <cellStyle name="20 % - Markeringsfarve2 7 2 2" xfId="10084"/>
    <cellStyle name="20 % - Markeringsfarve2 7 3" xfId="8722"/>
    <cellStyle name="20 % - Markeringsfarve3" xfId="3347" builtinId="38" customBuiltin="1"/>
    <cellStyle name="20 % - Markeringsfarve3 2" xfId="3578"/>
    <cellStyle name="20 % - Markeringsfarve3 2 2" xfId="3577"/>
    <cellStyle name="20 % - Markeringsfarve3 2 2 2" xfId="4219"/>
    <cellStyle name="20 % - Markeringsfarve3 2 2 2 2" xfId="7387"/>
    <cellStyle name="20 % - Markeringsfarve3 2 2 2 2 2" xfId="10142"/>
    <cellStyle name="20 % - Markeringsfarve3 2 2 2 3" xfId="8780"/>
    <cellStyle name="20 % - Markeringsfarve3 2 2 3" xfId="6764"/>
    <cellStyle name="20 % - Markeringsfarve3 2 2 3 2" xfId="9519"/>
    <cellStyle name="20 % - Markeringsfarve3 2 2 4" xfId="8157"/>
    <cellStyle name="20 % - Markeringsfarve3 2 3" xfId="3576"/>
    <cellStyle name="20 % - Markeringsfarve3 2 3 2" xfId="4218"/>
    <cellStyle name="20 % - Markeringsfarve3 2 3 2 2" xfId="7386"/>
    <cellStyle name="20 % - Markeringsfarve3 2 3 2 2 2" xfId="10141"/>
    <cellStyle name="20 % - Markeringsfarve3 2 3 2 3" xfId="8779"/>
    <cellStyle name="20 % - Markeringsfarve3 2 3 3" xfId="6763"/>
    <cellStyle name="20 % - Markeringsfarve3 2 3 3 2" xfId="9518"/>
    <cellStyle name="20 % - Markeringsfarve3 2 3 4" xfId="8156"/>
    <cellStyle name="20 % - Markeringsfarve3 2 4" xfId="3575"/>
    <cellStyle name="20 % - Markeringsfarve3 2 4 2" xfId="4217"/>
    <cellStyle name="20 % - Markeringsfarve3 2 4 2 2" xfId="7385"/>
    <cellStyle name="20 % - Markeringsfarve3 2 4 2 2 2" xfId="10140"/>
    <cellStyle name="20 % - Markeringsfarve3 2 4 2 3" xfId="8778"/>
    <cellStyle name="20 % - Markeringsfarve3 2 4 3" xfId="6762"/>
    <cellStyle name="20 % - Markeringsfarve3 2 4 3 2" xfId="9517"/>
    <cellStyle name="20 % - Markeringsfarve3 2 4 4" xfId="8155"/>
    <cellStyle name="20 % - Markeringsfarve3 2 5" xfId="4220"/>
    <cellStyle name="20 % - Markeringsfarve3 2 5 2" xfId="7388"/>
    <cellStyle name="20 % - Markeringsfarve3 2 5 2 2" xfId="10143"/>
    <cellStyle name="20 % - Markeringsfarve3 2 5 3" xfId="8781"/>
    <cellStyle name="20 % - Markeringsfarve3 2 6" xfId="6765"/>
    <cellStyle name="20 % - Markeringsfarve3 2 6 2" xfId="9520"/>
    <cellStyle name="20 % - Markeringsfarve3 2 7" xfId="8158"/>
    <cellStyle name="20 % - Markeringsfarve3 3" xfId="3574"/>
    <cellStyle name="20 % - Markeringsfarve3 3 2" xfId="4216"/>
    <cellStyle name="20 % - Markeringsfarve3 3 2 2" xfId="7384"/>
    <cellStyle name="20 % - Markeringsfarve3 3 2 2 2" xfId="10139"/>
    <cellStyle name="20 % - Markeringsfarve3 3 2 3" xfId="8777"/>
    <cellStyle name="20 % - Markeringsfarve3 3 3" xfId="6761"/>
    <cellStyle name="20 % - Markeringsfarve3 3 3 2" xfId="9516"/>
    <cellStyle name="20 % - Markeringsfarve3 3 4" xfId="8154"/>
    <cellStyle name="20 % - Markeringsfarve3 4" xfId="3573"/>
    <cellStyle name="20 % - Markeringsfarve3 4 2" xfId="4215"/>
    <cellStyle name="20 % - Markeringsfarve3 4 2 2" xfId="7383"/>
    <cellStyle name="20 % - Markeringsfarve3 4 2 2 2" xfId="10138"/>
    <cellStyle name="20 % - Markeringsfarve3 4 2 3" xfId="8776"/>
    <cellStyle name="20 % - Markeringsfarve3 4 3" xfId="6760"/>
    <cellStyle name="20 % - Markeringsfarve3 4 3 2" xfId="9515"/>
    <cellStyle name="20 % - Markeringsfarve3 4 4" xfId="8153"/>
    <cellStyle name="20 % - Markeringsfarve3 5" xfId="3572"/>
    <cellStyle name="20 % - Markeringsfarve3 5 2" xfId="4214"/>
    <cellStyle name="20 % - Markeringsfarve3 5 2 2" xfId="7382"/>
    <cellStyle name="20 % - Markeringsfarve3 5 2 2 2" xfId="10137"/>
    <cellStyle name="20 % - Markeringsfarve3 5 2 3" xfId="8775"/>
    <cellStyle name="20 % - Markeringsfarve3 5 3" xfId="6759"/>
    <cellStyle name="20 % - Markeringsfarve3 5 3 2" xfId="9514"/>
    <cellStyle name="20 % - Markeringsfarve3 5 4" xfId="8152"/>
    <cellStyle name="20 % - Markeringsfarve3 6" xfId="3571"/>
    <cellStyle name="20 % - Markeringsfarve3 6 2" xfId="4213"/>
    <cellStyle name="20 % - Markeringsfarve3 6 2 2" xfId="7381"/>
    <cellStyle name="20 % - Markeringsfarve3 6 2 2 2" xfId="10136"/>
    <cellStyle name="20 % - Markeringsfarve3 6 2 3" xfId="8774"/>
    <cellStyle name="20 % - Markeringsfarve3 6 3" xfId="6758"/>
    <cellStyle name="20 % - Markeringsfarve3 6 3 2" xfId="9513"/>
    <cellStyle name="20 % - Markeringsfarve3 6 4" xfId="8151"/>
    <cellStyle name="20 % - Markeringsfarve3 7" xfId="4163"/>
    <cellStyle name="20 % - Markeringsfarve3 7 2" xfId="7331"/>
    <cellStyle name="20 % - Markeringsfarve3 7 2 2" xfId="10086"/>
    <cellStyle name="20 % - Markeringsfarve3 7 3" xfId="8724"/>
    <cellStyle name="20 % - Markeringsfarve4" xfId="3351" builtinId="42" customBuiltin="1"/>
    <cellStyle name="20 % - Markeringsfarve4 2" xfId="3570"/>
    <cellStyle name="20 % - Markeringsfarve4 2 2" xfId="3569"/>
    <cellStyle name="20 % - Markeringsfarve4 2 2 2" xfId="4211"/>
    <cellStyle name="20 % - Markeringsfarve4 2 2 2 2" xfId="7379"/>
    <cellStyle name="20 % - Markeringsfarve4 2 2 2 2 2" xfId="10134"/>
    <cellStyle name="20 % - Markeringsfarve4 2 2 2 3" xfId="8772"/>
    <cellStyle name="20 % - Markeringsfarve4 2 2 3" xfId="6756"/>
    <cellStyle name="20 % - Markeringsfarve4 2 2 3 2" xfId="9511"/>
    <cellStyle name="20 % - Markeringsfarve4 2 2 4" xfId="8149"/>
    <cellStyle name="20 % - Markeringsfarve4 2 3" xfId="3568"/>
    <cellStyle name="20 % - Markeringsfarve4 2 3 2" xfId="4210"/>
    <cellStyle name="20 % - Markeringsfarve4 2 3 2 2" xfId="7378"/>
    <cellStyle name="20 % - Markeringsfarve4 2 3 2 2 2" xfId="10133"/>
    <cellStyle name="20 % - Markeringsfarve4 2 3 2 3" xfId="8771"/>
    <cellStyle name="20 % - Markeringsfarve4 2 3 3" xfId="6755"/>
    <cellStyle name="20 % - Markeringsfarve4 2 3 3 2" xfId="9510"/>
    <cellStyle name="20 % - Markeringsfarve4 2 3 4" xfId="8148"/>
    <cellStyle name="20 % - Markeringsfarve4 2 4" xfId="4212"/>
    <cellStyle name="20 % - Markeringsfarve4 2 4 2" xfId="7380"/>
    <cellStyle name="20 % - Markeringsfarve4 2 4 2 2" xfId="10135"/>
    <cellStyle name="20 % - Markeringsfarve4 2 4 3" xfId="8773"/>
    <cellStyle name="20 % - Markeringsfarve4 2 5" xfId="6757"/>
    <cellStyle name="20 % - Markeringsfarve4 2 5 2" xfId="9512"/>
    <cellStyle name="20 % - Markeringsfarve4 2 6" xfId="8150"/>
    <cellStyle name="20 % - Markeringsfarve4 3" xfId="3567"/>
    <cellStyle name="20 % - Markeringsfarve4 3 2" xfId="4209"/>
    <cellStyle name="20 % - Markeringsfarve4 3 2 2" xfId="7377"/>
    <cellStyle name="20 % - Markeringsfarve4 3 2 2 2" xfId="10132"/>
    <cellStyle name="20 % - Markeringsfarve4 3 2 3" xfId="8770"/>
    <cellStyle name="20 % - Markeringsfarve4 3 3" xfId="6754"/>
    <cellStyle name="20 % - Markeringsfarve4 3 3 2" xfId="9509"/>
    <cellStyle name="20 % - Markeringsfarve4 3 4" xfId="8147"/>
    <cellStyle name="20 % - Markeringsfarve4 4" xfId="3566"/>
    <cellStyle name="20 % - Markeringsfarve4 4 2" xfId="4208"/>
    <cellStyle name="20 % - Markeringsfarve4 4 2 2" xfId="7376"/>
    <cellStyle name="20 % - Markeringsfarve4 4 2 2 2" xfId="10131"/>
    <cellStyle name="20 % - Markeringsfarve4 4 2 3" xfId="8769"/>
    <cellStyle name="20 % - Markeringsfarve4 4 3" xfId="6753"/>
    <cellStyle name="20 % - Markeringsfarve4 4 3 2" xfId="9508"/>
    <cellStyle name="20 % - Markeringsfarve4 4 4" xfId="8146"/>
    <cellStyle name="20 % - Markeringsfarve4 5" xfId="3565"/>
    <cellStyle name="20 % - Markeringsfarve4 5 2" xfId="4207"/>
    <cellStyle name="20 % - Markeringsfarve4 5 2 2" xfId="7375"/>
    <cellStyle name="20 % - Markeringsfarve4 5 2 2 2" xfId="10130"/>
    <cellStyle name="20 % - Markeringsfarve4 5 2 3" xfId="8768"/>
    <cellStyle name="20 % - Markeringsfarve4 5 3" xfId="6752"/>
    <cellStyle name="20 % - Markeringsfarve4 5 3 2" xfId="9507"/>
    <cellStyle name="20 % - Markeringsfarve4 5 4" xfId="8145"/>
    <cellStyle name="20 % - Markeringsfarve4 6" xfId="3564"/>
    <cellStyle name="20 % - Markeringsfarve4 6 2" xfId="4206"/>
    <cellStyle name="20 % - Markeringsfarve4 6 2 2" xfId="7374"/>
    <cellStyle name="20 % - Markeringsfarve4 6 2 2 2" xfId="10129"/>
    <cellStyle name="20 % - Markeringsfarve4 6 2 3" xfId="8767"/>
    <cellStyle name="20 % - Markeringsfarve4 6 3" xfId="6751"/>
    <cellStyle name="20 % - Markeringsfarve4 6 3 2" xfId="9506"/>
    <cellStyle name="20 % - Markeringsfarve4 6 4" xfId="8144"/>
    <cellStyle name="20 % - Markeringsfarve4 7" xfId="4165"/>
    <cellStyle name="20 % - Markeringsfarve4 7 2" xfId="7333"/>
    <cellStyle name="20 % - Markeringsfarve4 7 2 2" xfId="10088"/>
    <cellStyle name="20 % - Markeringsfarve4 7 3" xfId="8726"/>
    <cellStyle name="20 % - Markeringsfarve5" xfId="3355" builtinId="46" customBuiltin="1"/>
    <cellStyle name="20 % - Markeringsfarve5 2" xfId="3563"/>
    <cellStyle name="20 % - Markeringsfarve5 2 2" xfId="3562"/>
    <cellStyle name="20 % - Markeringsfarve5 2 2 2" xfId="4204"/>
    <cellStyle name="20 % - Markeringsfarve5 2 2 2 2" xfId="7372"/>
    <cellStyle name="20 % - Markeringsfarve5 2 2 2 2 2" xfId="10127"/>
    <cellStyle name="20 % - Markeringsfarve5 2 2 2 3" xfId="8765"/>
    <cellStyle name="20 % - Markeringsfarve5 2 2 2 4" xfId="10686"/>
    <cellStyle name="20 % - Markeringsfarve5 2 2 3" xfId="6749"/>
    <cellStyle name="20 % - Markeringsfarve5 2 2 3 2" xfId="9504"/>
    <cellStyle name="20 % - Markeringsfarve5 2 2 4" xfId="8142"/>
    <cellStyle name="20 % - Markeringsfarve5 2 3" xfId="3561"/>
    <cellStyle name="20 % - Markeringsfarve5 2 3 2" xfId="4203"/>
    <cellStyle name="20 % - Markeringsfarve5 2 3 2 2" xfId="7371"/>
    <cellStyle name="20 % - Markeringsfarve5 2 3 2 2 2" xfId="10126"/>
    <cellStyle name="20 % - Markeringsfarve5 2 3 2 3" xfId="8764"/>
    <cellStyle name="20 % - Markeringsfarve5 2 3 3" xfId="6748"/>
    <cellStyle name="20 % - Markeringsfarve5 2 3 3 2" xfId="9503"/>
    <cellStyle name="20 % - Markeringsfarve5 2 3 4" xfId="8141"/>
    <cellStyle name="20 % - Markeringsfarve5 2 4" xfId="4205"/>
    <cellStyle name="20 % - Markeringsfarve5 2 4 2" xfId="7373"/>
    <cellStyle name="20 % - Markeringsfarve5 2 4 2 2" xfId="10128"/>
    <cellStyle name="20 % - Markeringsfarve5 2 4 3" xfId="8766"/>
    <cellStyle name="20 % - Markeringsfarve5 2 5" xfId="6750"/>
    <cellStyle name="20 % - Markeringsfarve5 2 5 2" xfId="9505"/>
    <cellStyle name="20 % - Markeringsfarve5 2 6" xfId="8143"/>
    <cellStyle name="20 % - Markeringsfarve5 3" xfId="3560"/>
    <cellStyle name="20 % - Markeringsfarve5 3 2" xfId="4202"/>
    <cellStyle name="20 % - Markeringsfarve5 3 2 2" xfId="7370"/>
    <cellStyle name="20 % - Markeringsfarve5 3 2 2 2" xfId="10125"/>
    <cellStyle name="20 % - Markeringsfarve5 3 2 3" xfId="8763"/>
    <cellStyle name="20 % - Markeringsfarve5 3 3" xfId="6747"/>
    <cellStyle name="20 % - Markeringsfarve5 3 3 2" xfId="9502"/>
    <cellStyle name="20 % - Markeringsfarve5 3 4" xfId="8140"/>
    <cellStyle name="20 % - Markeringsfarve5 4" xfId="3559"/>
    <cellStyle name="20 % - Markeringsfarve5 4 2" xfId="4201"/>
    <cellStyle name="20 % - Markeringsfarve5 4 2 2" xfId="7369"/>
    <cellStyle name="20 % - Markeringsfarve5 4 2 2 2" xfId="10124"/>
    <cellStyle name="20 % - Markeringsfarve5 4 2 3" xfId="8762"/>
    <cellStyle name="20 % - Markeringsfarve5 4 3" xfId="6746"/>
    <cellStyle name="20 % - Markeringsfarve5 4 3 2" xfId="9501"/>
    <cellStyle name="20 % - Markeringsfarve5 4 4" xfId="8139"/>
    <cellStyle name="20 % - Markeringsfarve5 5" xfId="3558"/>
    <cellStyle name="20 % - Markeringsfarve5 5 2" xfId="4200"/>
    <cellStyle name="20 % - Markeringsfarve5 5 2 2" xfId="7368"/>
    <cellStyle name="20 % - Markeringsfarve5 5 2 2 2" xfId="10123"/>
    <cellStyle name="20 % - Markeringsfarve5 5 2 3" xfId="8761"/>
    <cellStyle name="20 % - Markeringsfarve5 5 3" xfId="6745"/>
    <cellStyle name="20 % - Markeringsfarve5 5 3 2" xfId="9500"/>
    <cellStyle name="20 % - Markeringsfarve5 5 4" xfId="8138"/>
    <cellStyle name="20 % - Markeringsfarve5 6" xfId="3557"/>
    <cellStyle name="20 % - Markeringsfarve5 6 2" xfId="4199"/>
    <cellStyle name="20 % - Markeringsfarve5 6 2 2" xfId="7367"/>
    <cellStyle name="20 % - Markeringsfarve5 6 2 2 2" xfId="10122"/>
    <cellStyle name="20 % - Markeringsfarve5 6 2 3" xfId="8760"/>
    <cellStyle name="20 % - Markeringsfarve5 6 3" xfId="6744"/>
    <cellStyle name="20 % - Markeringsfarve5 6 3 2" xfId="9499"/>
    <cellStyle name="20 % - Markeringsfarve5 6 4" xfId="8137"/>
    <cellStyle name="20 % - Markeringsfarve5 7" xfId="4167"/>
    <cellStyle name="20 % - Markeringsfarve5 7 2" xfId="7335"/>
    <cellStyle name="20 % - Markeringsfarve5 7 2 2" xfId="10090"/>
    <cellStyle name="20 % - Markeringsfarve5 7 3" xfId="8728"/>
    <cellStyle name="20 % - Markeringsfarve6" xfId="3359" builtinId="50" customBuiltin="1"/>
    <cellStyle name="20 % - Markeringsfarve6 2" xfId="3556"/>
    <cellStyle name="20 % - Markeringsfarve6 2 2" xfId="3555"/>
    <cellStyle name="20 % - Markeringsfarve6 2 2 2" xfId="4197"/>
    <cellStyle name="20 % - Markeringsfarve6 2 2 2 2" xfId="7365"/>
    <cellStyle name="20 % - Markeringsfarve6 2 2 2 2 2" xfId="10120"/>
    <cellStyle name="20 % - Markeringsfarve6 2 2 2 3" xfId="8758"/>
    <cellStyle name="20 % - Markeringsfarve6 2 2 3" xfId="6742"/>
    <cellStyle name="20 % - Markeringsfarve6 2 2 3 2" xfId="9497"/>
    <cellStyle name="20 % - Markeringsfarve6 2 2 4" xfId="8135"/>
    <cellStyle name="20 % - Markeringsfarve6 2 3" xfId="3554"/>
    <cellStyle name="20 % - Markeringsfarve6 2 3 2" xfId="4196"/>
    <cellStyle name="20 % - Markeringsfarve6 2 3 2 2" xfId="7364"/>
    <cellStyle name="20 % - Markeringsfarve6 2 3 2 2 2" xfId="10119"/>
    <cellStyle name="20 % - Markeringsfarve6 2 3 2 3" xfId="8757"/>
    <cellStyle name="20 % - Markeringsfarve6 2 3 3" xfId="6741"/>
    <cellStyle name="20 % - Markeringsfarve6 2 3 3 2" xfId="9496"/>
    <cellStyle name="20 % - Markeringsfarve6 2 3 4" xfId="8134"/>
    <cellStyle name="20 % - Markeringsfarve6 2 4" xfId="4198"/>
    <cellStyle name="20 % - Markeringsfarve6 2 4 2" xfId="7366"/>
    <cellStyle name="20 % - Markeringsfarve6 2 4 2 2" xfId="10121"/>
    <cellStyle name="20 % - Markeringsfarve6 2 4 3" xfId="8759"/>
    <cellStyle name="20 % - Markeringsfarve6 2 5" xfId="6743"/>
    <cellStyle name="20 % - Markeringsfarve6 2 5 2" xfId="9498"/>
    <cellStyle name="20 % - Markeringsfarve6 2 6" xfId="8136"/>
    <cellStyle name="20 % - Markeringsfarve6 3" xfId="3553"/>
    <cellStyle name="20 % - Markeringsfarve6 3 2" xfId="4195"/>
    <cellStyle name="20 % - Markeringsfarve6 3 2 2" xfId="7363"/>
    <cellStyle name="20 % - Markeringsfarve6 3 2 2 2" xfId="10118"/>
    <cellStyle name="20 % - Markeringsfarve6 3 2 3" xfId="8756"/>
    <cellStyle name="20 % - Markeringsfarve6 3 3" xfId="6740"/>
    <cellStyle name="20 % - Markeringsfarve6 3 3 2" xfId="9495"/>
    <cellStyle name="20 % - Markeringsfarve6 3 4" xfId="8133"/>
    <cellStyle name="20 % - Markeringsfarve6 4" xfId="3552"/>
    <cellStyle name="20 % - Markeringsfarve6 4 2" xfId="4194"/>
    <cellStyle name="20 % - Markeringsfarve6 4 2 2" xfId="7362"/>
    <cellStyle name="20 % - Markeringsfarve6 4 2 2 2" xfId="10117"/>
    <cellStyle name="20 % - Markeringsfarve6 4 2 3" xfId="8755"/>
    <cellStyle name="20 % - Markeringsfarve6 4 3" xfId="6739"/>
    <cellStyle name="20 % - Markeringsfarve6 4 3 2" xfId="9494"/>
    <cellStyle name="20 % - Markeringsfarve6 4 4" xfId="8132"/>
    <cellStyle name="20 % - Markeringsfarve6 5" xfId="3551"/>
    <cellStyle name="20 % - Markeringsfarve6 5 2" xfId="4193"/>
    <cellStyle name="20 % - Markeringsfarve6 5 2 2" xfId="7361"/>
    <cellStyle name="20 % - Markeringsfarve6 5 2 2 2" xfId="10116"/>
    <cellStyle name="20 % - Markeringsfarve6 5 2 3" xfId="8754"/>
    <cellStyle name="20 % - Markeringsfarve6 5 3" xfId="6738"/>
    <cellStyle name="20 % - Markeringsfarve6 5 3 2" xfId="9493"/>
    <cellStyle name="20 % - Markeringsfarve6 5 4" xfId="8131"/>
    <cellStyle name="20 % - Markeringsfarve6 6" xfId="3550"/>
    <cellStyle name="20 % - Markeringsfarve6 6 2" xfId="4192"/>
    <cellStyle name="20 % - Markeringsfarve6 6 2 2" xfId="7360"/>
    <cellStyle name="20 % - Markeringsfarve6 6 2 2 2" xfId="10115"/>
    <cellStyle name="20 % - Markeringsfarve6 6 2 3" xfId="8753"/>
    <cellStyle name="20 % - Markeringsfarve6 6 3" xfId="6737"/>
    <cellStyle name="20 % - Markeringsfarve6 6 3 2" xfId="9492"/>
    <cellStyle name="20 % - Markeringsfarve6 6 4" xfId="8130"/>
    <cellStyle name="20 % - Markeringsfarve6 7" xfId="4169"/>
    <cellStyle name="20 % - Markeringsfarve6 7 2" xfId="7337"/>
    <cellStyle name="20 % - Markeringsfarve6 7 2 2" xfId="10092"/>
    <cellStyle name="20 % - Markeringsfarve6 7 3" xfId="8730"/>
    <cellStyle name="20% - Accent1 2" xfId="3390"/>
    <cellStyle name="20% - Accent1 3" xfId="6634"/>
    <cellStyle name="20% - Accent1 3 2" xfId="9398"/>
    <cellStyle name="20% - Accent1 4" xfId="8027"/>
    <cellStyle name="20% - Accent2 2" xfId="3391"/>
    <cellStyle name="20% - Accent2 3" xfId="6636"/>
    <cellStyle name="20% - Accent2 3 2" xfId="9400"/>
    <cellStyle name="20% - Accent2 4" xfId="8029"/>
    <cellStyle name="20% - Accent3 2" xfId="3392"/>
    <cellStyle name="20% - Accent3 3" xfId="6638"/>
    <cellStyle name="20% - Accent3 3 2" xfId="9402"/>
    <cellStyle name="20% - Accent3 4" xfId="8031"/>
    <cellStyle name="20% - Accent4 2" xfId="3393"/>
    <cellStyle name="20% - Accent4 3" xfId="6640"/>
    <cellStyle name="20% - Accent4 3 2" xfId="9404"/>
    <cellStyle name="20% - Accent4 4" xfId="8033"/>
    <cellStyle name="20% - Accent5 2" xfId="3394"/>
    <cellStyle name="20% - Accent5 3" xfId="6642"/>
    <cellStyle name="20% - Accent5 3 2" xfId="9406"/>
    <cellStyle name="20% - Accent5 4" xfId="8035"/>
    <cellStyle name="20% - Accent6 2" xfId="3395"/>
    <cellStyle name="20% - Accent6 3" xfId="6644"/>
    <cellStyle name="20% - Accent6 3 2" xfId="9408"/>
    <cellStyle name="20% - Accent6 4" xfId="8037"/>
    <cellStyle name="20% - Colore 1" xfId="3"/>
    <cellStyle name="20% - Colore 2" xfId="4"/>
    <cellStyle name="20% - Colore 3" xfId="5"/>
    <cellStyle name="20% - Colore 4" xfId="6"/>
    <cellStyle name="20% - Colore 5" xfId="7"/>
    <cellStyle name="20% - Colore 6" xfId="8"/>
    <cellStyle name="40 % - Markeringsfarve1" xfId="3340" builtinId="31" customBuiltin="1"/>
    <cellStyle name="40 % - Markeringsfarve1 2" xfId="3549"/>
    <cellStyle name="40 % - Markeringsfarve1 2 2" xfId="3548"/>
    <cellStyle name="40 % - Markeringsfarve1 2 2 2" xfId="4190"/>
    <cellStyle name="40 % - Markeringsfarve1 2 2 2 2" xfId="7358"/>
    <cellStyle name="40 % - Markeringsfarve1 2 2 2 2 2" xfId="10113"/>
    <cellStyle name="40 % - Markeringsfarve1 2 2 2 3" xfId="8751"/>
    <cellStyle name="40 % - Markeringsfarve1 2 2 3" xfId="6735"/>
    <cellStyle name="40 % - Markeringsfarve1 2 2 3 2" xfId="9490"/>
    <cellStyle name="40 % - Markeringsfarve1 2 2 4" xfId="8128"/>
    <cellStyle name="40 % - Markeringsfarve1 2 3" xfId="3547"/>
    <cellStyle name="40 % - Markeringsfarve1 2 3 2" xfId="4189"/>
    <cellStyle name="40 % - Markeringsfarve1 2 3 2 2" xfId="7357"/>
    <cellStyle name="40 % - Markeringsfarve1 2 3 2 2 2" xfId="10112"/>
    <cellStyle name="40 % - Markeringsfarve1 2 3 2 3" xfId="8750"/>
    <cellStyle name="40 % - Markeringsfarve1 2 3 3" xfId="6734"/>
    <cellStyle name="40 % - Markeringsfarve1 2 3 3 2" xfId="9489"/>
    <cellStyle name="40 % - Markeringsfarve1 2 3 4" xfId="8127"/>
    <cellStyle name="40 % - Markeringsfarve1 2 4" xfId="4191"/>
    <cellStyle name="40 % - Markeringsfarve1 2 4 2" xfId="7359"/>
    <cellStyle name="40 % - Markeringsfarve1 2 4 2 2" xfId="10114"/>
    <cellStyle name="40 % - Markeringsfarve1 2 4 3" xfId="8752"/>
    <cellStyle name="40 % - Markeringsfarve1 2 5" xfId="6736"/>
    <cellStyle name="40 % - Markeringsfarve1 2 5 2" xfId="9491"/>
    <cellStyle name="40 % - Markeringsfarve1 2 6" xfId="8129"/>
    <cellStyle name="40 % - Markeringsfarve1 3" xfId="3546"/>
    <cellStyle name="40 % - Markeringsfarve1 3 2" xfId="4188"/>
    <cellStyle name="40 % - Markeringsfarve1 3 2 2" xfId="7356"/>
    <cellStyle name="40 % - Markeringsfarve1 3 2 2 2" xfId="10111"/>
    <cellStyle name="40 % - Markeringsfarve1 3 2 3" xfId="8749"/>
    <cellStyle name="40 % - Markeringsfarve1 3 3" xfId="6733"/>
    <cellStyle name="40 % - Markeringsfarve1 3 3 2" xfId="9488"/>
    <cellStyle name="40 % - Markeringsfarve1 3 4" xfId="8126"/>
    <cellStyle name="40 % - Markeringsfarve1 4" xfId="3545"/>
    <cellStyle name="40 % - Markeringsfarve1 4 2" xfId="4187"/>
    <cellStyle name="40 % - Markeringsfarve1 4 2 2" xfId="7355"/>
    <cellStyle name="40 % - Markeringsfarve1 4 2 2 2" xfId="10110"/>
    <cellStyle name="40 % - Markeringsfarve1 4 2 3" xfId="8748"/>
    <cellStyle name="40 % - Markeringsfarve1 4 3" xfId="6732"/>
    <cellStyle name="40 % - Markeringsfarve1 4 3 2" xfId="9487"/>
    <cellStyle name="40 % - Markeringsfarve1 4 4" xfId="8125"/>
    <cellStyle name="40 % - Markeringsfarve1 5" xfId="3544"/>
    <cellStyle name="40 % - Markeringsfarve1 5 2" xfId="4186"/>
    <cellStyle name="40 % - Markeringsfarve1 5 2 2" xfId="7354"/>
    <cellStyle name="40 % - Markeringsfarve1 5 2 2 2" xfId="10109"/>
    <cellStyle name="40 % - Markeringsfarve1 5 2 3" xfId="8747"/>
    <cellStyle name="40 % - Markeringsfarve1 5 3" xfId="6731"/>
    <cellStyle name="40 % - Markeringsfarve1 5 3 2" xfId="9486"/>
    <cellStyle name="40 % - Markeringsfarve1 5 4" xfId="8124"/>
    <cellStyle name="40 % - Markeringsfarve1 6" xfId="3543"/>
    <cellStyle name="40 % - Markeringsfarve1 6 2" xfId="4185"/>
    <cellStyle name="40 % - Markeringsfarve1 6 2 2" xfId="7353"/>
    <cellStyle name="40 % - Markeringsfarve1 6 2 2 2" xfId="10108"/>
    <cellStyle name="40 % - Markeringsfarve1 6 2 3" xfId="8746"/>
    <cellStyle name="40 % - Markeringsfarve1 6 3" xfId="6730"/>
    <cellStyle name="40 % - Markeringsfarve1 6 3 2" xfId="9485"/>
    <cellStyle name="40 % - Markeringsfarve1 6 4" xfId="8123"/>
    <cellStyle name="40 % - Markeringsfarve1 7" xfId="4160"/>
    <cellStyle name="40 % - Markeringsfarve1 7 2" xfId="7328"/>
    <cellStyle name="40 % - Markeringsfarve1 7 2 2" xfId="10083"/>
    <cellStyle name="40 % - Markeringsfarve1 7 3" xfId="8721"/>
    <cellStyle name="40 % - Markeringsfarve2" xfId="3344" builtinId="35" customBuiltin="1"/>
    <cellStyle name="40 % - Markeringsfarve2 2" xfId="3542"/>
    <cellStyle name="40 % - Markeringsfarve2 2 2" xfId="3541"/>
    <cellStyle name="40 % - Markeringsfarve2 2 2 2" xfId="4183"/>
    <cellStyle name="40 % - Markeringsfarve2 2 2 2 2" xfId="7351"/>
    <cellStyle name="40 % - Markeringsfarve2 2 2 2 2 2" xfId="10106"/>
    <cellStyle name="40 % - Markeringsfarve2 2 2 2 3" xfId="8744"/>
    <cellStyle name="40 % - Markeringsfarve2 2 2 3" xfId="6728"/>
    <cellStyle name="40 % - Markeringsfarve2 2 2 3 2" xfId="9483"/>
    <cellStyle name="40 % - Markeringsfarve2 2 2 4" xfId="8121"/>
    <cellStyle name="40 % - Markeringsfarve2 2 3" xfId="3540"/>
    <cellStyle name="40 % - Markeringsfarve2 2 3 2" xfId="4182"/>
    <cellStyle name="40 % - Markeringsfarve2 2 3 2 2" xfId="7350"/>
    <cellStyle name="40 % - Markeringsfarve2 2 3 2 2 2" xfId="10105"/>
    <cellStyle name="40 % - Markeringsfarve2 2 3 2 3" xfId="8743"/>
    <cellStyle name="40 % - Markeringsfarve2 2 3 3" xfId="6727"/>
    <cellStyle name="40 % - Markeringsfarve2 2 3 3 2" xfId="9482"/>
    <cellStyle name="40 % - Markeringsfarve2 2 3 4" xfId="8120"/>
    <cellStyle name="40 % - Markeringsfarve2 2 4" xfId="4184"/>
    <cellStyle name="40 % - Markeringsfarve2 2 4 2" xfId="7352"/>
    <cellStyle name="40 % - Markeringsfarve2 2 4 2 2" xfId="10107"/>
    <cellStyle name="40 % - Markeringsfarve2 2 4 3" xfId="8745"/>
    <cellStyle name="40 % - Markeringsfarve2 2 5" xfId="6729"/>
    <cellStyle name="40 % - Markeringsfarve2 2 5 2" xfId="9484"/>
    <cellStyle name="40 % - Markeringsfarve2 2 6" xfId="8122"/>
    <cellStyle name="40 % - Markeringsfarve2 3" xfId="3539"/>
    <cellStyle name="40 % - Markeringsfarve2 3 2" xfId="4181"/>
    <cellStyle name="40 % - Markeringsfarve2 3 2 2" xfId="7349"/>
    <cellStyle name="40 % - Markeringsfarve2 3 2 2 2" xfId="10104"/>
    <cellStyle name="40 % - Markeringsfarve2 3 2 3" xfId="8742"/>
    <cellStyle name="40 % - Markeringsfarve2 3 3" xfId="6726"/>
    <cellStyle name="40 % - Markeringsfarve2 3 3 2" xfId="9481"/>
    <cellStyle name="40 % - Markeringsfarve2 3 4" xfId="8119"/>
    <cellStyle name="40 % - Markeringsfarve2 4" xfId="3538"/>
    <cellStyle name="40 % - Markeringsfarve2 4 2" xfId="4180"/>
    <cellStyle name="40 % - Markeringsfarve2 4 2 2" xfId="7348"/>
    <cellStyle name="40 % - Markeringsfarve2 4 2 2 2" xfId="10103"/>
    <cellStyle name="40 % - Markeringsfarve2 4 2 3" xfId="8741"/>
    <cellStyle name="40 % - Markeringsfarve2 4 3" xfId="6725"/>
    <cellStyle name="40 % - Markeringsfarve2 4 3 2" xfId="9480"/>
    <cellStyle name="40 % - Markeringsfarve2 4 4" xfId="8118"/>
    <cellStyle name="40 % - Markeringsfarve2 5" xfId="3537"/>
    <cellStyle name="40 % - Markeringsfarve2 5 2" xfId="4179"/>
    <cellStyle name="40 % - Markeringsfarve2 5 2 2" xfId="7347"/>
    <cellStyle name="40 % - Markeringsfarve2 5 2 2 2" xfId="10102"/>
    <cellStyle name="40 % - Markeringsfarve2 5 2 3" xfId="8740"/>
    <cellStyle name="40 % - Markeringsfarve2 5 3" xfId="6724"/>
    <cellStyle name="40 % - Markeringsfarve2 5 3 2" xfId="9479"/>
    <cellStyle name="40 % - Markeringsfarve2 5 4" xfId="8117"/>
    <cellStyle name="40 % - Markeringsfarve2 6" xfId="3536"/>
    <cellStyle name="40 % - Markeringsfarve2 6 2" xfId="4178"/>
    <cellStyle name="40 % - Markeringsfarve2 6 2 2" xfId="7346"/>
    <cellStyle name="40 % - Markeringsfarve2 6 2 2 2" xfId="10101"/>
    <cellStyle name="40 % - Markeringsfarve2 6 2 3" xfId="8739"/>
    <cellStyle name="40 % - Markeringsfarve2 6 3" xfId="6723"/>
    <cellStyle name="40 % - Markeringsfarve2 6 3 2" xfId="9478"/>
    <cellStyle name="40 % - Markeringsfarve2 6 4" xfId="8116"/>
    <cellStyle name="40 % - Markeringsfarve2 7" xfId="4162"/>
    <cellStyle name="40 % - Markeringsfarve2 7 2" xfId="7330"/>
    <cellStyle name="40 % - Markeringsfarve2 7 2 2" xfId="10085"/>
    <cellStyle name="40 % - Markeringsfarve2 7 3" xfId="8723"/>
    <cellStyle name="40 % - Markeringsfarve3" xfId="3348" builtinId="39" customBuiltin="1"/>
    <cellStyle name="40 % - Markeringsfarve3 2" xfId="3535"/>
    <cellStyle name="40 % - Markeringsfarve3 2 2" xfId="3534"/>
    <cellStyle name="40 % - Markeringsfarve3 2 2 2" xfId="4176"/>
    <cellStyle name="40 % - Markeringsfarve3 2 2 2 2" xfId="7344"/>
    <cellStyle name="40 % - Markeringsfarve3 2 2 2 2 2" xfId="10099"/>
    <cellStyle name="40 % - Markeringsfarve3 2 2 2 3" xfId="8737"/>
    <cellStyle name="40 % - Markeringsfarve3 2 2 3" xfId="6721"/>
    <cellStyle name="40 % - Markeringsfarve3 2 2 3 2" xfId="9476"/>
    <cellStyle name="40 % - Markeringsfarve3 2 2 4" xfId="8114"/>
    <cellStyle name="40 % - Markeringsfarve3 2 3" xfId="3589"/>
    <cellStyle name="40 % - Markeringsfarve3 2 3 2" xfId="4231"/>
    <cellStyle name="40 % - Markeringsfarve3 2 3 2 2" xfId="7399"/>
    <cellStyle name="40 % - Markeringsfarve3 2 3 2 2 2" xfId="10154"/>
    <cellStyle name="40 % - Markeringsfarve3 2 3 2 3" xfId="8792"/>
    <cellStyle name="40 % - Markeringsfarve3 2 3 3" xfId="6776"/>
    <cellStyle name="40 % - Markeringsfarve3 2 3 3 2" xfId="9531"/>
    <cellStyle name="40 % - Markeringsfarve3 2 3 4" xfId="8169"/>
    <cellStyle name="40 % - Markeringsfarve3 2 4" xfId="4177"/>
    <cellStyle name="40 % - Markeringsfarve3 2 4 2" xfId="7345"/>
    <cellStyle name="40 % - Markeringsfarve3 2 4 2 2" xfId="10100"/>
    <cellStyle name="40 % - Markeringsfarve3 2 4 3" xfId="8738"/>
    <cellStyle name="40 % - Markeringsfarve3 2 5" xfId="6722"/>
    <cellStyle name="40 % - Markeringsfarve3 2 5 2" xfId="9477"/>
    <cellStyle name="40 % - Markeringsfarve3 2 6" xfId="8115"/>
    <cellStyle name="40 % - Markeringsfarve3 3" xfId="3590"/>
    <cellStyle name="40 % - Markeringsfarve3 3 2" xfId="4232"/>
    <cellStyle name="40 % - Markeringsfarve3 3 2 2" xfId="7400"/>
    <cellStyle name="40 % - Markeringsfarve3 3 2 2 2" xfId="10155"/>
    <cellStyle name="40 % - Markeringsfarve3 3 2 3" xfId="8793"/>
    <cellStyle name="40 % - Markeringsfarve3 3 3" xfId="6777"/>
    <cellStyle name="40 % - Markeringsfarve3 3 3 2" xfId="9532"/>
    <cellStyle name="40 % - Markeringsfarve3 3 4" xfId="8170"/>
    <cellStyle name="40 % - Markeringsfarve3 4" xfId="3591"/>
    <cellStyle name="40 % - Markeringsfarve3 4 2" xfId="4233"/>
    <cellStyle name="40 % - Markeringsfarve3 4 2 2" xfId="7401"/>
    <cellStyle name="40 % - Markeringsfarve3 4 2 2 2" xfId="10156"/>
    <cellStyle name="40 % - Markeringsfarve3 4 2 3" xfId="8794"/>
    <cellStyle name="40 % - Markeringsfarve3 4 3" xfId="6778"/>
    <cellStyle name="40 % - Markeringsfarve3 4 3 2" xfId="9533"/>
    <cellStyle name="40 % - Markeringsfarve3 4 4" xfId="8171"/>
    <cellStyle name="40 % - Markeringsfarve3 5" xfId="3592"/>
    <cellStyle name="40 % - Markeringsfarve3 5 2" xfId="4234"/>
    <cellStyle name="40 % - Markeringsfarve3 5 2 2" xfId="7402"/>
    <cellStyle name="40 % - Markeringsfarve3 5 2 2 2" xfId="10157"/>
    <cellStyle name="40 % - Markeringsfarve3 5 2 3" xfId="8795"/>
    <cellStyle name="40 % - Markeringsfarve3 5 3" xfId="6779"/>
    <cellStyle name="40 % - Markeringsfarve3 5 3 2" xfId="9534"/>
    <cellStyle name="40 % - Markeringsfarve3 5 4" xfId="8172"/>
    <cellStyle name="40 % - Markeringsfarve3 6" xfId="3593"/>
    <cellStyle name="40 % - Markeringsfarve3 6 2" xfId="4235"/>
    <cellStyle name="40 % - Markeringsfarve3 6 2 2" xfId="7403"/>
    <cellStyle name="40 % - Markeringsfarve3 6 2 2 2" xfId="10158"/>
    <cellStyle name="40 % - Markeringsfarve3 6 2 3" xfId="8796"/>
    <cellStyle name="40 % - Markeringsfarve3 6 3" xfId="6780"/>
    <cellStyle name="40 % - Markeringsfarve3 6 3 2" xfId="9535"/>
    <cellStyle name="40 % - Markeringsfarve3 6 4" xfId="8173"/>
    <cellStyle name="40 % - Markeringsfarve3 7" xfId="4164"/>
    <cellStyle name="40 % - Markeringsfarve3 7 2" xfId="7332"/>
    <cellStyle name="40 % - Markeringsfarve3 7 2 2" xfId="10087"/>
    <cellStyle name="40 % - Markeringsfarve3 7 3" xfId="8725"/>
    <cellStyle name="40 % - Markeringsfarve4" xfId="3352" builtinId="43" customBuiltin="1"/>
    <cellStyle name="40 % - Markeringsfarve4 2" xfId="3594"/>
    <cellStyle name="40 % - Markeringsfarve4 2 2" xfId="3595"/>
    <cellStyle name="40 % - Markeringsfarve4 2 2 2" xfId="4237"/>
    <cellStyle name="40 % - Markeringsfarve4 2 2 2 2" xfId="7405"/>
    <cellStyle name="40 % - Markeringsfarve4 2 2 2 2 2" xfId="10160"/>
    <cellStyle name="40 % - Markeringsfarve4 2 2 2 3" xfId="8798"/>
    <cellStyle name="40 % - Markeringsfarve4 2 2 3" xfId="6782"/>
    <cellStyle name="40 % - Markeringsfarve4 2 2 3 2" xfId="9537"/>
    <cellStyle name="40 % - Markeringsfarve4 2 2 4" xfId="8175"/>
    <cellStyle name="40 % - Markeringsfarve4 2 3" xfId="3596"/>
    <cellStyle name="40 % - Markeringsfarve4 2 3 2" xfId="4238"/>
    <cellStyle name="40 % - Markeringsfarve4 2 3 2 2" xfId="7406"/>
    <cellStyle name="40 % - Markeringsfarve4 2 3 2 2 2" xfId="10161"/>
    <cellStyle name="40 % - Markeringsfarve4 2 3 2 3" xfId="8799"/>
    <cellStyle name="40 % - Markeringsfarve4 2 3 3" xfId="6783"/>
    <cellStyle name="40 % - Markeringsfarve4 2 3 3 2" xfId="9538"/>
    <cellStyle name="40 % - Markeringsfarve4 2 3 4" xfId="8176"/>
    <cellStyle name="40 % - Markeringsfarve4 2 4" xfId="4236"/>
    <cellStyle name="40 % - Markeringsfarve4 2 4 2" xfId="7404"/>
    <cellStyle name="40 % - Markeringsfarve4 2 4 2 2" xfId="10159"/>
    <cellStyle name="40 % - Markeringsfarve4 2 4 3" xfId="8797"/>
    <cellStyle name="40 % - Markeringsfarve4 2 5" xfId="6781"/>
    <cellStyle name="40 % - Markeringsfarve4 2 5 2" xfId="9536"/>
    <cellStyle name="40 % - Markeringsfarve4 2 6" xfId="8174"/>
    <cellStyle name="40 % - Markeringsfarve4 3" xfId="3597"/>
    <cellStyle name="40 % - Markeringsfarve4 3 2" xfId="4239"/>
    <cellStyle name="40 % - Markeringsfarve4 3 2 2" xfId="7407"/>
    <cellStyle name="40 % - Markeringsfarve4 3 2 2 2" xfId="10162"/>
    <cellStyle name="40 % - Markeringsfarve4 3 2 3" xfId="8800"/>
    <cellStyle name="40 % - Markeringsfarve4 3 3" xfId="6784"/>
    <cellStyle name="40 % - Markeringsfarve4 3 3 2" xfId="9539"/>
    <cellStyle name="40 % - Markeringsfarve4 3 4" xfId="8177"/>
    <cellStyle name="40 % - Markeringsfarve4 4" xfId="3598"/>
    <cellStyle name="40 % - Markeringsfarve4 4 2" xfId="4240"/>
    <cellStyle name="40 % - Markeringsfarve4 4 2 2" xfId="7408"/>
    <cellStyle name="40 % - Markeringsfarve4 4 2 2 2" xfId="10163"/>
    <cellStyle name="40 % - Markeringsfarve4 4 2 3" xfId="8801"/>
    <cellStyle name="40 % - Markeringsfarve4 4 3" xfId="6785"/>
    <cellStyle name="40 % - Markeringsfarve4 4 3 2" xfId="9540"/>
    <cellStyle name="40 % - Markeringsfarve4 4 4" xfId="8178"/>
    <cellStyle name="40 % - Markeringsfarve4 5" xfId="3599"/>
    <cellStyle name="40 % - Markeringsfarve4 5 2" xfId="4241"/>
    <cellStyle name="40 % - Markeringsfarve4 5 2 2" xfId="7409"/>
    <cellStyle name="40 % - Markeringsfarve4 5 2 2 2" xfId="10164"/>
    <cellStyle name="40 % - Markeringsfarve4 5 2 3" xfId="8802"/>
    <cellStyle name="40 % - Markeringsfarve4 5 3" xfId="6786"/>
    <cellStyle name="40 % - Markeringsfarve4 5 3 2" xfId="9541"/>
    <cellStyle name="40 % - Markeringsfarve4 5 4" xfId="8179"/>
    <cellStyle name="40 % - Markeringsfarve4 6" xfId="3600"/>
    <cellStyle name="40 % - Markeringsfarve4 6 2" xfId="4242"/>
    <cellStyle name="40 % - Markeringsfarve4 6 2 2" xfId="7410"/>
    <cellStyle name="40 % - Markeringsfarve4 6 2 2 2" xfId="10165"/>
    <cellStyle name="40 % - Markeringsfarve4 6 2 3" xfId="8803"/>
    <cellStyle name="40 % - Markeringsfarve4 6 3" xfId="6787"/>
    <cellStyle name="40 % - Markeringsfarve4 6 3 2" xfId="9542"/>
    <cellStyle name="40 % - Markeringsfarve4 6 4" xfId="8180"/>
    <cellStyle name="40 % - Markeringsfarve4 7" xfId="4166"/>
    <cellStyle name="40 % - Markeringsfarve4 7 2" xfId="7334"/>
    <cellStyle name="40 % - Markeringsfarve4 7 2 2" xfId="10089"/>
    <cellStyle name="40 % - Markeringsfarve4 7 3" xfId="8727"/>
    <cellStyle name="40 % - Markeringsfarve5" xfId="3356" builtinId="47" customBuiltin="1"/>
    <cellStyle name="40 % - Markeringsfarve5 2" xfId="3601"/>
    <cellStyle name="40 % - Markeringsfarve5 2 2" xfId="3602"/>
    <cellStyle name="40 % - Markeringsfarve5 2 2 2" xfId="4244"/>
    <cellStyle name="40 % - Markeringsfarve5 2 2 2 2" xfId="7412"/>
    <cellStyle name="40 % - Markeringsfarve5 2 2 2 2 2" xfId="10167"/>
    <cellStyle name="40 % - Markeringsfarve5 2 2 2 3" xfId="8805"/>
    <cellStyle name="40 % - Markeringsfarve5 2 2 3" xfId="6789"/>
    <cellStyle name="40 % - Markeringsfarve5 2 2 3 2" xfId="9544"/>
    <cellStyle name="40 % - Markeringsfarve5 2 2 4" xfId="8182"/>
    <cellStyle name="40 % - Markeringsfarve5 2 3" xfId="3603"/>
    <cellStyle name="40 % - Markeringsfarve5 2 3 2" xfId="4245"/>
    <cellStyle name="40 % - Markeringsfarve5 2 3 2 2" xfId="7413"/>
    <cellStyle name="40 % - Markeringsfarve5 2 3 2 2 2" xfId="10168"/>
    <cellStyle name="40 % - Markeringsfarve5 2 3 2 3" xfId="8806"/>
    <cellStyle name="40 % - Markeringsfarve5 2 3 3" xfId="6790"/>
    <cellStyle name="40 % - Markeringsfarve5 2 3 3 2" xfId="9545"/>
    <cellStyle name="40 % - Markeringsfarve5 2 3 4" xfId="8183"/>
    <cellStyle name="40 % - Markeringsfarve5 2 4" xfId="4243"/>
    <cellStyle name="40 % - Markeringsfarve5 2 4 2" xfId="7411"/>
    <cellStyle name="40 % - Markeringsfarve5 2 4 2 2" xfId="10166"/>
    <cellStyle name="40 % - Markeringsfarve5 2 4 3" xfId="8804"/>
    <cellStyle name="40 % - Markeringsfarve5 2 5" xfId="6788"/>
    <cellStyle name="40 % - Markeringsfarve5 2 5 2" xfId="9543"/>
    <cellStyle name="40 % - Markeringsfarve5 2 6" xfId="8181"/>
    <cellStyle name="40 % - Markeringsfarve5 3" xfId="3604"/>
    <cellStyle name="40 % - Markeringsfarve5 3 2" xfId="4246"/>
    <cellStyle name="40 % - Markeringsfarve5 3 2 2" xfId="7414"/>
    <cellStyle name="40 % - Markeringsfarve5 3 2 2 2" xfId="10169"/>
    <cellStyle name="40 % - Markeringsfarve5 3 2 3" xfId="8807"/>
    <cellStyle name="40 % - Markeringsfarve5 3 3" xfId="6791"/>
    <cellStyle name="40 % - Markeringsfarve5 3 3 2" xfId="9546"/>
    <cellStyle name="40 % - Markeringsfarve5 3 4" xfId="8184"/>
    <cellStyle name="40 % - Markeringsfarve5 4" xfId="3605"/>
    <cellStyle name="40 % - Markeringsfarve5 4 2" xfId="4247"/>
    <cellStyle name="40 % - Markeringsfarve5 4 2 2" xfId="7415"/>
    <cellStyle name="40 % - Markeringsfarve5 4 2 2 2" xfId="10170"/>
    <cellStyle name="40 % - Markeringsfarve5 4 2 3" xfId="8808"/>
    <cellStyle name="40 % - Markeringsfarve5 4 3" xfId="6792"/>
    <cellStyle name="40 % - Markeringsfarve5 4 3 2" xfId="9547"/>
    <cellStyle name="40 % - Markeringsfarve5 4 4" xfId="8185"/>
    <cellStyle name="40 % - Markeringsfarve5 5" xfId="3606"/>
    <cellStyle name="40 % - Markeringsfarve5 5 2" xfId="4248"/>
    <cellStyle name="40 % - Markeringsfarve5 5 2 2" xfId="7416"/>
    <cellStyle name="40 % - Markeringsfarve5 5 2 2 2" xfId="10171"/>
    <cellStyle name="40 % - Markeringsfarve5 5 2 3" xfId="8809"/>
    <cellStyle name="40 % - Markeringsfarve5 5 3" xfId="6793"/>
    <cellStyle name="40 % - Markeringsfarve5 5 3 2" xfId="9548"/>
    <cellStyle name="40 % - Markeringsfarve5 5 4" xfId="8186"/>
    <cellStyle name="40 % - Markeringsfarve5 6" xfId="3607"/>
    <cellStyle name="40 % - Markeringsfarve5 6 2" xfId="4249"/>
    <cellStyle name="40 % - Markeringsfarve5 6 2 2" xfId="7417"/>
    <cellStyle name="40 % - Markeringsfarve5 6 2 2 2" xfId="10172"/>
    <cellStyle name="40 % - Markeringsfarve5 6 2 3" xfId="8810"/>
    <cellStyle name="40 % - Markeringsfarve5 6 3" xfId="6794"/>
    <cellStyle name="40 % - Markeringsfarve5 6 3 2" xfId="9549"/>
    <cellStyle name="40 % - Markeringsfarve5 6 4" xfId="8187"/>
    <cellStyle name="40 % - Markeringsfarve5 7" xfId="4168"/>
    <cellStyle name="40 % - Markeringsfarve5 7 2" xfId="7336"/>
    <cellStyle name="40 % - Markeringsfarve5 7 2 2" xfId="10091"/>
    <cellStyle name="40 % - Markeringsfarve5 7 3" xfId="8729"/>
    <cellStyle name="40 % - Markeringsfarve6" xfId="3360" builtinId="51" customBuiltin="1"/>
    <cellStyle name="40 % - Markeringsfarve6 2" xfId="3608"/>
    <cellStyle name="40 % - Markeringsfarve6 2 2" xfId="3609"/>
    <cellStyle name="40 % - Markeringsfarve6 2 2 2" xfId="4251"/>
    <cellStyle name="40 % - Markeringsfarve6 2 2 2 2" xfId="7419"/>
    <cellStyle name="40 % - Markeringsfarve6 2 2 2 2 2" xfId="10174"/>
    <cellStyle name="40 % - Markeringsfarve6 2 2 2 3" xfId="8812"/>
    <cellStyle name="40 % - Markeringsfarve6 2 2 3" xfId="6796"/>
    <cellStyle name="40 % - Markeringsfarve6 2 2 3 2" xfId="9551"/>
    <cellStyle name="40 % - Markeringsfarve6 2 2 4" xfId="8189"/>
    <cellStyle name="40 % - Markeringsfarve6 2 3" xfId="3610"/>
    <cellStyle name="40 % - Markeringsfarve6 2 3 2" xfId="4252"/>
    <cellStyle name="40 % - Markeringsfarve6 2 3 2 2" xfId="7420"/>
    <cellStyle name="40 % - Markeringsfarve6 2 3 2 2 2" xfId="10175"/>
    <cellStyle name="40 % - Markeringsfarve6 2 3 2 3" xfId="8813"/>
    <cellStyle name="40 % - Markeringsfarve6 2 3 3" xfId="6797"/>
    <cellStyle name="40 % - Markeringsfarve6 2 3 3 2" xfId="9552"/>
    <cellStyle name="40 % - Markeringsfarve6 2 3 4" xfId="8190"/>
    <cellStyle name="40 % - Markeringsfarve6 2 4" xfId="4250"/>
    <cellStyle name="40 % - Markeringsfarve6 2 4 2" xfId="7418"/>
    <cellStyle name="40 % - Markeringsfarve6 2 4 2 2" xfId="10173"/>
    <cellStyle name="40 % - Markeringsfarve6 2 4 3" xfId="8811"/>
    <cellStyle name="40 % - Markeringsfarve6 2 5" xfId="6795"/>
    <cellStyle name="40 % - Markeringsfarve6 2 5 2" xfId="9550"/>
    <cellStyle name="40 % - Markeringsfarve6 2 6" xfId="8188"/>
    <cellStyle name="40 % - Markeringsfarve6 3" xfId="3611"/>
    <cellStyle name="40 % - Markeringsfarve6 3 2" xfId="4253"/>
    <cellStyle name="40 % - Markeringsfarve6 3 2 2" xfId="7421"/>
    <cellStyle name="40 % - Markeringsfarve6 3 2 2 2" xfId="10176"/>
    <cellStyle name="40 % - Markeringsfarve6 3 2 3" xfId="8814"/>
    <cellStyle name="40 % - Markeringsfarve6 3 3" xfId="6798"/>
    <cellStyle name="40 % - Markeringsfarve6 3 3 2" xfId="9553"/>
    <cellStyle name="40 % - Markeringsfarve6 3 4" xfId="8191"/>
    <cellStyle name="40 % - Markeringsfarve6 4" xfId="3612"/>
    <cellStyle name="40 % - Markeringsfarve6 4 2" xfId="4254"/>
    <cellStyle name="40 % - Markeringsfarve6 4 2 2" xfId="7422"/>
    <cellStyle name="40 % - Markeringsfarve6 4 2 2 2" xfId="10177"/>
    <cellStyle name="40 % - Markeringsfarve6 4 2 3" xfId="8815"/>
    <cellStyle name="40 % - Markeringsfarve6 4 3" xfId="6799"/>
    <cellStyle name="40 % - Markeringsfarve6 4 3 2" xfId="9554"/>
    <cellStyle name="40 % - Markeringsfarve6 4 4" xfId="8192"/>
    <cellStyle name="40 % - Markeringsfarve6 5" xfId="3613"/>
    <cellStyle name="40 % - Markeringsfarve6 5 2" xfId="4255"/>
    <cellStyle name="40 % - Markeringsfarve6 5 2 2" xfId="7423"/>
    <cellStyle name="40 % - Markeringsfarve6 5 2 2 2" xfId="10178"/>
    <cellStyle name="40 % - Markeringsfarve6 5 2 3" xfId="8816"/>
    <cellStyle name="40 % - Markeringsfarve6 5 3" xfId="6800"/>
    <cellStyle name="40 % - Markeringsfarve6 5 3 2" xfId="9555"/>
    <cellStyle name="40 % - Markeringsfarve6 5 4" xfId="8193"/>
    <cellStyle name="40 % - Markeringsfarve6 6" xfId="3614"/>
    <cellStyle name="40 % - Markeringsfarve6 6 2" xfId="4256"/>
    <cellStyle name="40 % - Markeringsfarve6 6 2 2" xfId="7424"/>
    <cellStyle name="40 % - Markeringsfarve6 6 2 2 2" xfId="10179"/>
    <cellStyle name="40 % - Markeringsfarve6 6 2 3" xfId="8817"/>
    <cellStyle name="40 % - Markeringsfarve6 6 3" xfId="6801"/>
    <cellStyle name="40 % - Markeringsfarve6 6 3 2" xfId="9556"/>
    <cellStyle name="40 % - Markeringsfarve6 6 4" xfId="8194"/>
    <cellStyle name="40 % - Markeringsfarve6 7" xfId="4170"/>
    <cellStyle name="40 % - Markeringsfarve6 7 2" xfId="7338"/>
    <cellStyle name="40 % - Markeringsfarve6 7 2 2" xfId="10093"/>
    <cellStyle name="40 % - Markeringsfarve6 7 3" xfId="8731"/>
    <cellStyle name="40% - Accent1 2" xfId="3396"/>
    <cellStyle name="40% - Accent1 3" xfId="6635"/>
    <cellStyle name="40% - Accent1 3 2" xfId="9399"/>
    <cellStyle name="40% - Accent1 4" xfId="8028"/>
    <cellStyle name="40% - Accent2 2" xfId="3397"/>
    <cellStyle name="40% - Accent2 3" xfId="6637"/>
    <cellStyle name="40% - Accent2 3 2" xfId="9401"/>
    <cellStyle name="40% - Accent2 4" xfId="8030"/>
    <cellStyle name="40% - Accent3 2" xfId="3398"/>
    <cellStyle name="40% - Accent3 3" xfId="6639"/>
    <cellStyle name="40% - Accent3 3 2" xfId="9403"/>
    <cellStyle name="40% - Accent3 4" xfId="8032"/>
    <cellStyle name="40% - Accent4 2" xfId="3399"/>
    <cellStyle name="40% - Accent4 3" xfId="6641"/>
    <cellStyle name="40% - Accent4 3 2" xfId="9405"/>
    <cellStyle name="40% - Accent4 4" xfId="8034"/>
    <cellStyle name="40% - Accent5 2" xfId="3400"/>
    <cellStyle name="40% - Accent5 3" xfId="6643"/>
    <cellStyle name="40% - Accent5 3 2" xfId="9407"/>
    <cellStyle name="40% - Accent5 4" xfId="8036"/>
    <cellStyle name="40% - Accent6 2" xfId="3401"/>
    <cellStyle name="40% - Accent6 3" xfId="6645"/>
    <cellStyle name="40% - Accent6 3 2" xfId="9409"/>
    <cellStyle name="40% - Accent6 4" xfId="8038"/>
    <cellStyle name="40% - Colore 1" xfId="9"/>
    <cellStyle name="40% - Colore 2" xfId="10"/>
    <cellStyle name="40% - Colore 3" xfId="11"/>
    <cellStyle name="40% - Colore 4" xfId="12"/>
    <cellStyle name="40% - Colore 5" xfId="13"/>
    <cellStyle name="40% - Colore 6" xfId="14"/>
    <cellStyle name="5x indented GHG Textfiels" xfId="15"/>
    <cellStyle name="5x indented GHG Textfiels 2" xfId="2075"/>
    <cellStyle name="60 % - Markeringsfarve1" xfId="3341" builtinId="32" customBuiltin="1"/>
    <cellStyle name="60 % - Markeringsfarve2" xfId="3345" builtinId="36" customBuiltin="1"/>
    <cellStyle name="60 % - Markeringsfarve3" xfId="3349" builtinId="40" customBuiltin="1"/>
    <cellStyle name="60 % - Markeringsfarve4" xfId="3353" builtinId="44" customBuiltin="1"/>
    <cellStyle name="60 % - Markeringsfarve5" xfId="3357" builtinId="48" customBuiltin="1"/>
    <cellStyle name="60 % - Markeringsfarve6" xfId="3361" builtinId="52" customBuiltin="1"/>
    <cellStyle name="60% - Accent1 2" xfId="3402"/>
    <cellStyle name="60% - Accent2 2" xfId="3403"/>
    <cellStyle name="60% - Accent3 2" xfId="3404"/>
    <cellStyle name="60% - Accent4 2" xfId="3405"/>
    <cellStyle name="60% - Accent5 2" xfId="3406"/>
    <cellStyle name="60% - Accent6 2" xfId="3407"/>
    <cellStyle name="60% - Colore 1" xfId="16"/>
    <cellStyle name="60% - Colore 2" xfId="17"/>
    <cellStyle name="60% - Colore 3" xfId="18"/>
    <cellStyle name="60% - Colore 4" xfId="19"/>
    <cellStyle name="60% - Colore 5" xfId="20"/>
    <cellStyle name="60% - Colore 6" xfId="21"/>
    <cellStyle name="Accent1 2" xfId="3408"/>
    <cellStyle name="Accent2 2" xfId="3409"/>
    <cellStyle name="Accent3 2" xfId="3410"/>
    <cellStyle name="Accent4 2" xfId="3411"/>
    <cellStyle name="Accent5 2" xfId="3412"/>
    <cellStyle name="Accent6 2" xfId="3413"/>
    <cellStyle name="Advarselstekst" xfId="3335" builtinId="11" customBuiltin="1"/>
    <cellStyle name="AggOrange_CRFReport-template" xfId="22"/>
    <cellStyle name="AggOrange9_CRFReport-template" xfId="23"/>
    <cellStyle name="Bad 2" xfId="24"/>
    <cellStyle name="Bad 2 2" xfId="3414"/>
    <cellStyle name="Bad 3" xfId="2008"/>
    <cellStyle name="Bemærk! 2" xfId="3615"/>
    <cellStyle name="Bemærk! 2 10" xfId="8195"/>
    <cellStyle name="Bemærk! 2 2" xfId="3616"/>
    <cellStyle name="Bemærk! 2 2 2" xfId="3617"/>
    <cellStyle name="Bemærk! 2 2 2 2" xfId="4259"/>
    <cellStyle name="Bemærk! 2 2 2 2 2" xfId="7427"/>
    <cellStyle name="Bemærk! 2 2 2 2 2 2" xfId="10182"/>
    <cellStyle name="Bemærk! 2 2 2 2 3" xfId="8820"/>
    <cellStyle name="Bemærk! 2 2 2 3" xfId="6804"/>
    <cellStyle name="Bemærk! 2 2 2 3 2" xfId="9559"/>
    <cellStyle name="Bemærk! 2 2 2 4" xfId="8197"/>
    <cellStyle name="Bemærk! 2 2 3" xfId="3618"/>
    <cellStyle name="Bemærk! 2 2 3 2" xfId="4260"/>
    <cellStyle name="Bemærk! 2 2 3 2 2" xfId="7428"/>
    <cellStyle name="Bemærk! 2 2 3 2 2 2" xfId="10183"/>
    <cellStyle name="Bemærk! 2 2 3 2 3" xfId="8821"/>
    <cellStyle name="Bemærk! 2 2 3 3" xfId="6805"/>
    <cellStyle name="Bemærk! 2 2 3 3 2" xfId="9560"/>
    <cellStyle name="Bemærk! 2 2 3 4" xfId="8198"/>
    <cellStyle name="Bemærk! 2 2 4" xfId="4258"/>
    <cellStyle name="Bemærk! 2 2 4 2" xfId="7426"/>
    <cellStyle name="Bemærk! 2 2 4 2 2" xfId="10181"/>
    <cellStyle name="Bemærk! 2 2 4 3" xfId="8819"/>
    <cellStyle name="Bemærk! 2 2 5" xfId="6803"/>
    <cellStyle name="Bemærk! 2 2 5 2" xfId="9558"/>
    <cellStyle name="Bemærk! 2 2 6" xfId="8196"/>
    <cellStyle name="Bemærk! 2 3" xfId="3619"/>
    <cellStyle name="Bemærk! 2 3 2" xfId="4261"/>
    <cellStyle name="Bemærk! 2 3 2 2" xfId="7429"/>
    <cellStyle name="Bemærk! 2 3 2 2 2" xfId="10184"/>
    <cellStyle name="Bemærk! 2 3 2 3" xfId="8822"/>
    <cellStyle name="Bemærk! 2 3 3" xfId="6806"/>
    <cellStyle name="Bemærk! 2 3 3 2" xfId="9561"/>
    <cellStyle name="Bemærk! 2 3 4" xfId="8199"/>
    <cellStyle name="Bemærk! 2 4" xfId="3620"/>
    <cellStyle name="Bemærk! 2 4 2" xfId="4262"/>
    <cellStyle name="Bemærk! 2 4 2 2" xfId="7430"/>
    <cellStyle name="Bemærk! 2 4 2 2 2" xfId="10185"/>
    <cellStyle name="Bemærk! 2 4 2 3" xfId="8823"/>
    <cellStyle name="Bemærk! 2 4 3" xfId="6807"/>
    <cellStyle name="Bemærk! 2 4 3 2" xfId="9562"/>
    <cellStyle name="Bemærk! 2 4 4" xfId="8200"/>
    <cellStyle name="Bemærk! 2 5" xfId="3621"/>
    <cellStyle name="Bemærk! 2 5 2" xfId="4263"/>
    <cellStyle name="Bemærk! 2 5 2 2" xfId="7431"/>
    <cellStyle name="Bemærk! 2 5 2 2 2" xfId="10186"/>
    <cellStyle name="Bemærk! 2 5 2 3" xfId="8824"/>
    <cellStyle name="Bemærk! 2 5 3" xfId="6808"/>
    <cellStyle name="Bemærk! 2 5 3 2" xfId="9563"/>
    <cellStyle name="Bemærk! 2 5 4" xfId="8201"/>
    <cellStyle name="Bemærk! 2 6" xfId="3622"/>
    <cellStyle name="Bemærk! 2 7" xfId="3623"/>
    <cellStyle name="Bemærk! 2 7 2" xfId="4264"/>
    <cellStyle name="Bemærk! 2 7 2 2" xfId="7432"/>
    <cellStyle name="Bemærk! 2 7 2 2 2" xfId="10187"/>
    <cellStyle name="Bemærk! 2 7 2 3" xfId="8825"/>
    <cellStyle name="Bemærk! 2 7 3" xfId="6809"/>
    <cellStyle name="Bemærk! 2 7 3 2" xfId="9564"/>
    <cellStyle name="Bemærk! 2 7 4" xfId="8202"/>
    <cellStyle name="Bemærk! 2 8" xfId="4257"/>
    <cellStyle name="Bemærk! 2 8 2" xfId="7425"/>
    <cellStyle name="Bemærk! 2 8 2 2" xfId="10180"/>
    <cellStyle name="Bemærk! 2 8 3" xfId="8818"/>
    <cellStyle name="Bemærk! 2 9" xfId="6802"/>
    <cellStyle name="Bemærk! 2 9 2" xfId="9557"/>
    <cellStyle name="Bemærk! 3" xfId="3624"/>
    <cellStyle name="Bemærk! 4" xfId="3625"/>
    <cellStyle name="Bemærk! 4 2" xfId="3626"/>
    <cellStyle name="Bemærk! 4 2 2" xfId="4265"/>
    <cellStyle name="Bemærk! 4 2 2 2" xfId="7433"/>
    <cellStyle name="Bemærk! 4 2 2 2 2" xfId="10188"/>
    <cellStyle name="Bemærk! 4 2 2 3" xfId="8826"/>
    <cellStyle name="Bemærk! 4 2 3" xfId="6810"/>
    <cellStyle name="Bemærk! 4 2 3 2" xfId="9565"/>
    <cellStyle name="Bemærk! 4 2 4" xfId="8203"/>
    <cellStyle name="Bemærk! 5" xfId="3627"/>
    <cellStyle name="Bemærk! 6" xfId="3628"/>
    <cellStyle name="Bemærk! 6 2" xfId="4266"/>
    <cellStyle name="Bemærk! 6 2 2" xfId="7434"/>
    <cellStyle name="Bemærk! 6 2 2 2" xfId="10189"/>
    <cellStyle name="Bemærk! 6 2 3" xfId="8827"/>
    <cellStyle name="Bemærk! 6 3" xfId="6811"/>
    <cellStyle name="Bemærk! 6 3 2" xfId="9566"/>
    <cellStyle name="Bemærk! 6 4" xfId="8204"/>
    <cellStyle name="Beregning" xfId="27" builtinId="22" customBuiltin="1"/>
    <cellStyle name="Bruger data" xfId="25"/>
    <cellStyle name="C01_Main head" xfId="3415"/>
    <cellStyle name="C02_Column heads" xfId="3416"/>
    <cellStyle name="C03_Sub head bold" xfId="3417"/>
    <cellStyle name="C03a_Sub head" xfId="3418"/>
    <cellStyle name="C04_Total text white bold" xfId="3419"/>
    <cellStyle name="C04a_Total text black with rule" xfId="3420"/>
    <cellStyle name="C05_Main text" xfId="3421"/>
    <cellStyle name="C06_Figs" xfId="3422"/>
    <cellStyle name="C07_Figs 1 dec percent" xfId="3423"/>
    <cellStyle name="C08_Figs 1 decimal" xfId="3424"/>
    <cellStyle name="C09_Notes" xfId="3425"/>
    <cellStyle name="Calcolo" xfId="26"/>
    <cellStyle name="Calcolo 2" xfId="7896"/>
    <cellStyle name="Calcolo 3" xfId="7990"/>
    <cellStyle name="Calcolo 4" xfId="9292"/>
    <cellStyle name="Calcolo 5" xfId="10664"/>
    <cellStyle name="Calcolo 6" xfId="10665"/>
    <cellStyle name="Calculation 2" xfId="2009"/>
    <cellStyle name="Calculation 2 2" xfId="3520"/>
    <cellStyle name="Calculation 2 2 2" xfId="8104"/>
    <cellStyle name="Calculation 2 2 3" xfId="9351"/>
    <cellStyle name="Calculation 2 2 4" xfId="10678"/>
    <cellStyle name="Calculation 2 2 5" xfId="9333"/>
    <cellStyle name="Calculation 2 2 6" xfId="10671"/>
    <cellStyle name="Calculation 2 3" xfId="3426"/>
    <cellStyle name="Calculation 2 3 2" xfId="8048"/>
    <cellStyle name="Calculation 2 3 3" xfId="7912"/>
    <cellStyle name="Calculation 2 3 4" xfId="7908"/>
    <cellStyle name="Calculation 2 3 5" xfId="10662"/>
    <cellStyle name="Calculation 2 3 6" xfId="7959"/>
    <cellStyle name="Calculations" xfId="28"/>
    <cellStyle name="Cella collegata" xfId="29"/>
    <cellStyle name="Cella da controllare" xfId="30"/>
    <cellStyle name="Check Cell 2" xfId="3427"/>
    <cellStyle name="Colore 1" xfId="31"/>
    <cellStyle name="Colore 2" xfId="32"/>
    <cellStyle name="Colore 3" xfId="33"/>
    <cellStyle name="Colore 4" xfId="34"/>
    <cellStyle name="Colore 5" xfId="35"/>
    <cellStyle name="Colore 6" xfId="36"/>
    <cellStyle name="Comma 10" xfId="3428"/>
    <cellStyle name="Comma 11" xfId="10693"/>
    <cellStyle name="Comma 2" xfId="37"/>
    <cellStyle name="Comma 2 10" xfId="3375"/>
    <cellStyle name="Comma 2 11" xfId="4861"/>
    <cellStyle name="Comma 2 11 2" xfId="9294"/>
    <cellStyle name="Comma 2 2" xfId="38"/>
    <cellStyle name="Comma 2 2 2" xfId="39"/>
    <cellStyle name="Comma 2 2 2 2" xfId="2076"/>
    <cellStyle name="Comma 2 2 2 2 2" xfId="3293"/>
    <cellStyle name="Comma 2 2 2 3" xfId="3265"/>
    <cellStyle name="Comma 2 2 3" xfId="3264"/>
    <cellStyle name="Comma 2 2 4" xfId="3368"/>
    <cellStyle name="Comma 2 2 5" xfId="3429"/>
    <cellStyle name="Comma 2 2 5 2" xfId="6656"/>
    <cellStyle name="Comma 2 3" xfId="40"/>
    <cellStyle name="Comma 2 3 2" xfId="41"/>
    <cellStyle name="Comma 2 3 2 2" xfId="3267"/>
    <cellStyle name="Comma 2 3 3" xfId="42"/>
    <cellStyle name="Comma 2 3 3 2" xfId="2078"/>
    <cellStyle name="Comma 2 3 3 2 2" xfId="3295"/>
    <cellStyle name="Comma 2 3 3 3" xfId="3268"/>
    <cellStyle name="Comma 2 3 4" xfId="2077"/>
    <cellStyle name="Comma 2 3 4 2" xfId="3294"/>
    <cellStyle name="Comma 2 3 5" xfId="3266"/>
    <cellStyle name="Comma 2 4" xfId="43"/>
    <cellStyle name="Comma 2 4 2" xfId="3269"/>
    <cellStyle name="Comma 2 5" xfId="44"/>
    <cellStyle name="Comma 2 5 2" xfId="3270"/>
    <cellStyle name="Comma 2 5 2 2" xfId="6600"/>
    <cellStyle name="Comma 2 5 3" xfId="4927"/>
    <cellStyle name="Comma 2 6" xfId="45"/>
    <cellStyle name="Comma 2 6 2" xfId="46"/>
    <cellStyle name="Comma 2 6 2 2" xfId="4929"/>
    <cellStyle name="Comma 2 6 2 3" xfId="5679"/>
    <cellStyle name="Comma 2 6 3" xfId="4928"/>
    <cellStyle name="Comma 2 6 4" xfId="5678"/>
    <cellStyle name="Comma 2 7" xfId="3314"/>
    <cellStyle name="Comma 2 7 2" xfId="4926"/>
    <cellStyle name="Comma 2 7 3" xfId="6623"/>
    <cellStyle name="Comma 2 7 3 2" xfId="9387"/>
    <cellStyle name="Comma 2 7 4" xfId="8016"/>
    <cellStyle name="Comma 2 8" xfId="3263"/>
    <cellStyle name="Comma 2 9" xfId="3365"/>
    <cellStyle name="Comma 2 9 2" xfId="6649"/>
    <cellStyle name="Comma 22" xfId="10655"/>
    <cellStyle name="Comma 3" xfId="47"/>
    <cellStyle name="Comma 3 2" xfId="48"/>
    <cellStyle name="Comma 3 2 2" xfId="49"/>
    <cellStyle name="Comma 3 2 2 2" xfId="3273"/>
    <cellStyle name="Comma 3 2 3" xfId="3272"/>
    <cellStyle name="Comma 3 2 4" xfId="3430"/>
    <cellStyle name="Comma 3 2 4 2" xfId="6657"/>
    <cellStyle name="Comma 3 3" xfId="50"/>
    <cellStyle name="Comma 3 3 2" xfId="2080"/>
    <cellStyle name="Comma 3 3 2 2" xfId="3297"/>
    <cellStyle name="Comma 3 3 2 2 2" xfId="6611"/>
    <cellStyle name="Comma 3 3 2 2 2 2" xfId="9375"/>
    <cellStyle name="Comma 3 3 2 2 3" xfId="8004"/>
    <cellStyle name="Comma 3 3 2 3" xfId="5369"/>
    <cellStyle name="Comma 3 3 2 3 2" xfId="9314"/>
    <cellStyle name="Comma 3 3 2 4" xfId="6291"/>
    <cellStyle name="Comma 3 3 2 4 2" xfId="9348"/>
    <cellStyle name="Comma 3 3 2 5" xfId="7957"/>
    <cellStyle name="Comma 3 3 3" xfId="3274"/>
    <cellStyle name="Comma 3 3 3 2" xfId="6601"/>
    <cellStyle name="Comma 3 3 3 2 2" xfId="9365"/>
    <cellStyle name="Comma 3 3 3 3" xfId="7994"/>
    <cellStyle name="Comma 3 3 4" xfId="4931"/>
    <cellStyle name="Comma 3 3 4 2" xfId="9297"/>
    <cellStyle name="Comma 3 3 5" xfId="5680"/>
    <cellStyle name="Comma 3 3 5 2" xfId="9328"/>
    <cellStyle name="Comma 3 3 6" xfId="7897"/>
    <cellStyle name="Comma 3 4" xfId="2079"/>
    <cellStyle name="Comma 3 4 2" xfId="3296"/>
    <cellStyle name="Comma 3 5" xfId="3316"/>
    <cellStyle name="Comma 3 5 2" xfId="4930"/>
    <cellStyle name="Comma 3 5 3" xfId="6625"/>
    <cellStyle name="Comma 3 5 3 2" xfId="9389"/>
    <cellStyle name="Comma 3 5 4" xfId="8018"/>
    <cellStyle name="Comma 3 6" xfId="3271"/>
    <cellStyle name="Comma 3 7" xfId="3366"/>
    <cellStyle name="Comma 3 7 2" xfId="6650"/>
    <cellStyle name="Comma 3 7 2 2" xfId="9413"/>
    <cellStyle name="Comma 3 7 3" xfId="8042"/>
    <cellStyle name="Comma 3 8" xfId="3374"/>
    <cellStyle name="Comma 3 9" xfId="4862"/>
    <cellStyle name="Comma 3 9 2" xfId="9295"/>
    <cellStyle name="Comma 4" xfId="51"/>
    <cellStyle name="Comma 4 2" xfId="52"/>
    <cellStyle name="Comma 4 2 2" xfId="53"/>
    <cellStyle name="Comma 4 2 2 2" xfId="3277"/>
    <cellStyle name="Comma 4 2 3" xfId="3276"/>
    <cellStyle name="Comma 4 2 4" xfId="3431"/>
    <cellStyle name="Comma 4 2 4 2" xfId="6658"/>
    <cellStyle name="Comma 4 3" xfId="54"/>
    <cellStyle name="Comma 4 3 2" xfId="2082"/>
    <cellStyle name="Comma 4 3 2 2" xfId="3299"/>
    <cellStyle name="Comma 4 3 2 2 2" xfId="6612"/>
    <cellStyle name="Comma 4 3 2 2 2 2" xfId="9376"/>
    <cellStyle name="Comma 4 3 2 2 3" xfId="8005"/>
    <cellStyle name="Comma 4 3 2 3" xfId="5370"/>
    <cellStyle name="Comma 4 3 2 3 2" xfId="9315"/>
    <cellStyle name="Comma 4 3 2 4" xfId="6292"/>
    <cellStyle name="Comma 4 3 2 4 2" xfId="9349"/>
    <cellStyle name="Comma 4 3 2 5" xfId="7958"/>
    <cellStyle name="Comma 4 3 3" xfId="3278"/>
    <cellStyle name="Comma 4 3 3 2" xfId="6602"/>
    <cellStyle name="Comma 4 3 3 2 2" xfId="9366"/>
    <cellStyle name="Comma 4 3 3 3" xfId="7995"/>
    <cellStyle name="Comma 4 3 4" xfId="4932"/>
    <cellStyle name="Comma 4 3 4 2" xfId="9298"/>
    <cellStyle name="Comma 4 3 5" xfId="5681"/>
    <cellStyle name="Comma 4 3 5 2" xfId="9329"/>
    <cellStyle name="Comma 4 3 6" xfId="7898"/>
    <cellStyle name="Comma 4 4" xfId="55"/>
    <cellStyle name="Comma 4 4 2" xfId="2083"/>
    <cellStyle name="Comma 4 4 2 2" xfId="3300"/>
    <cellStyle name="Comma 4 4 3" xfId="3279"/>
    <cellStyle name="Comma 4 5" xfId="2081"/>
    <cellStyle name="Comma 4 5 2" xfId="3298"/>
    <cellStyle name="Comma 4 6" xfId="3275"/>
    <cellStyle name="Comma 4 7" xfId="3367"/>
    <cellStyle name="Comma 4 7 2" xfId="6651"/>
    <cellStyle name="Comma 4 7 2 2" xfId="9414"/>
    <cellStyle name="Comma 4 7 3" xfId="8043"/>
    <cellStyle name="Comma 4 8" xfId="3376"/>
    <cellStyle name="Comma 5" xfId="56"/>
    <cellStyle name="Comma 5 2" xfId="2084"/>
    <cellStyle name="Comma 5 2 2" xfId="3301"/>
    <cellStyle name="Comma 5 2 3" xfId="3432"/>
    <cellStyle name="Comma 5 2 3 2" xfId="6659"/>
    <cellStyle name="Comma 5 3" xfId="3280"/>
    <cellStyle name="Comma 5 4" xfId="3369"/>
    <cellStyle name="Comma 5 5" xfId="3377"/>
    <cellStyle name="Comma 6" xfId="57"/>
    <cellStyle name="Comma 6 2" xfId="2085"/>
    <cellStyle name="Comma 6 2 2" xfId="3302"/>
    <cellStyle name="Comma 6 2 3" xfId="3433"/>
    <cellStyle name="Comma 6 2 3 2" xfId="6660"/>
    <cellStyle name="Comma 6 3" xfId="3281"/>
    <cellStyle name="Comma 6 4" xfId="3373"/>
    <cellStyle name="Comma 7" xfId="2006"/>
    <cellStyle name="Comma 7 2" xfId="3262"/>
    <cellStyle name="Comma 7 2 2" xfId="3311"/>
    <cellStyle name="Comma 7 2 2 2" xfId="6620"/>
    <cellStyle name="Comma 7 2 2 2 2" xfId="9384"/>
    <cellStyle name="Comma 7 2 2 3" xfId="8013"/>
    <cellStyle name="Comma 7 2 3" xfId="5677"/>
    <cellStyle name="Comma 7 2 3 2" xfId="9327"/>
    <cellStyle name="Comma 7 2 4" xfId="6599"/>
    <cellStyle name="Comma 7 2 4 2" xfId="9363"/>
    <cellStyle name="Comma 7 2 5" xfId="7993"/>
    <cellStyle name="Comma 7 3" xfId="3292"/>
    <cellStyle name="Comma 7 3 2" xfId="6610"/>
    <cellStyle name="Comma 7 3 2 2" xfId="9374"/>
    <cellStyle name="Comma 7 3 3" xfId="8003"/>
    <cellStyle name="Comma 7 4" xfId="3434"/>
    <cellStyle name="Comma 7 4 2" xfId="6661"/>
    <cellStyle name="Comma 7 5" xfId="5308"/>
    <cellStyle name="Comma 7 5 2" xfId="9313"/>
    <cellStyle name="Comma 7 6" xfId="6230"/>
    <cellStyle name="Comma 7 6 2" xfId="9346"/>
    <cellStyle name="Comma 7 7" xfId="7955"/>
    <cellStyle name="Comma 8" xfId="3435"/>
    <cellStyle name="Comma 8 2" xfId="6662"/>
    <cellStyle name="Comma 9" xfId="3436"/>
    <cellStyle name="Comma 9 2" xfId="3464"/>
    <cellStyle name="Comma 9 2 2" xfId="3480"/>
    <cellStyle name="Comma 9 2 2 2" xfId="4131"/>
    <cellStyle name="Comma 9 2 2 2 2" xfId="7299"/>
    <cellStyle name="Comma 9 2 2 2 2 2" xfId="10054"/>
    <cellStyle name="Comma 9 2 2 2 3" xfId="8692"/>
    <cellStyle name="Comma 9 2 2 3" xfId="6688"/>
    <cellStyle name="Comma 9 2 2 3 2" xfId="9443"/>
    <cellStyle name="Comma 9 2 2 4" xfId="8076"/>
    <cellStyle name="Comma 9 2 3" xfId="3496"/>
    <cellStyle name="Comma 9 2 3 2" xfId="4147"/>
    <cellStyle name="Comma 9 2 3 2 2" xfId="7315"/>
    <cellStyle name="Comma 9 2 3 2 2 2" xfId="10070"/>
    <cellStyle name="Comma 9 2 3 2 3" xfId="8708"/>
    <cellStyle name="Comma 9 2 3 3" xfId="6704"/>
    <cellStyle name="Comma 9 2 3 3 2" xfId="9459"/>
    <cellStyle name="Comma 9 2 3 4" xfId="8092"/>
    <cellStyle name="Comma 9 2 4" xfId="4115"/>
    <cellStyle name="Comma 9 2 4 2" xfId="7283"/>
    <cellStyle name="Comma 9 2 4 2 2" xfId="10038"/>
    <cellStyle name="Comma 9 2 4 3" xfId="8676"/>
    <cellStyle name="Comma 9 2 5" xfId="6672"/>
    <cellStyle name="Comma 9 2 5 2" xfId="9427"/>
    <cellStyle name="Comma 9 2 6" xfId="8060"/>
    <cellStyle name="Comma 9 3" xfId="3472"/>
    <cellStyle name="Comma 9 3 2" xfId="4123"/>
    <cellStyle name="Comma 9 3 2 2" xfId="7291"/>
    <cellStyle name="Comma 9 3 2 2 2" xfId="10046"/>
    <cellStyle name="Comma 9 3 2 3" xfId="8684"/>
    <cellStyle name="Comma 9 3 3" xfId="6680"/>
    <cellStyle name="Comma 9 3 3 2" xfId="9435"/>
    <cellStyle name="Comma 9 3 4" xfId="8068"/>
    <cellStyle name="Comma 9 4" xfId="3488"/>
    <cellStyle name="Comma 9 4 2" xfId="4139"/>
    <cellStyle name="Comma 9 4 2 2" xfId="7307"/>
    <cellStyle name="Comma 9 4 2 2 2" xfId="10062"/>
    <cellStyle name="Comma 9 4 2 3" xfId="8700"/>
    <cellStyle name="Comma 9 4 3" xfId="6696"/>
    <cellStyle name="Comma 9 4 3 2" xfId="9451"/>
    <cellStyle name="Comma 9 4 4" xfId="8084"/>
    <cellStyle name="Comma 9 5" xfId="3516"/>
    <cellStyle name="Comma 9 5 2" xfId="4157"/>
    <cellStyle name="Comma 9 5 2 2" xfId="7325"/>
    <cellStyle name="Comma 9 5 2 2 2" xfId="10080"/>
    <cellStyle name="Comma 9 5 2 3" xfId="8718"/>
    <cellStyle name="Comma 9 5 3" xfId="6714"/>
    <cellStyle name="Comma 9 5 3 2" xfId="9469"/>
    <cellStyle name="Comma 9 5 4" xfId="8102"/>
    <cellStyle name="Comma 9 6" xfId="4107"/>
    <cellStyle name="Comma 9 6 2" xfId="7275"/>
    <cellStyle name="Comma 9 6 2 2" xfId="10030"/>
    <cellStyle name="Comma 9 6 3" xfId="8668"/>
    <cellStyle name="Comma 9 7" xfId="6663"/>
    <cellStyle name="Comma 9 7 2" xfId="9419"/>
    <cellStyle name="Comma 9 8" xfId="8049"/>
    <cellStyle name="Comma0 - Type3" xfId="58"/>
    <cellStyle name="CustomizationCells" xfId="59"/>
    <cellStyle name="CustomizationCells 2" xfId="7899"/>
    <cellStyle name="CustomizationCells 3" xfId="7950"/>
    <cellStyle name="CustomizationCells 4" xfId="10676"/>
    <cellStyle name="CustomizationCells 5" xfId="10666"/>
    <cellStyle name="Euro" xfId="60"/>
    <cellStyle name="Euro 10" xfId="61"/>
    <cellStyle name="Euro 10 2" xfId="62"/>
    <cellStyle name="Euro 10 2 2" xfId="2086"/>
    <cellStyle name="Euro 10 3" xfId="63"/>
    <cellStyle name="Euro 10 3 2" xfId="64"/>
    <cellStyle name="Euro 10 3 3" xfId="65"/>
    <cellStyle name="Euro 10 3 3 2" xfId="2088"/>
    <cellStyle name="Euro 10 3 4" xfId="2087"/>
    <cellStyle name="Euro 10 4" xfId="66"/>
    <cellStyle name="Euro 10 4 2" xfId="67"/>
    <cellStyle name="Euro 10 4 2 2" xfId="2090"/>
    <cellStyle name="Euro 10 4 3" xfId="2089"/>
    <cellStyle name="Euro 10 5" xfId="68"/>
    <cellStyle name="Euro 11" xfId="69"/>
    <cellStyle name="Euro 11 2" xfId="70"/>
    <cellStyle name="Euro 11 2 2" xfId="2091"/>
    <cellStyle name="Euro 11 3" xfId="71"/>
    <cellStyle name="Euro 11 3 2" xfId="72"/>
    <cellStyle name="Euro 11 3 3" xfId="73"/>
    <cellStyle name="Euro 11 3 3 2" xfId="2093"/>
    <cellStyle name="Euro 11 3 4" xfId="2092"/>
    <cellStyle name="Euro 11 4" xfId="74"/>
    <cellStyle name="Euro 11 4 2" xfId="75"/>
    <cellStyle name="Euro 11 4 2 2" xfId="2095"/>
    <cellStyle name="Euro 11 4 3" xfId="2094"/>
    <cellStyle name="Euro 11 5" xfId="76"/>
    <cellStyle name="Euro 12" xfId="77"/>
    <cellStyle name="Euro 12 2" xfId="78"/>
    <cellStyle name="Euro 12 2 2" xfId="2096"/>
    <cellStyle name="Euro 12 3" xfId="79"/>
    <cellStyle name="Euro 12 3 2" xfId="80"/>
    <cellStyle name="Euro 12 3 3" xfId="81"/>
    <cellStyle name="Euro 12 3 3 2" xfId="2098"/>
    <cellStyle name="Euro 12 3 4" xfId="2097"/>
    <cellStyle name="Euro 12 4" xfId="82"/>
    <cellStyle name="Euro 12 4 2" xfId="83"/>
    <cellStyle name="Euro 12 4 2 2" xfId="2100"/>
    <cellStyle name="Euro 12 4 3" xfId="2099"/>
    <cellStyle name="Euro 12 5" xfId="84"/>
    <cellStyle name="Euro 13" xfId="85"/>
    <cellStyle name="Euro 13 2" xfId="86"/>
    <cellStyle name="Euro 13 2 2" xfId="2101"/>
    <cellStyle name="Euro 13 3" xfId="87"/>
    <cellStyle name="Euro 13 3 2" xfId="88"/>
    <cellStyle name="Euro 13 3 3" xfId="89"/>
    <cellStyle name="Euro 13 3 3 2" xfId="2103"/>
    <cellStyle name="Euro 13 3 4" xfId="2102"/>
    <cellStyle name="Euro 13 4" xfId="90"/>
    <cellStyle name="Euro 13 4 2" xfId="91"/>
    <cellStyle name="Euro 13 4 2 2" xfId="2105"/>
    <cellStyle name="Euro 13 4 3" xfId="2104"/>
    <cellStyle name="Euro 13 5" xfId="92"/>
    <cellStyle name="Euro 14" xfId="93"/>
    <cellStyle name="Euro 14 2" xfId="94"/>
    <cellStyle name="Euro 14 2 2" xfId="2106"/>
    <cellStyle name="Euro 14 3" xfId="95"/>
    <cellStyle name="Euro 14 3 2" xfId="96"/>
    <cellStyle name="Euro 14 3 3" xfId="97"/>
    <cellStyle name="Euro 14 3 3 2" xfId="2108"/>
    <cellStyle name="Euro 14 3 4" xfId="2107"/>
    <cellStyle name="Euro 14 4" xfId="98"/>
    <cellStyle name="Euro 14 4 2" xfId="99"/>
    <cellStyle name="Euro 14 4 2 2" xfId="2110"/>
    <cellStyle name="Euro 14 4 3" xfId="2109"/>
    <cellStyle name="Euro 14 5" xfId="100"/>
    <cellStyle name="Euro 15" xfId="101"/>
    <cellStyle name="Euro 15 2" xfId="102"/>
    <cellStyle name="Euro 15 2 2" xfId="2111"/>
    <cellStyle name="Euro 15 3" xfId="103"/>
    <cellStyle name="Euro 15 3 2" xfId="104"/>
    <cellStyle name="Euro 15 3 3" xfId="105"/>
    <cellStyle name="Euro 15 3 3 2" xfId="2113"/>
    <cellStyle name="Euro 15 3 4" xfId="2112"/>
    <cellStyle name="Euro 15 4" xfId="106"/>
    <cellStyle name="Euro 15 4 2" xfId="107"/>
    <cellStyle name="Euro 15 4 2 2" xfId="2115"/>
    <cellStyle name="Euro 15 4 3" xfId="2114"/>
    <cellStyle name="Euro 15 5" xfId="108"/>
    <cellStyle name="Euro 16" xfId="109"/>
    <cellStyle name="Euro 16 2" xfId="110"/>
    <cellStyle name="Euro 16 2 2" xfId="2116"/>
    <cellStyle name="Euro 16 3" xfId="111"/>
    <cellStyle name="Euro 16 3 2" xfId="112"/>
    <cellStyle name="Euro 16 3 3" xfId="113"/>
    <cellStyle name="Euro 16 3 3 2" xfId="2118"/>
    <cellStyle name="Euro 16 3 4" xfId="2117"/>
    <cellStyle name="Euro 16 4" xfId="114"/>
    <cellStyle name="Euro 16 4 2" xfId="115"/>
    <cellStyle name="Euro 16 4 2 2" xfId="2120"/>
    <cellStyle name="Euro 16 4 3" xfId="2119"/>
    <cellStyle name="Euro 16 5" xfId="116"/>
    <cellStyle name="Euro 17" xfId="117"/>
    <cellStyle name="Euro 17 2" xfId="118"/>
    <cellStyle name="Euro 17 2 2" xfId="2121"/>
    <cellStyle name="Euro 17 3" xfId="119"/>
    <cellStyle name="Euro 17 3 2" xfId="120"/>
    <cellStyle name="Euro 17 3 3" xfId="121"/>
    <cellStyle name="Euro 17 3 3 2" xfId="2123"/>
    <cellStyle name="Euro 17 3 4" xfId="2122"/>
    <cellStyle name="Euro 17 4" xfId="122"/>
    <cellStyle name="Euro 17 4 2" xfId="123"/>
    <cellStyle name="Euro 17 4 2 2" xfId="2125"/>
    <cellStyle name="Euro 17 4 3" xfId="2124"/>
    <cellStyle name="Euro 17 5" xfId="124"/>
    <cellStyle name="Euro 18" xfId="125"/>
    <cellStyle name="Euro 18 2" xfId="126"/>
    <cellStyle name="Euro 18 2 2" xfId="2126"/>
    <cellStyle name="Euro 18 3" xfId="127"/>
    <cellStyle name="Euro 18 3 2" xfId="128"/>
    <cellStyle name="Euro 18 3 3" xfId="129"/>
    <cellStyle name="Euro 18 3 3 2" xfId="2128"/>
    <cellStyle name="Euro 18 3 4" xfId="2127"/>
    <cellStyle name="Euro 18 4" xfId="130"/>
    <cellStyle name="Euro 18 4 2" xfId="131"/>
    <cellStyle name="Euro 18 4 2 2" xfId="2130"/>
    <cellStyle name="Euro 18 4 3" xfId="2129"/>
    <cellStyle name="Euro 18 5" xfId="132"/>
    <cellStyle name="Euro 19" xfId="133"/>
    <cellStyle name="Euro 19 2" xfId="134"/>
    <cellStyle name="Euro 19 2 2" xfId="2131"/>
    <cellStyle name="Euro 19 3" xfId="135"/>
    <cellStyle name="Euro 19 3 2" xfId="136"/>
    <cellStyle name="Euro 19 3 3" xfId="137"/>
    <cellStyle name="Euro 19 3 3 2" xfId="2133"/>
    <cellStyle name="Euro 19 3 4" xfId="2132"/>
    <cellStyle name="Euro 19 4" xfId="138"/>
    <cellStyle name="Euro 19 4 2" xfId="139"/>
    <cellStyle name="Euro 19 4 2 2" xfId="2135"/>
    <cellStyle name="Euro 19 4 3" xfId="2134"/>
    <cellStyle name="Euro 19 5" xfId="140"/>
    <cellStyle name="Euro 2" xfId="141"/>
    <cellStyle name="Euro 2 2" xfId="142"/>
    <cellStyle name="Euro 2 2 2" xfId="2136"/>
    <cellStyle name="Euro 2 3" xfId="143"/>
    <cellStyle name="Euro 2 3 2" xfId="144"/>
    <cellStyle name="Euro 2 3 3" xfId="145"/>
    <cellStyle name="Euro 2 3 3 2" xfId="2138"/>
    <cellStyle name="Euro 2 3 4" xfId="2137"/>
    <cellStyle name="Euro 2 4" xfId="146"/>
    <cellStyle name="Euro 2 4 2" xfId="147"/>
    <cellStyle name="Euro 2 4 2 2" xfId="2140"/>
    <cellStyle name="Euro 2 4 3" xfId="2139"/>
    <cellStyle name="Euro 2 5" xfId="148"/>
    <cellStyle name="Euro 20" xfId="149"/>
    <cellStyle name="Euro 20 2" xfId="150"/>
    <cellStyle name="Euro 20 2 2" xfId="2141"/>
    <cellStyle name="Euro 20 3" xfId="151"/>
    <cellStyle name="Euro 20 3 2" xfId="152"/>
    <cellStyle name="Euro 20 3 3" xfId="153"/>
    <cellStyle name="Euro 20 3 3 2" xfId="2143"/>
    <cellStyle name="Euro 20 3 4" xfId="2142"/>
    <cellStyle name="Euro 20 4" xfId="154"/>
    <cellStyle name="Euro 20 4 2" xfId="155"/>
    <cellStyle name="Euro 20 4 2 2" xfId="2145"/>
    <cellStyle name="Euro 20 4 3" xfId="2144"/>
    <cellStyle name="Euro 20 5" xfId="156"/>
    <cellStyle name="Euro 21" xfId="157"/>
    <cellStyle name="Euro 21 2" xfId="158"/>
    <cellStyle name="Euro 21 2 2" xfId="2146"/>
    <cellStyle name="Euro 21 3" xfId="159"/>
    <cellStyle name="Euro 21 3 2" xfId="160"/>
    <cellStyle name="Euro 21 3 3" xfId="161"/>
    <cellStyle name="Euro 21 3 3 2" xfId="2148"/>
    <cellStyle name="Euro 21 3 4" xfId="2147"/>
    <cellStyle name="Euro 21 4" xfId="162"/>
    <cellStyle name="Euro 21 4 2" xfId="163"/>
    <cellStyle name="Euro 21 4 2 2" xfId="2150"/>
    <cellStyle name="Euro 21 4 3" xfId="2149"/>
    <cellStyle name="Euro 21 5" xfId="164"/>
    <cellStyle name="Euro 22" xfId="165"/>
    <cellStyle name="Euro 22 2" xfId="166"/>
    <cellStyle name="Euro 22 2 2" xfId="2151"/>
    <cellStyle name="Euro 22 3" xfId="167"/>
    <cellStyle name="Euro 22 3 2" xfId="168"/>
    <cellStyle name="Euro 22 3 3" xfId="169"/>
    <cellStyle name="Euro 22 3 3 2" xfId="2153"/>
    <cellStyle name="Euro 22 3 4" xfId="2152"/>
    <cellStyle name="Euro 22 4" xfId="170"/>
    <cellStyle name="Euro 22 4 2" xfId="171"/>
    <cellStyle name="Euro 22 4 2 2" xfId="2155"/>
    <cellStyle name="Euro 22 4 3" xfId="2154"/>
    <cellStyle name="Euro 22 5" xfId="172"/>
    <cellStyle name="Euro 23" xfId="173"/>
    <cellStyle name="Euro 23 2" xfId="174"/>
    <cellStyle name="Euro 23 2 2" xfId="2156"/>
    <cellStyle name="Euro 23 3" xfId="175"/>
    <cellStyle name="Euro 23 3 2" xfId="176"/>
    <cellStyle name="Euro 23 3 3" xfId="177"/>
    <cellStyle name="Euro 23 3 3 2" xfId="2158"/>
    <cellStyle name="Euro 23 3 4" xfId="2157"/>
    <cellStyle name="Euro 23 4" xfId="178"/>
    <cellStyle name="Euro 23 4 2" xfId="179"/>
    <cellStyle name="Euro 23 4 2 2" xfId="2160"/>
    <cellStyle name="Euro 23 4 3" xfId="2159"/>
    <cellStyle name="Euro 23 5" xfId="180"/>
    <cellStyle name="Euro 24" xfId="181"/>
    <cellStyle name="Euro 24 2" xfId="182"/>
    <cellStyle name="Euro 24 2 2" xfId="2161"/>
    <cellStyle name="Euro 24 3" xfId="183"/>
    <cellStyle name="Euro 24 3 2" xfId="184"/>
    <cellStyle name="Euro 24 3 3" xfId="185"/>
    <cellStyle name="Euro 24 3 3 2" xfId="2163"/>
    <cellStyle name="Euro 24 3 4" xfId="2162"/>
    <cellStyle name="Euro 24 4" xfId="186"/>
    <cellStyle name="Euro 24 4 2" xfId="187"/>
    <cellStyle name="Euro 24 4 2 2" xfId="2165"/>
    <cellStyle name="Euro 24 4 3" xfId="2164"/>
    <cellStyle name="Euro 24 5" xfId="188"/>
    <cellStyle name="Euro 25" xfId="189"/>
    <cellStyle name="Euro 25 2" xfId="190"/>
    <cellStyle name="Euro 25 2 2" xfId="2166"/>
    <cellStyle name="Euro 25 3" xfId="191"/>
    <cellStyle name="Euro 25 3 2" xfId="192"/>
    <cellStyle name="Euro 25 3 3" xfId="193"/>
    <cellStyle name="Euro 25 3 3 2" xfId="2168"/>
    <cellStyle name="Euro 25 3 4" xfId="2167"/>
    <cellStyle name="Euro 25 4" xfId="194"/>
    <cellStyle name="Euro 25 4 2" xfId="195"/>
    <cellStyle name="Euro 25 4 2 2" xfId="2170"/>
    <cellStyle name="Euro 25 4 3" xfId="2169"/>
    <cellStyle name="Euro 25 5" xfId="196"/>
    <cellStyle name="Euro 26" xfId="197"/>
    <cellStyle name="Euro 26 2" xfId="198"/>
    <cellStyle name="Euro 26 2 2" xfId="2171"/>
    <cellStyle name="Euro 26 3" xfId="199"/>
    <cellStyle name="Euro 26 3 2" xfId="200"/>
    <cellStyle name="Euro 26 3 3" xfId="201"/>
    <cellStyle name="Euro 26 3 3 2" xfId="2173"/>
    <cellStyle name="Euro 26 3 4" xfId="2172"/>
    <cellStyle name="Euro 26 4" xfId="202"/>
    <cellStyle name="Euro 26 4 2" xfId="203"/>
    <cellStyle name="Euro 26 4 2 2" xfId="2175"/>
    <cellStyle name="Euro 26 4 3" xfId="2174"/>
    <cellStyle name="Euro 26 5" xfId="204"/>
    <cellStyle name="Euro 27" xfId="205"/>
    <cellStyle name="Euro 27 2" xfId="206"/>
    <cellStyle name="Euro 27 2 2" xfId="2176"/>
    <cellStyle name="Euro 27 3" xfId="207"/>
    <cellStyle name="Euro 27 3 2" xfId="208"/>
    <cellStyle name="Euro 27 3 3" xfId="209"/>
    <cellStyle name="Euro 27 3 3 2" xfId="2178"/>
    <cellStyle name="Euro 27 3 4" xfId="2177"/>
    <cellStyle name="Euro 27 4" xfId="210"/>
    <cellStyle name="Euro 27 4 2" xfId="211"/>
    <cellStyle name="Euro 27 4 2 2" xfId="2180"/>
    <cellStyle name="Euro 27 4 3" xfId="2179"/>
    <cellStyle name="Euro 27 5" xfId="212"/>
    <cellStyle name="Euro 28" xfId="213"/>
    <cellStyle name="Euro 28 2" xfId="214"/>
    <cellStyle name="Euro 28 2 2" xfId="2181"/>
    <cellStyle name="Euro 28 3" xfId="215"/>
    <cellStyle name="Euro 28 3 2" xfId="216"/>
    <cellStyle name="Euro 28 3 3" xfId="217"/>
    <cellStyle name="Euro 28 3 3 2" xfId="2183"/>
    <cellStyle name="Euro 28 3 4" xfId="2182"/>
    <cellStyle name="Euro 28 4" xfId="218"/>
    <cellStyle name="Euro 28 4 2" xfId="219"/>
    <cellStyle name="Euro 28 4 2 2" xfId="2185"/>
    <cellStyle name="Euro 28 4 3" xfId="2184"/>
    <cellStyle name="Euro 28 5" xfId="220"/>
    <cellStyle name="Euro 29" xfId="221"/>
    <cellStyle name="Euro 29 2" xfId="222"/>
    <cellStyle name="Euro 29 2 2" xfId="2186"/>
    <cellStyle name="Euro 29 3" xfId="223"/>
    <cellStyle name="Euro 29 3 2" xfId="224"/>
    <cellStyle name="Euro 29 3 3" xfId="225"/>
    <cellStyle name="Euro 29 3 3 2" xfId="2188"/>
    <cellStyle name="Euro 29 3 4" xfId="2187"/>
    <cellStyle name="Euro 29 4" xfId="226"/>
    <cellStyle name="Euro 29 4 2" xfId="227"/>
    <cellStyle name="Euro 29 4 2 2" xfId="2190"/>
    <cellStyle name="Euro 29 4 3" xfId="2189"/>
    <cellStyle name="Euro 29 5" xfId="228"/>
    <cellStyle name="Euro 3" xfId="229"/>
    <cellStyle name="Euro 3 2" xfId="230"/>
    <cellStyle name="Euro 3 2 2" xfId="2191"/>
    <cellStyle name="Euro 3 3" xfId="231"/>
    <cellStyle name="Euro 3 3 2" xfId="232"/>
    <cellStyle name="Euro 3 3 3" xfId="233"/>
    <cellStyle name="Euro 3 3 3 2" xfId="2193"/>
    <cellStyle name="Euro 3 3 4" xfId="2192"/>
    <cellStyle name="Euro 3 4" xfId="234"/>
    <cellStyle name="Euro 3 4 2" xfId="235"/>
    <cellStyle name="Euro 3 4 2 2" xfId="2195"/>
    <cellStyle name="Euro 3 4 3" xfId="2194"/>
    <cellStyle name="Euro 3 5" xfId="236"/>
    <cellStyle name="Euro 30" xfId="237"/>
    <cellStyle name="Euro 30 2" xfId="238"/>
    <cellStyle name="Euro 30 2 2" xfId="2196"/>
    <cellStyle name="Euro 30 3" xfId="239"/>
    <cellStyle name="Euro 30 3 2" xfId="240"/>
    <cellStyle name="Euro 30 3 3" xfId="241"/>
    <cellStyle name="Euro 30 3 3 2" xfId="2198"/>
    <cellStyle name="Euro 30 3 4" xfId="2197"/>
    <cellStyle name="Euro 30 4" xfId="242"/>
    <cellStyle name="Euro 30 4 2" xfId="243"/>
    <cellStyle name="Euro 30 4 2 2" xfId="2200"/>
    <cellStyle name="Euro 30 4 3" xfId="2199"/>
    <cellStyle name="Euro 30 5" xfId="244"/>
    <cellStyle name="Euro 31" xfId="245"/>
    <cellStyle name="Euro 31 2" xfId="246"/>
    <cellStyle name="Euro 31 2 2" xfId="2201"/>
    <cellStyle name="Euro 31 3" xfId="247"/>
    <cellStyle name="Euro 31 3 2" xfId="248"/>
    <cellStyle name="Euro 31 3 3" xfId="249"/>
    <cellStyle name="Euro 31 3 3 2" xfId="2203"/>
    <cellStyle name="Euro 31 3 4" xfId="2202"/>
    <cellStyle name="Euro 31 4" xfId="250"/>
    <cellStyle name="Euro 31 4 2" xfId="251"/>
    <cellStyle name="Euro 31 4 2 2" xfId="2205"/>
    <cellStyle name="Euro 31 4 3" xfId="2204"/>
    <cellStyle name="Euro 31 5" xfId="252"/>
    <cellStyle name="Euro 32" xfId="253"/>
    <cellStyle name="Euro 32 2" xfId="254"/>
    <cellStyle name="Euro 32 2 2" xfId="2206"/>
    <cellStyle name="Euro 32 3" xfId="255"/>
    <cellStyle name="Euro 32 3 2" xfId="256"/>
    <cellStyle name="Euro 32 3 3" xfId="257"/>
    <cellStyle name="Euro 32 3 3 2" xfId="2208"/>
    <cellStyle name="Euro 32 3 4" xfId="2207"/>
    <cellStyle name="Euro 32 4" xfId="258"/>
    <cellStyle name="Euro 32 4 2" xfId="259"/>
    <cellStyle name="Euro 32 4 2 2" xfId="2210"/>
    <cellStyle name="Euro 32 4 3" xfId="2209"/>
    <cellStyle name="Euro 32 5" xfId="260"/>
    <cellStyle name="Euro 33" xfId="261"/>
    <cellStyle name="Euro 33 2" xfId="262"/>
    <cellStyle name="Euro 33 2 2" xfId="2211"/>
    <cellStyle name="Euro 33 3" xfId="263"/>
    <cellStyle name="Euro 33 3 2" xfId="264"/>
    <cellStyle name="Euro 33 3 3" xfId="265"/>
    <cellStyle name="Euro 33 3 3 2" xfId="2213"/>
    <cellStyle name="Euro 33 3 4" xfId="2212"/>
    <cellStyle name="Euro 33 4" xfId="266"/>
    <cellStyle name="Euro 33 4 2" xfId="267"/>
    <cellStyle name="Euro 33 4 2 2" xfId="2215"/>
    <cellStyle name="Euro 33 4 3" xfId="2214"/>
    <cellStyle name="Euro 33 5" xfId="268"/>
    <cellStyle name="Euro 34" xfId="269"/>
    <cellStyle name="Euro 34 2" xfId="270"/>
    <cellStyle name="Euro 34 2 2" xfId="2216"/>
    <cellStyle name="Euro 34 3" xfId="271"/>
    <cellStyle name="Euro 34 3 2" xfId="272"/>
    <cellStyle name="Euro 34 3 3" xfId="273"/>
    <cellStyle name="Euro 34 3 3 2" xfId="2218"/>
    <cellStyle name="Euro 34 3 4" xfId="2217"/>
    <cellStyle name="Euro 34 4" xfId="274"/>
    <cellStyle name="Euro 34 4 2" xfId="275"/>
    <cellStyle name="Euro 34 4 2 2" xfId="2220"/>
    <cellStyle name="Euro 34 4 3" xfId="2219"/>
    <cellStyle name="Euro 34 5" xfId="276"/>
    <cellStyle name="Euro 35" xfId="277"/>
    <cellStyle name="Euro 35 2" xfId="278"/>
    <cellStyle name="Euro 35 2 2" xfId="2221"/>
    <cellStyle name="Euro 35 3" xfId="279"/>
    <cellStyle name="Euro 35 3 2" xfId="280"/>
    <cellStyle name="Euro 35 3 3" xfId="281"/>
    <cellStyle name="Euro 35 3 3 2" xfId="2223"/>
    <cellStyle name="Euro 35 3 4" xfId="2222"/>
    <cellStyle name="Euro 35 4" xfId="282"/>
    <cellStyle name="Euro 35 4 2" xfId="283"/>
    <cellStyle name="Euro 35 4 2 2" xfId="2225"/>
    <cellStyle name="Euro 35 4 3" xfId="2224"/>
    <cellStyle name="Euro 35 5" xfId="284"/>
    <cellStyle name="Euro 36" xfId="285"/>
    <cellStyle name="Euro 36 2" xfId="286"/>
    <cellStyle name="Euro 36 2 2" xfId="2226"/>
    <cellStyle name="Euro 36 3" xfId="287"/>
    <cellStyle name="Euro 36 3 2" xfId="288"/>
    <cellStyle name="Euro 36 3 3" xfId="289"/>
    <cellStyle name="Euro 36 3 3 2" xfId="2228"/>
    <cellStyle name="Euro 36 3 4" xfId="2227"/>
    <cellStyle name="Euro 36 4" xfId="290"/>
    <cellStyle name="Euro 36 4 2" xfId="291"/>
    <cellStyle name="Euro 36 4 2 2" xfId="2230"/>
    <cellStyle name="Euro 36 4 3" xfId="2229"/>
    <cellStyle name="Euro 36 5" xfId="292"/>
    <cellStyle name="Euro 37" xfId="293"/>
    <cellStyle name="Euro 37 2" xfId="294"/>
    <cellStyle name="Euro 37 2 2" xfId="2231"/>
    <cellStyle name="Euro 37 3" xfId="295"/>
    <cellStyle name="Euro 37 3 2" xfId="296"/>
    <cellStyle name="Euro 37 3 3" xfId="297"/>
    <cellStyle name="Euro 37 3 3 2" xfId="2233"/>
    <cellStyle name="Euro 37 3 4" xfId="2232"/>
    <cellStyle name="Euro 37 4" xfId="298"/>
    <cellStyle name="Euro 37 4 2" xfId="299"/>
    <cellStyle name="Euro 37 4 2 2" xfId="2235"/>
    <cellStyle name="Euro 37 4 3" xfId="2234"/>
    <cellStyle name="Euro 37 5" xfId="300"/>
    <cellStyle name="Euro 38" xfId="301"/>
    <cellStyle name="Euro 38 2" xfId="302"/>
    <cellStyle name="Euro 38 2 2" xfId="2236"/>
    <cellStyle name="Euro 38 3" xfId="303"/>
    <cellStyle name="Euro 38 3 2" xfId="304"/>
    <cellStyle name="Euro 38 3 3" xfId="305"/>
    <cellStyle name="Euro 38 3 3 2" xfId="2238"/>
    <cellStyle name="Euro 38 3 4" xfId="2237"/>
    <cellStyle name="Euro 38 4" xfId="306"/>
    <cellStyle name="Euro 38 4 2" xfId="307"/>
    <cellStyle name="Euro 38 4 2 2" xfId="2240"/>
    <cellStyle name="Euro 38 4 3" xfId="2239"/>
    <cellStyle name="Euro 38 5" xfId="308"/>
    <cellStyle name="Euro 39" xfId="309"/>
    <cellStyle name="Euro 39 2" xfId="310"/>
    <cellStyle name="Euro 39 2 2" xfId="2241"/>
    <cellStyle name="Euro 39 3" xfId="311"/>
    <cellStyle name="Euro 39 3 2" xfId="312"/>
    <cellStyle name="Euro 39 3 3" xfId="313"/>
    <cellStyle name="Euro 39 3 3 2" xfId="2243"/>
    <cellStyle name="Euro 39 3 4" xfId="2242"/>
    <cellStyle name="Euro 39 4" xfId="314"/>
    <cellStyle name="Euro 39 4 2" xfId="315"/>
    <cellStyle name="Euro 39 4 2 2" xfId="2245"/>
    <cellStyle name="Euro 39 4 3" xfId="2244"/>
    <cellStyle name="Euro 39 5" xfId="316"/>
    <cellStyle name="Euro 4" xfId="317"/>
    <cellStyle name="Euro 4 2" xfId="318"/>
    <cellStyle name="Euro 4 2 2" xfId="2246"/>
    <cellStyle name="Euro 4 3" xfId="319"/>
    <cellStyle name="Euro 4 3 2" xfId="320"/>
    <cellStyle name="Euro 4 3 3" xfId="321"/>
    <cellStyle name="Euro 4 3 3 2" xfId="2248"/>
    <cellStyle name="Euro 4 3 4" xfId="2247"/>
    <cellStyle name="Euro 4 4" xfId="322"/>
    <cellStyle name="Euro 4 4 2" xfId="323"/>
    <cellStyle name="Euro 4 4 2 2" xfId="2250"/>
    <cellStyle name="Euro 4 4 3" xfId="2249"/>
    <cellStyle name="Euro 4 5" xfId="324"/>
    <cellStyle name="Euro 40" xfId="325"/>
    <cellStyle name="Euro 40 2" xfId="326"/>
    <cellStyle name="Euro 40 2 2" xfId="2251"/>
    <cellStyle name="Euro 40 3" xfId="327"/>
    <cellStyle name="Euro 40 3 2" xfId="328"/>
    <cellStyle name="Euro 40 3 3" xfId="329"/>
    <cellStyle name="Euro 40 3 3 2" xfId="2253"/>
    <cellStyle name="Euro 40 3 4" xfId="2252"/>
    <cellStyle name="Euro 40 4" xfId="330"/>
    <cellStyle name="Euro 40 4 2" xfId="331"/>
    <cellStyle name="Euro 40 4 2 2" xfId="2255"/>
    <cellStyle name="Euro 40 4 3" xfId="2254"/>
    <cellStyle name="Euro 40 5" xfId="332"/>
    <cellStyle name="Euro 41" xfId="333"/>
    <cellStyle name="Euro 41 2" xfId="334"/>
    <cellStyle name="Euro 41 2 2" xfId="2256"/>
    <cellStyle name="Euro 41 3" xfId="335"/>
    <cellStyle name="Euro 41 3 2" xfId="336"/>
    <cellStyle name="Euro 41 3 3" xfId="337"/>
    <cellStyle name="Euro 41 3 3 2" xfId="2258"/>
    <cellStyle name="Euro 41 3 4" xfId="2257"/>
    <cellStyle name="Euro 41 4" xfId="338"/>
    <cellStyle name="Euro 41 4 2" xfId="339"/>
    <cellStyle name="Euro 41 4 2 2" xfId="2260"/>
    <cellStyle name="Euro 41 4 3" xfId="2259"/>
    <cellStyle name="Euro 41 5" xfId="340"/>
    <cellStyle name="Euro 42" xfId="341"/>
    <cellStyle name="Euro 42 2" xfId="342"/>
    <cellStyle name="Euro 42 2 2" xfId="2261"/>
    <cellStyle name="Euro 42 3" xfId="343"/>
    <cellStyle name="Euro 42 3 2" xfId="344"/>
    <cellStyle name="Euro 42 3 3" xfId="345"/>
    <cellStyle name="Euro 42 3 3 2" xfId="2263"/>
    <cellStyle name="Euro 42 3 4" xfId="2262"/>
    <cellStyle name="Euro 42 4" xfId="346"/>
    <cellStyle name="Euro 42 4 2" xfId="347"/>
    <cellStyle name="Euro 42 4 2 2" xfId="2265"/>
    <cellStyle name="Euro 42 4 3" xfId="2264"/>
    <cellStyle name="Euro 42 5" xfId="348"/>
    <cellStyle name="Euro 43" xfId="349"/>
    <cellStyle name="Euro 43 2" xfId="350"/>
    <cellStyle name="Euro 43 2 2" xfId="2266"/>
    <cellStyle name="Euro 43 3" xfId="351"/>
    <cellStyle name="Euro 43 3 2" xfId="352"/>
    <cellStyle name="Euro 43 3 3" xfId="353"/>
    <cellStyle name="Euro 43 3 3 2" xfId="2268"/>
    <cellStyle name="Euro 43 3 4" xfId="2267"/>
    <cellStyle name="Euro 43 4" xfId="354"/>
    <cellStyle name="Euro 43 4 2" xfId="355"/>
    <cellStyle name="Euro 43 4 2 2" xfId="2270"/>
    <cellStyle name="Euro 43 4 3" xfId="2269"/>
    <cellStyle name="Euro 43 5" xfId="356"/>
    <cellStyle name="Euro 44" xfId="357"/>
    <cellStyle name="Euro 44 2" xfId="358"/>
    <cellStyle name="Euro 44 2 2" xfId="2271"/>
    <cellStyle name="Euro 44 3" xfId="359"/>
    <cellStyle name="Euro 44 3 2" xfId="360"/>
    <cellStyle name="Euro 44 3 3" xfId="361"/>
    <cellStyle name="Euro 44 3 3 2" xfId="2273"/>
    <cellStyle name="Euro 44 3 4" xfId="2272"/>
    <cellStyle name="Euro 44 4" xfId="362"/>
    <cellStyle name="Euro 44 4 2" xfId="363"/>
    <cellStyle name="Euro 44 4 2 2" xfId="2275"/>
    <cellStyle name="Euro 44 4 3" xfId="2274"/>
    <cellStyle name="Euro 44 5" xfId="364"/>
    <cellStyle name="Euro 45" xfId="365"/>
    <cellStyle name="Euro 45 2" xfId="366"/>
    <cellStyle name="Euro 45 2 2" xfId="2277"/>
    <cellStyle name="Euro 45 3" xfId="2276"/>
    <cellStyle name="Euro 45 4" xfId="4933"/>
    <cellStyle name="Euro 46" xfId="367"/>
    <cellStyle name="Euro 46 2" xfId="2278"/>
    <cellStyle name="Euro 47" xfId="368"/>
    <cellStyle name="Euro 47 2" xfId="369"/>
    <cellStyle name="Euro 47 3" xfId="370"/>
    <cellStyle name="Euro 47 3 2" xfId="2280"/>
    <cellStyle name="Euro 47 4" xfId="2279"/>
    <cellStyle name="Euro 48" xfId="371"/>
    <cellStyle name="Euro 48 2" xfId="2281"/>
    <cellStyle name="Euro 49" xfId="372"/>
    <cellStyle name="Euro 49 2" xfId="373"/>
    <cellStyle name="Euro 49 2 2" xfId="2283"/>
    <cellStyle name="Euro 49 3" xfId="2282"/>
    <cellStyle name="Euro 5" xfId="374"/>
    <cellStyle name="Euro 5 2" xfId="375"/>
    <cellStyle name="Euro 5 2 2" xfId="2284"/>
    <cellStyle name="Euro 5 3" xfId="376"/>
    <cellStyle name="Euro 5 3 2" xfId="377"/>
    <cellStyle name="Euro 5 3 3" xfId="378"/>
    <cellStyle name="Euro 5 3 3 2" xfId="2286"/>
    <cellStyle name="Euro 5 3 4" xfId="2285"/>
    <cellStyle name="Euro 5 4" xfId="379"/>
    <cellStyle name="Euro 5 4 2" xfId="380"/>
    <cellStyle name="Euro 5 4 2 2" xfId="2288"/>
    <cellStyle name="Euro 5 4 3" xfId="2287"/>
    <cellStyle name="Euro 5 5" xfId="381"/>
    <cellStyle name="Euro 50" xfId="382"/>
    <cellStyle name="Euro 51" xfId="383"/>
    <cellStyle name="Euro 51 2" xfId="2289"/>
    <cellStyle name="Euro 6" xfId="384"/>
    <cellStyle name="Euro 6 2" xfId="385"/>
    <cellStyle name="Euro 6 2 2" xfId="2290"/>
    <cellStyle name="Euro 6 3" xfId="386"/>
    <cellStyle name="Euro 6 3 2" xfId="387"/>
    <cellStyle name="Euro 6 3 3" xfId="388"/>
    <cellStyle name="Euro 6 3 3 2" xfId="2292"/>
    <cellStyle name="Euro 6 3 4" xfId="2291"/>
    <cellStyle name="Euro 6 4" xfId="389"/>
    <cellStyle name="Euro 6 4 2" xfId="390"/>
    <cellStyle name="Euro 6 4 2 2" xfId="2294"/>
    <cellStyle name="Euro 6 4 3" xfId="2293"/>
    <cellStyle name="Euro 6 5" xfId="391"/>
    <cellStyle name="Euro 7" xfId="392"/>
    <cellStyle name="Euro 7 2" xfId="393"/>
    <cellStyle name="Euro 7 2 2" xfId="2295"/>
    <cellStyle name="Euro 7 3" xfId="394"/>
    <cellStyle name="Euro 7 3 2" xfId="395"/>
    <cellStyle name="Euro 7 3 3" xfId="396"/>
    <cellStyle name="Euro 7 3 3 2" xfId="2297"/>
    <cellStyle name="Euro 7 3 4" xfId="2296"/>
    <cellStyle name="Euro 7 4" xfId="397"/>
    <cellStyle name="Euro 7 4 2" xfId="398"/>
    <cellStyle name="Euro 7 4 2 2" xfId="2299"/>
    <cellStyle name="Euro 7 4 3" xfId="2298"/>
    <cellStyle name="Euro 7 5" xfId="399"/>
    <cellStyle name="Euro 8" xfId="400"/>
    <cellStyle name="Euro 8 2" xfId="401"/>
    <cellStyle name="Euro 8 2 2" xfId="2300"/>
    <cellStyle name="Euro 8 3" xfId="402"/>
    <cellStyle name="Euro 8 3 2" xfId="403"/>
    <cellStyle name="Euro 8 3 3" xfId="404"/>
    <cellStyle name="Euro 8 3 3 2" xfId="2302"/>
    <cellStyle name="Euro 8 3 4" xfId="2301"/>
    <cellStyle name="Euro 8 4" xfId="405"/>
    <cellStyle name="Euro 8 4 2" xfId="406"/>
    <cellStyle name="Euro 8 4 2 2" xfId="2304"/>
    <cellStyle name="Euro 8 4 3" xfId="2303"/>
    <cellStyle name="Euro 8 5" xfId="407"/>
    <cellStyle name="Euro 9" xfId="408"/>
    <cellStyle name="Euro 9 2" xfId="409"/>
    <cellStyle name="Euro 9 2 2" xfId="2305"/>
    <cellStyle name="Euro 9 3" xfId="410"/>
    <cellStyle name="Euro 9 3 2" xfId="411"/>
    <cellStyle name="Euro 9 3 3" xfId="412"/>
    <cellStyle name="Euro 9 3 3 2" xfId="2307"/>
    <cellStyle name="Euro 9 3 4" xfId="2306"/>
    <cellStyle name="Euro 9 4" xfId="413"/>
    <cellStyle name="Euro 9 4 2" xfId="414"/>
    <cellStyle name="Euro 9 4 2 2" xfId="2309"/>
    <cellStyle name="Euro 9 4 3" xfId="2308"/>
    <cellStyle name="Euro 9 5" xfId="415"/>
    <cellStyle name="Explanatory Text 2" xfId="3437"/>
    <cellStyle name="Fixed2 - Type2" xfId="416"/>
    <cellStyle name="Forklarende tekst" xfId="3336" builtinId="53" customBuiltin="1"/>
    <cellStyle name="God" xfId="417" builtinId="26" customBuiltin="1"/>
    <cellStyle name="Good 2" xfId="3438"/>
    <cellStyle name="Heading 1 2" xfId="3439"/>
    <cellStyle name="Heading 2 2" xfId="3440"/>
    <cellStyle name="Heading 3 2" xfId="3441"/>
    <cellStyle name="Heading 3 2 2" xfId="8050"/>
    <cellStyle name="Heading 4 2" xfId="3442"/>
    <cellStyle name="Hyperlink 2" xfId="421"/>
    <cellStyle name="Hyperlink 2 2" xfId="3443"/>
    <cellStyle name="Hyperlink 3" xfId="3444"/>
    <cellStyle name="Input" xfId="422" builtinId="20" customBuiltin="1"/>
    <cellStyle name="Input 2" xfId="423"/>
    <cellStyle name="Input 2 2" xfId="3521"/>
    <cellStyle name="Input 2 2 2" xfId="8105"/>
    <cellStyle name="Input 2 2 3" xfId="9317"/>
    <cellStyle name="Input 2 2 4" xfId="9331"/>
    <cellStyle name="Input 2 2 5" xfId="9305"/>
    <cellStyle name="Input 2 2 6" xfId="10675"/>
    <cellStyle name="Input 2 3" xfId="7906"/>
    <cellStyle name="Input 2 4" xfId="7946"/>
    <cellStyle name="Input 2 5" xfId="7909"/>
    <cellStyle name="Input 2 6" xfId="7988"/>
    <cellStyle name="Input 2 7" xfId="7914"/>
    <cellStyle name="Input 3" xfId="424"/>
    <cellStyle name="Input 4" xfId="7905"/>
    <cellStyle name="Input 5" xfId="7947"/>
    <cellStyle name="Input 6" xfId="7961"/>
    <cellStyle name="Input 7" xfId="7945"/>
    <cellStyle name="Input 8" xfId="9335"/>
    <cellStyle name="InputCells" xfId="425"/>
    <cellStyle name="Komma 10" xfId="3501"/>
    <cellStyle name="Komma 10 2" xfId="4151"/>
    <cellStyle name="Komma 10 2 2" xfId="7319"/>
    <cellStyle name="Komma 10 2 2 2" xfId="10074"/>
    <cellStyle name="Komma 10 2 3" xfId="8712"/>
    <cellStyle name="Komma 10 3" xfId="6708"/>
    <cellStyle name="Komma 10 3 2" xfId="9463"/>
    <cellStyle name="Komma 10 4" xfId="8096"/>
    <cellStyle name="Komma 11" xfId="3370"/>
    <cellStyle name="Komma 2" xfId="426"/>
    <cellStyle name="Komma 2 2" xfId="427"/>
    <cellStyle name="Komma 2 2 2" xfId="3283"/>
    <cellStyle name="Komma 2 2 3" xfId="3504"/>
    <cellStyle name="Komma 2 3" xfId="3315"/>
    <cellStyle name="Komma 2 3 2" xfId="3629"/>
    <cellStyle name="Komma 2 3 3" xfId="4934"/>
    <cellStyle name="Komma 2 3 4" xfId="6624"/>
    <cellStyle name="Komma 2 3 4 2" xfId="9388"/>
    <cellStyle name="Komma 2 3 5" xfId="8017"/>
    <cellStyle name="Komma 2 4" xfId="3282"/>
    <cellStyle name="Komma 2 4 2" xfId="4154"/>
    <cellStyle name="Komma 2 4 2 2" xfId="7322"/>
    <cellStyle name="Komma 2 4 2 2 2" xfId="10077"/>
    <cellStyle name="Komma 2 4 2 3" xfId="8715"/>
    <cellStyle name="Komma 2 4 3" xfId="3513"/>
    <cellStyle name="Komma 2 4 3 2" xfId="6711"/>
    <cellStyle name="Komma 2 4 3 2 2" xfId="9466"/>
    <cellStyle name="Komma 2 4 3 3" xfId="8099"/>
    <cellStyle name="Komma 2 5" xfId="3388"/>
    <cellStyle name="Komma 2 6" xfId="4863"/>
    <cellStyle name="Komma 2 6 2" xfId="9296"/>
    <cellStyle name="Komma 3" xfId="428"/>
    <cellStyle name="Komma 3 10" xfId="3386"/>
    <cellStyle name="Komma 3 10 2" xfId="6654"/>
    <cellStyle name="Komma 3 10 2 2" xfId="9417"/>
    <cellStyle name="Komma 3 10 3" xfId="8046"/>
    <cellStyle name="Komma 3 11" xfId="4864"/>
    <cellStyle name="Komma 3 12" xfId="5682"/>
    <cellStyle name="Komma 3 2" xfId="429"/>
    <cellStyle name="Komma 3 2 2" xfId="3478"/>
    <cellStyle name="Komma 3 2 2 2" xfId="3632"/>
    <cellStyle name="Komma 3 2 2 2 2" xfId="4269"/>
    <cellStyle name="Komma 3 2 2 2 2 2" xfId="7437"/>
    <cellStyle name="Komma 3 2 2 2 2 2 2" xfId="10192"/>
    <cellStyle name="Komma 3 2 2 2 2 3" xfId="8830"/>
    <cellStyle name="Komma 3 2 2 2 3" xfId="6814"/>
    <cellStyle name="Komma 3 2 2 2 3 2" xfId="9569"/>
    <cellStyle name="Komma 3 2 2 2 4" xfId="8207"/>
    <cellStyle name="Komma 3 2 2 3" xfId="4129"/>
    <cellStyle name="Komma 3 2 2 3 2" xfId="7297"/>
    <cellStyle name="Komma 3 2 2 3 2 2" xfId="10052"/>
    <cellStyle name="Komma 3 2 2 3 3" xfId="8690"/>
    <cellStyle name="Komma 3 2 2 4" xfId="6686"/>
    <cellStyle name="Komma 3 2 2 4 2" xfId="9441"/>
    <cellStyle name="Komma 3 2 2 5" xfId="8074"/>
    <cellStyle name="Komma 3 2 3" xfId="3494"/>
    <cellStyle name="Komma 3 2 3 2" xfId="3633"/>
    <cellStyle name="Komma 3 2 3 2 2" xfId="4270"/>
    <cellStyle name="Komma 3 2 3 2 2 2" xfId="7438"/>
    <cellStyle name="Komma 3 2 3 2 2 2 2" xfId="10193"/>
    <cellStyle name="Komma 3 2 3 2 2 3" xfId="8831"/>
    <cellStyle name="Komma 3 2 3 2 3" xfId="6815"/>
    <cellStyle name="Komma 3 2 3 2 3 2" xfId="9570"/>
    <cellStyle name="Komma 3 2 3 2 4" xfId="8208"/>
    <cellStyle name="Komma 3 2 3 3" xfId="4145"/>
    <cellStyle name="Komma 3 2 3 3 2" xfId="7313"/>
    <cellStyle name="Komma 3 2 3 3 2 2" xfId="10068"/>
    <cellStyle name="Komma 3 2 3 3 3" xfId="8706"/>
    <cellStyle name="Komma 3 2 3 4" xfId="6702"/>
    <cellStyle name="Komma 3 2 3 4 2" xfId="9457"/>
    <cellStyle name="Komma 3 2 3 5" xfId="8090"/>
    <cellStyle name="Komma 3 2 4" xfId="3631"/>
    <cellStyle name="Komma 3 2 4 2" xfId="4268"/>
    <cellStyle name="Komma 3 2 4 2 2" xfId="7436"/>
    <cellStyle name="Komma 3 2 4 2 2 2" xfId="10191"/>
    <cellStyle name="Komma 3 2 4 2 3" xfId="8829"/>
    <cellStyle name="Komma 3 2 4 3" xfId="6813"/>
    <cellStyle name="Komma 3 2 4 3 2" xfId="9568"/>
    <cellStyle name="Komma 3 2 4 4" xfId="8206"/>
    <cellStyle name="Komma 3 2 5" xfId="4113"/>
    <cellStyle name="Komma 3 2 5 2" xfId="7281"/>
    <cellStyle name="Komma 3 2 5 2 2" xfId="10036"/>
    <cellStyle name="Komma 3 2 5 3" xfId="8674"/>
    <cellStyle name="Komma 3 2 6" xfId="3462"/>
    <cellStyle name="Komma 3 2 6 2" xfId="6670"/>
    <cellStyle name="Komma 3 2 6 2 2" xfId="9425"/>
    <cellStyle name="Komma 3 2 6 3" xfId="8058"/>
    <cellStyle name="Komma 3 2 7" xfId="4936"/>
    <cellStyle name="Komma 3 2 8" xfId="5683"/>
    <cellStyle name="Komma 3 3" xfId="3470"/>
    <cellStyle name="Komma 3 3 2" xfId="3634"/>
    <cellStyle name="Komma 3 3 2 2" xfId="4271"/>
    <cellStyle name="Komma 3 3 2 2 2" xfId="7439"/>
    <cellStyle name="Komma 3 3 2 2 2 2" xfId="10194"/>
    <cellStyle name="Komma 3 3 2 2 3" xfId="8832"/>
    <cellStyle name="Komma 3 3 2 3" xfId="6816"/>
    <cellStyle name="Komma 3 3 2 3 2" xfId="9571"/>
    <cellStyle name="Komma 3 3 2 4" xfId="8209"/>
    <cellStyle name="Komma 3 3 3" xfId="4121"/>
    <cellStyle name="Komma 3 3 3 2" xfId="7289"/>
    <cellStyle name="Komma 3 3 3 2 2" xfId="10044"/>
    <cellStyle name="Komma 3 3 3 3" xfId="8682"/>
    <cellStyle name="Komma 3 3 4" xfId="4935"/>
    <cellStyle name="Komma 3 3 5" xfId="6678"/>
    <cellStyle name="Komma 3 3 5 2" xfId="9433"/>
    <cellStyle name="Komma 3 3 6" xfId="8066"/>
    <cellStyle name="Komma 3 4" xfId="3486"/>
    <cellStyle name="Komma 3 4 2" xfId="3635"/>
    <cellStyle name="Komma 3 4 2 2" xfId="4272"/>
    <cellStyle name="Komma 3 4 2 2 2" xfId="7440"/>
    <cellStyle name="Komma 3 4 2 2 2 2" xfId="10195"/>
    <cellStyle name="Komma 3 4 2 2 3" xfId="8833"/>
    <cellStyle name="Komma 3 4 2 3" xfId="6817"/>
    <cellStyle name="Komma 3 4 2 3 2" xfId="9572"/>
    <cellStyle name="Komma 3 4 2 4" xfId="8210"/>
    <cellStyle name="Komma 3 4 3" xfId="4137"/>
    <cellStyle name="Komma 3 4 3 2" xfId="7305"/>
    <cellStyle name="Komma 3 4 3 2 2" xfId="10060"/>
    <cellStyle name="Komma 3 4 3 3" xfId="8698"/>
    <cellStyle name="Komma 3 4 4" xfId="6694"/>
    <cellStyle name="Komma 3 4 4 2" xfId="9449"/>
    <cellStyle name="Komma 3 4 5" xfId="8082"/>
    <cellStyle name="Komma 3 5" xfId="3636"/>
    <cellStyle name="Komma 3 5 2" xfId="4273"/>
    <cellStyle name="Komma 3 5 2 2" xfId="7441"/>
    <cellStyle name="Komma 3 5 2 2 2" xfId="10196"/>
    <cellStyle name="Komma 3 5 2 3" xfId="8834"/>
    <cellStyle name="Komma 3 5 3" xfId="6818"/>
    <cellStyle name="Komma 3 5 3 2" xfId="9573"/>
    <cellStyle name="Komma 3 5 4" xfId="8211"/>
    <cellStyle name="Komma 3 6" xfId="3637"/>
    <cellStyle name="Komma 3 7" xfId="3630"/>
    <cellStyle name="Komma 3 7 2" xfId="4267"/>
    <cellStyle name="Komma 3 7 2 2" xfId="7435"/>
    <cellStyle name="Komma 3 7 2 2 2" xfId="10190"/>
    <cellStyle name="Komma 3 7 2 3" xfId="8828"/>
    <cellStyle name="Komma 3 7 3" xfId="6812"/>
    <cellStyle name="Komma 3 7 3 2" xfId="9567"/>
    <cellStyle name="Komma 3 7 4" xfId="8205"/>
    <cellStyle name="Komma 3 8" xfId="3507"/>
    <cellStyle name="Komma 3 9" xfId="4105"/>
    <cellStyle name="Komma 3 9 2" xfId="7273"/>
    <cellStyle name="Komma 3 9 2 2" xfId="10028"/>
    <cellStyle name="Komma 3 9 3" xfId="8666"/>
    <cellStyle name="Komma 4" xfId="430"/>
    <cellStyle name="Komma 4 10" xfId="5684"/>
    <cellStyle name="Komma 4 10 2" xfId="9330"/>
    <cellStyle name="Komma 4 11" xfId="7907"/>
    <cellStyle name="Komma 4 2" xfId="2310"/>
    <cellStyle name="Komma 4 2 2" xfId="3303"/>
    <cellStyle name="Komma 4 2 2 2" xfId="4276"/>
    <cellStyle name="Komma 4 2 2 2 2" xfId="7444"/>
    <cellStyle name="Komma 4 2 2 2 2 2" xfId="10199"/>
    <cellStyle name="Komma 4 2 2 2 3" xfId="8837"/>
    <cellStyle name="Komma 4 2 2 3" xfId="3640"/>
    <cellStyle name="Komma 4 2 2 3 2" xfId="6821"/>
    <cellStyle name="Komma 4 2 2 3 2 2" xfId="9576"/>
    <cellStyle name="Komma 4 2 2 3 3" xfId="8214"/>
    <cellStyle name="Komma 4 2 2 4" xfId="6613"/>
    <cellStyle name="Komma 4 2 2 4 2" xfId="9377"/>
    <cellStyle name="Komma 4 2 2 5" xfId="8006"/>
    <cellStyle name="Komma 4 2 3" xfId="3641"/>
    <cellStyle name="Komma 4 2 3 2" xfId="4277"/>
    <cellStyle name="Komma 4 2 3 2 2" xfId="7445"/>
    <cellStyle name="Komma 4 2 3 2 2 2" xfId="10200"/>
    <cellStyle name="Komma 4 2 3 2 3" xfId="8838"/>
    <cellStyle name="Komma 4 2 3 3" xfId="6822"/>
    <cellStyle name="Komma 4 2 3 3 2" xfId="9577"/>
    <cellStyle name="Komma 4 2 3 4" xfId="8215"/>
    <cellStyle name="Komma 4 2 4" xfId="3642"/>
    <cellStyle name="Komma 4 2 4 2" xfId="4278"/>
    <cellStyle name="Komma 4 2 4 2 2" xfId="7446"/>
    <cellStyle name="Komma 4 2 4 2 2 2" xfId="10201"/>
    <cellStyle name="Komma 4 2 4 2 3" xfId="8839"/>
    <cellStyle name="Komma 4 2 4 3" xfId="6823"/>
    <cellStyle name="Komma 4 2 4 3 2" xfId="9578"/>
    <cellStyle name="Komma 4 2 4 4" xfId="8216"/>
    <cellStyle name="Komma 4 2 5" xfId="4275"/>
    <cellStyle name="Komma 4 2 5 2" xfId="7443"/>
    <cellStyle name="Komma 4 2 5 2 2" xfId="10198"/>
    <cellStyle name="Komma 4 2 5 3" xfId="8836"/>
    <cellStyle name="Komma 4 2 6" xfId="3639"/>
    <cellStyle name="Komma 4 2 6 2" xfId="6820"/>
    <cellStyle name="Komma 4 2 6 2 2" xfId="9575"/>
    <cellStyle name="Komma 4 2 6 3" xfId="8213"/>
    <cellStyle name="Komma 4 2 7" xfId="5371"/>
    <cellStyle name="Komma 4 2 7 2" xfId="9316"/>
    <cellStyle name="Komma 4 2 8" xfId="6293"/>
    <cellStyle name="Komma 4 2 8 2" xfId="9350"/>
    <cellStyle name="Komma 4 2 9" xfId="7962"/>
    <cellStyle name="Komma 4 3" xfId="3284"/>
    <cellStyle name="Komma 4 3 2" xfId="3644"/>
    <cellStyle name="Komma 4 3 2 2" xfId="4280"/>
    <cellStyle name="Komma 4 3 2 2 2" xfId="7448"/>
    <cellStyle name="Komma 4 3 2 2 2 2" xfId="10203"/>
    <cellStyle name="Komma 4 3 2 2 3" xfId="8841"/>
    <cellStyle name="Komma 4 3 2 3" xfId="6825"/>
    <cellStyle name="Komma 4 3 2 3 2" xfId="9580"/>
    <cellStyle name="Komma 4 3 2 4" xfId="8218"/>
    <cellStyle name="Komma 4 3 3" xfId="3645"/>
    <cellStyle name="Komma 4 3 3 2" xfId="4281"/>
    <cellStyle name="Komma 4 3 3 2 2" xfId="7449"/>
    <cellStyle name="Komma 4 3 3 2 2 2" xfId="10204"/>
    <cellStyle name="Komma 4 3 3 2 3" xfId="8842"/>
    <cellStyle name="Komma 4 3 3 3" xfId="6826"/>
    <cellStyle name="Komma 4 3 3 3 2" xfId="9581"/>
    <cellStyle name="Komma 4 3 3 4" xfId="8219"/>
    <cellStyle name="Komma 4 3 4" xfId="4279"/>
    <cellStyle name="Komma 4 3 4 2" xfId="7447"/>
    <cellStyle name="Komma 4 3 4 2 2" xfId="10202"/>
    <cellStyle name="Komma 4 3 4 3" xfId="8840"/>
    <cellStyle name="Komma 4 3 5" xfId="3643"/>
    <cellStyle name="Komma 4 3 5 2" xfId="6824"/>
    <cellStyle name="Komma 4 3 5 2 2" xfId="9579"/>
    <cellStyle name="Komma 4 3 5 3" xfId="8217"/>
    <cellStyle name="Komma 4 3 6" xfId="6603"/>
    <cellStyle name="Komma 4 3 6 2" xfId="9367"/>
    <cellStyle name="Komma 4 3 7" xfId="7996"/>
    <cellStyle name="Komma 4 4" xfId="3646"/>
    <cellStyle name="Komma 4 4 2" xfId="4282"/>
    <cellStyle name="Komma 4 4 2 2" xfId="7450"/>
    <cellStyle name="Komma 4 4 2 2 2" xfId="10205"/>
    <cellStyle name="Komma 4 4 2 3" xfId="8843"/>
    <cellStyle name="Komma 4 4 3" xfId="6827"/>
    <cellStyle name="Komma 4 4 3 2" xfId="9582"/>
    <cellStyle name="Komma 4 4 4" xfId="8220"/>
    <cellStyle name="Komma 4 5" xfId="3647"/>
    <cellStyle name="Komma 4 5 2" xfId="4283"/>
    <cellStyle name="Komma 4 5 2 2" xfId="7451"/>
    <cellStyle name="Komma 4 5 2 2 2" xfId="10206"/>
    <cellStyle name="Komma 4 5 2 3" xfId="8844"/>
    <cellStyle name="Komma 4 5 3" xfId="6828"/>
    <cellStyle name="Komma 4 5 3 2" xfId="9583"/>
    <cellStyle name="Komma 4 5 4" xfId="8221"/>
    <cellStyle name="Komma 4 6" xfId="3648"/>
    <cellStyle name="Komma 4 6 2" xfId="4284"/>
    <cellStyle name="Komma 4 6 2 2" xfId="7452"/>
    <cellStyle name="Komma 4 6 2 2 2" xfId="10207"/>
    <cellStyle name="Komma 4 6 2 3" xfId="8845"/>
    <cellStyle name="Komma 4 6 3" xfId="6829"/>
    <cellStyle name="Komma 4 6 3 2" xfId="9584"/>
    <cellStyle name="Komma 4 6 4" xfId="8222"/>
    <cellStyle name="Komma 4 7" xfId="4274"/>
    <cellStyle name="Komma 4 7 2" xfId="7442"/>
    <cellStyle name="Komma 4 7 2 2" xfId="10197"/>
    <cellStyle name="Komma 4 7 3" xfId="8835"/>
    <cellStyle name="Komma 4 8" xfId="3638"/>
    <cellStyle name="Komma 4 8 2" xfId="6819"/>
    <cellStyle name="Komma 4 8 2 2" xfId="9574"/>
    <cellStyle name="Komma 4 8 3" xfId="8212"/>
    <cellStyle name="Komma 4 9" xfId="4937"/>
    <cellStyle name="Komma 4 9 2" xfId="9300"/>
    <cellStyle name="Komma 5" xfId="431"/>
    <cellStyle name="Komma 5 2" xfId="2311"/>
    <cellStyle name="Komma 5 2 2" xfId="3304"/>
    <cellStyle name="Komma 5 2 2 2" xfId="4287"/>
    <cellStyle name="Komma 5 2 2 2 2" xfId="7455"/>
    <cellStyle name="Komma 5 2 2 2 2 2" xfId="10210"/>
    <cellStyle name="Komma 5 2 2 2 3" xfId="8848"/>
    <cellStyle name="Komma 5 2 2 3" xfId="3651"/>
    <cellStyle name="Komma 5 2 2 3 2" xfId="6832"/>
    <cellStyle name="Komma 5 2 2 3 2 2" xfId="9587"/>
    <cellStyle name="Komma 5 2 2 3 3" xfId="8225"/>
    <cellStyle name="Komma 5 2 3" xfId="3652"/>
    <cellStyle name="Komma 5 2 3 2" xfId="4288"/>
    <cellStyle name="Komma 5 2 3 2 2" xfId="7456"/>
    <cellStyle name="Komma 5 2 3 2 2 2" xfId="10211"/>
    <cellStyle name="Komma 5 2 3 2 3" xfId="8849"/>
    <cellStyle name="Komma 5 2 3 3" xfId="6833"/>
    <cellStyle name="Komma 5 2 3 3 2" xfId="9588"/>
    <cellStyle name="Komma 5 2 3 4" xfId="8226"/>
    <cellStyle name="Komma 5 2 4" xfId="4286"/>
    <cellStyle name="Komma 5 2 4 2" xfId="7454"/>
    <cellStyle name="Komma 5 2 4 2 2" xfId="10209"/>
    <cellStyle name="Komma 5 2 4 3" xfId="8847"/>
    <cellStyle name="Komma 5 2 5" xfId="3650"/>
    <cellStyle name="Komma 5 2 5 2" xfId="6831"/>
    <cellStyle name="Komma 5 2 5 2 2" xfId="9586"/>
    <cellStyle name="Komma 5 2 5 3" xfId="8224"/>
    <cellStyle name="Komma 5 3" xfId="3285"/>
    <cellStyle name="Komma 5 3 2" xfId="4289"/>
    <cellStyle name="Komma 5 3 2 2" xfId="7457"/>
    <cellStyle name="Komma 5 3 2 2 2" xfId="10212"/>
    <cellStyle name="Komma 5 3 2 3" xfId="8850"/>
    <cellStyle name="Komma 5 3 3" xfId="3653"/>
    <cellStyle name="Komma 5 3 3 2" xfId="6834"/>
    <cellStyle name="Komma 5 3 3 2 2" xfId="9589"/>
    <cellStyle name="Komma 5 3 3 3" xfId="8227"/>
    <cellStyle name="Komma 5 4" xfId="3654"/>
    <cellStyle name="Komma 5 4 2" xfId="4290"/>
    <cellStyle name="Komma 5 4 2 2" xfId="7458"/>
    <cellStyle name="Komma 5 4 2 2 2" xfId="10213"/>
    <cellStyle name="Komma 5 4 2 3" xfId="8851"/>
    <cellStyle name="Komma 5 4 3" xfId="6835"/>
    <cellStyle name="Komma 5 4 3 2" xfId="9590"/>
    <cellStyle name="Komma 5 4 4" xfId="8228"/>
    <cellStyle name="Komma 5 5" xfId="3655"/>
    <cellStyle name="Komma 5 5 2" xfId="4291"/>
    <cellStyle name="Komma 5 5 2 2" xfId="7459"/>
    <cellStyle name="Komma 5 5 2 2 2" xfId="10214"/>
    <cellStyle name="Komma 5 5 2 3" xfId="8852"/>
    <cellStyle name="Komma 5 5 3" xfId="6836"/>
    <cellStyle name="Komma 5 5 3 2" xfId="9591"/>
    <cellStyle name="Komma 5 5 4" xfId="8229"/>
    <cellStyle name="Komma 5 6" xfId="4285"/>
    <cellStyle name="Komma 5 6 2" xfId="7453"/>
    <cellStyle name="Komma 5 6 2 2" xfId="10208"/>
    <cellStyle name="Komma 5 6 3" xfId="8846"/>
    <cellStyle name="Komma 5 7" xfId="3649"/>
    <cellStyle name="Komma 5 7 2" xfId="6830"/>
    <cellStyle name="Komma 5 7 2 2" xfId="9585"/>
    <cellStyle name="Komma 5 7 3" xfId="8223"/>
    <cellStyle name="Komma 6" xfId="3363"/>
    <cellStyle name="Komma 6 2" xfId="3656"/>
    <cellStyle name="Komma 6 2 2" xfId="3657"/>
    <cellStyle name="Komma 6 2 2 2" xfId="4294"/>
    <cellStyle name="Komma 6 2 2 2 2" xfId="7462"/>
    <cellStyle name="Komma 6 2 2 2 2 2" xfId="10217"/>
    <cellStyle name="Komma 6 2 2 2 3" xfId="8855"/>
    <cellStyle name="Komma 6 2 2 3" xfId="6838"/>
    <cellStyle name="Komma 6 2 2 3 2" xfId="9593"/>
    <cellStyle name="Komma 6 2 2 4" xfId="8231"/>
    <cellStyle name="Komma 6 2 3" xfId="3658"/>
    <cellStyle name="Komma 6 2 3 2" xfId="4295"/>
    <cellStyle name="Komma 6 2 3 2 2" xfId="7463"/>
    <cellStyle name="Komma 6 2 3 2 2 2" xfId="10218"/>
    <cellStyle name="Komma 6 2 3 2 3" xfId="8856"/>
    <cellStyle name="Komma 6 2 3 3" xfId="6839"/>
    <cellStyle name="Komma 6 2 3 3 2" xfId="9594"/>
    <cellStyle name="Komma 6 2 3 4" xfId="8232"/>
    <cellStyle name="Komma 6 2 4" xfId="4293"/>
    <cellStyle name="Komma 6 2 4 2" xfId="7461"/>
    <cellStyle name="Komma 6 2 4 2 2" xfId="10216"/>
    <cellStyle name="Komma 6 2 4 3" xfId="8854"/>
    <cellStyle name="Komma 6 2 5" xfId="6837"/>
    <cellStyle name="Komma 6 2 5 2" xfId="9592"/>
    <cellStyle name="Komma 6 2 6" xfId="8230"/>
    <cellStyle name="Komma 6 3" xfId="3659"/>
    <cellStyle name="Komma 6 3 2" xfId="4296"/>
    <cellStyle name="Komma 6 3 2 2" xfId="7464"/>
    <cellStyle name="Komma 6 3 2 2 2" xfId="10219"/>
    <cellStyle name="Komma 6 3 2 3" xfId="8857"/>
    <cellStyle name="Komma 6 3 3" xfId="6840"/>
    <cellStyle name="Komma 6 3 3 2" xfId="9595"/>
    <cellStyle name="Komma 6 3 4" xfId="8233"/>
    <cellStyle name="Komma 6 4" xfId="3660"/>
    <cellStyle name="Komma 6 4 2" xfId="4297"/>
    <cellStyle name="Komma 6 4 2 2" xfId="7465"/>
    <cellStyle name="Komma 6 4 2 2 2" xfId="10220"/>
    <cellStyle name="Komma 6 4 2 3" xfId="8858"/>
    <cellStyle name="Komma 6 4 3" xfId="6841"/>
    <cellStyle name="Komma 6 4 3 2" xfId="9596"/>
    <cellStyle name="Komma 6 4 4" xfId="8234"/>
    <cellStyle name="Komma 6 5" xfId="3661"/>
    <cellStyle name="Komma 6 5 2" xfId="4298"/>
    <cellStyle name="Komma 6 5 2 2" xfId="7466"/>
    <cellStyle name="Komma 6 5 2 2 2" xfId="10221"/>
    <cellStyle name="Komma 6 5 2 3" xfId="8859"/>
    <cellStyle name="Komma 6 5 3" xfId="6842"/>
    <cellStyle name="Komma 6 5 3 2" xfId="9597"/>
    <cellStyle name="Komma 6 5 4" xfId="8235"/>
    <cellStyle name="Komma 6 6" xfId="4292"/>
    <cellStyle name="Komma 6 6 2" xfId="7460"/>
    <cellStyle name="Komma 6 6 2 2" xfId="10215"/>
    <cellStyle name="Komma 6 6 3" xfId="8853"/>
    <cellStyle name="Komma 6 7" xfId="6647"/>
    <cellStyle name="Komma 6 7 2" xfId="9411"/>
    <cellStyle name="Komma 6 8" xfId="8040"/>
    <cellStyle name="Komma 7" xfId="3662"/>
    <cellStyle name="Komma 7 2" xfId="3663"/>
    <cellStyle name="Komma 7 2 2" xfId="3664"/>
    <cellStyle name="Komma 7 2 2 2" xfId="4301"/>
    <cellStyle name="Komma 7 2 2 2 2" xfId="7469"/>
    <cellStyle name="Komma 7 2 2 2 2 2" xfId="10224"/>
    <cellStyle name="Komma 7 2 2 2 3" xfId="8862"/>
    <cellStyle name="Komma 7 2 2 3" xfId="6845"/>
    <cellStyle name="Komma 7 2 2 3 2" xfId="9600"/>
    <cellStyle name="Komma 7 2 2 4" xfId="8238"/>
    <cellStyle name="Komma 7 2 3" xfId="3665"/>
    <cellStyle name="Komma 7 2 3 2" xfId="4302"/>
    <cellStyle name="Komma 7 2 3 2 2" xfId="7470"/>
    <cellStyle name="Komma 7 2 3 2 2 2" xfId="10225"/>
    <cellStyle name="Komma 7 2 3 2 3" xfId="8863"/>
    <cellStyle name="Komma 7 2 3 3" xfId="6846"/>
    <cellStyle name="Komma 7 2 3 3 2" xfId="9601"/>
    <cellStyle name="Komma 7 2 3 4" xfId="8239"/>
    <cellStyle name="Komma 7 2 4" xfId="4300"/>
    <cellStyle name="Komma 7 2 4 2" xfId="7468"/>
    <cellStyle name="Komma 7 2 4 2 2" xfId="10223"/>
    <cellStyle name="Komma 7 2 4 3" xfId="8861"/>
    <cellStyle name="Komma 7 2 5" xfId="6844"/>
    <cellStyle name="Komma 7 2 5 2" xfId="9599"/>
    <cellStyle name="Komma 7 2 6" xfId="8237"/>
    <cellStyle name="Komma 7 3" xfId="3666"/>
    <cellStyle name="Komma 7 3 2" xfId="4303"/>
    <cellStyle name="Komma 7 3 2 2" xfId="7471"/>
    <cellStyle name="Komma 7 3 2 2 2" xfId="10226"/>
    <cellStyle name="Komma 7 3 2 3" xfId="8864"/>
    <cellStyle name="Komma 7 3 3" xfId="6847"/>
    <cellStyle name="Komma 7 3 3 2" xfId="9602"/>
    <cellStyle name="Komma 7 3 4" xfId="8240"/>
    <cellStyle name="Komma 7 4" xfId="3667"/>
    <cellStyle name="Komma 7 4 2" xfId="4304"/>
    <cellStyle name="Komma 7 4 2 2" xfId="7472"/>
    <cellStyle name="Komma 7 4 2 2 2" xfId="10227"/>
    <cellStyle name="Komma 7 4 2 3" xfId="8865"/>
    <cellStyle name="Komma 7 4 3" xfId="6848"/>
    <cellStyle name="Komma 7 4 3 2" xfId="9603"/>
    <cellStyle name="Komma 7 4 4" xfId="8241"/>
    <cellStyle name="Komma 7 5" xfId="4299"/>
    <cellStyle name="Komma 7 5 2" xfId="7467"/>
    <cellStyle name="Komma 7 5 2 2" xfId="10222"/>
    <cellStyle name="Komma 7 5 3" xfId="8860"/>
    <cellStyle name="Komma 7 6" xfId="6843"/>
    <cellStyle name="Komma 7 6 2" xfId="9598"/>
    <cellStyle name="Komma 7 7" xfId="8236"/>
    <cellStyle name="Komma 8" xfId="3668"/>
    <cellStyle name="Komma 8 2" xfId="3669"/>
    <cellStyle name="Komma 8 2 2" xfId="4306"/>
    <cellStyle name="Komma 8 2 2 2" xfId="7474"/>
    <cellStyle name="Komma 8 2 2 2 2" xfId="10229"/>
    <cellStyle name="Komma 8 2 2 3" xfId="8867"/>
    <cellStyle name="Komma 8 2 3" xfId="6850"/>
    <cellStyle name="Komma 8 2 3 2" xfId="9605"/>
    <cellStyle name="Komma 8 2 4" xfId="8243"/>
    <cellStyle name="Komma 8 3" xfId="3670"/>
    <cellStyle name="Komma 8 3 2" xfId="4307"/>
    <cellStyle name="Komma 8 3 2 2" xfId="7475"/>
    <cellStyle name="Komma 8 3 2 2 2" xfId="10230"/>
    <cellStyle name="Komma 8 3 2 3" xfId="8868"/>
    <cellStyle name="Komma 8 3 3" xfId="6851"/>
    <cellStyle name="Komma 8 3 3 2" xfId="9606"/>
    <cellStyle name="Komma 8 3 4" xfId="8244"/>
    <cellStyle name="Komma 8 4" xfId="4305"/>
    <cellStyle name="Komma 8 4 2" xfId="7473"/>
    <cellStyle name="Komma 8 4 2 2" xfId="10228"/>
    <cellStyle name="Komma 8 4 3" xfId="8866"/>
    <cellStyle name="Komma 8 5" xfId="6849"/>
    <cellStyle name="Komma 8 5 2" xfId="9604"/>
    <cellStyle name="Komma 8 6" xfId="8242"/>
    <cellStyle name="Komma 9" xfId="3671"/>
    <cellStyle name="Komma 9 2" xfId="4308"/>
    <cellStyle name="Komma 9 2 2" xfId="7476"/>
    <cellStyle name="Komma 9 2 2 2" xfId="10231"/>
    <cellStyle name="Komma 9 2 3" xfId="8869"/>
    <cellStyle name="Komma 9 3" xfId="6852"/>
    <cellStyle name="Komma 9 3 2" xfId="9607"/>
    <cellStyle name="Komma 9 4" xfId="8245"/>
    <cellStyle name="Kontroller celle" xfId="3334" builtinId="23" customBuiltin="1"/>
    <cellStyle name="Link 2" xfId="432"/>
    <cellStyle name="Link 2 2" xfId="3674"/>
    <cellStyle name="Link 2 3" xfId="3675"/>
    <cellStyle name="Link 2 4" xfId="3673"/>
    <cellStyle name="Link 2 5" xfId="3503"/>
    <cellStyle name="Link 3" xfId="433"/>
    <cellStyle name="Link 3 2" xfId="3676"/>
    <cellStyle name="Link 4" xfId="3672"/>
    <cellStyle name="Link 5" xfId="3509"/>
    <cellStyle name="Link 6" xfId="4729"/>
    <cellStyle name="Linked Cell 2" xfId="3445"/>
    <cellStyle name="Markeringsfarve1" xfId="3338" builtinId="29" customBuiltin="1"/>
    <cellStyle name="Markeringsfarve2" xfId="3342" builtinId="33" customBuiltin="1"/>
    <cellStyle name="Markeringsfarve3" xfId="3346" builtinId="37" customBuiltin="1"/>
    <cellStyle name="Markeringsfarve4" xfId="3350" builtinId="41" customBuiltin="1"/>
    <cellStyle name="Markeringsfarve5" xfId="3354" builtinId="45" customBuiltin="1"/>
    <cellStyle name="Markeringsfarve6" xfId="3358" builtinId="49" customBuiltin="1"/>
    <cellStyle name="Migliaia [0] 10" xfId="434"/>
    <cellStyle name="Migliaia [0] 10 2" xfId="2010"/>
    <cellStyle name="Migliaia [0] 10 2 2" xfId="5309"/>
    <cellStyle name="Migliaia [0] 10 2 3" xfId="6231"/>
    <cellStyle name="Migliaia [0] 10 3" xfId="4740"/>
    <cellStyle name="Migliaia [0] 10 4" xfId="5685"/>
    <cellStyle name="Migliaia [0] 11" xfId="435"/>
    <cellStyle name="Migliaia [0] 11 2" xfId="2011"/>
    <cellStyle name="Migliaia [0] 11 2 2" xfId="5310"/>
    <cellStyle name="Migliaia [0] 11 2 3" xfId="6232"/>
    <cellStyle name="Migliaia [0] 11 3" xfId="4741"/>
    <cellStyle name="Migliaia [0] 11 4" xfId="5686"/>
    <cellStyle name="Migliaia [0] 12" xfId="436"/>
    <cellStyle name="Migliaia [0] 12 2" xfId="2012"/>
    <cellStyle name="Migliaia [0] 12 2 2" xfId="5311"/>
    <cellStyle name="Migliaia [0] 12 2 3" xfId="6233"/>
    <cellStyle name="Migliaia [0] 12 3" xfId="4742"/>
    <cellStyle name="Migliaia [0] 12 4" xfId="5687"/>
    <cellStyle name="Migliaia [0] 13" xfId="437"/>
    <cellStyle name="Migliaia [0] 13 2" xfId="2013"/>
    <cellStyle name="Migliaia [0] 13 2 2" xfId="5312"/>
    <cellStyle name="Migliaia [0] 13 2 3" xfId="6234"/>
    <cellStyle name="Migliaia [0] 13 3" xfId="4743"/>
    <cellStyle name="Migliaia [0] 13 4" xfId="5688"/>
    <cellStyle name="Migliaia [0] 14" xfId="438"/>
    <cellStyle name="Migliaia [0] 14 2" xfId="2014"/>
    <cellStyle name="Migliaia [0] 14 2 2" xfId="5313"/>
    <cellStyle name="Migliaia [0] 14 2 3" xfId="6235"/>
    <cellStyle name="Migliaia [0] 14 3" xfId="4744"/>
    <cellStyle name="Migliaia [0] 14 4" xfId="5689"/>
    <cellStyle name="Migliaia [0] 15" xfId="439"/>
    <cellStyle name="Migliaia [0] 15 2" xfId="2015"/>
    <cellStyle name="Migliaia [0] 15 2 2" xfId="5314"/>
    <cellStyle name="Migliaia [0] 15 2 3" xfId="6236"/>
    <cellStyle name="Migliaia [0] 15 3" xfId="4745"/>
    <cellStyle name="Migliaia [0] 15 4" xfId="5690"/>
    <cellStyle name="Migliaia [0] 16" xfId="440"/>
    <cellStyle name="Migliaia [0] 16 2" xfId="2016"/>
    <cellStyle name="Migliaia [0] 16 2 2" xfId="5315"/>
    <cellStyle name="Migliaia [0] 16 2 3" xfId="6237"/>
    <cellStyle name="Migliaia [0] 16 3" xfId="4746"/>
    <cellStyle name="Migliaia [0] 16 4" xfId="5691"/>
    <cellStyle name="Migliaia [0] 17" xfId="441"/>
    <cellStyle name="Migliaia [0] 17 2" xfId="2017"/>
    <cellStyle name="Migliaia [0] 17 2 2" xfId="5316"/>
    <cellStyle name="Migliaia [0] 17 2 3" xfId="6238"/>
    <cellStyle name="Migliaia [0] 17 3" xfId="4747"/>
    <cellStyle name="Migliaia [0] 17 4" xfId="5692"/>
    <cellStyle name="Migliaia [0] 18" xfId="442"/>
    <cellStyle name="Migliaia [0] 18 2" xfId="2018"/>
    <cellStyle name="Migliaia [0] 18 2 2" xfId="5317"/>
    <cellStyle name="Migliaia [0] 18 2 3" xfId="6239"/>
    <cellStyle name="Migliaia [0] 18 3" xfId="4748"/>
    <cellStyle name="Migliaia [0] 18 4" xfId="5693"/>
    <cellStyle name="Migliaia [0] 19" xfId="443"/>
    <cellStyle name="Migliaia [0] 19 2" xfId="2019"/>
    <cellStyle name="Migliaia [0] 19 2 2" xfId="5318"/>
    <cellStyle name="Migliaia [0] 19 2 3" xfId="6240"/>
    <cellStyle name="Migliaia [0] 19 3" xfId="4749"/>
    <cellStyle name="Migliaia [0] 19 4" xfId="5694"/>
    <cellStyle name="Migliaia [0] 2" xfId="444"/>
    <cellStyle name="Migliaia [0] 2 2" xfId="2020"/>
    <cellStyle name="Migliaia [0] 2 2 2" xfId="5319"/>
    <cellStyle name="Migliaia [0] 2 2 3" xfId="6241"/>
    <cellStyle name="Migliaia [0] 2 3" xfId="4750"/>
    <cellStyle name="Migliaia [0] 2 4" xfId="5695"/>
    <cellStyle name="Migliaia [0] 20" xfId="445"/>
    <cellStyle name="Migliaia [0] 20 2" xfId="2021"/>
    <cellStyle name="Migliaia [0] 20 2 2" xfId="5320"/>
    <cellStyle name="Migliaia [0] 20 2 3" xfId="6242"/>
    <cellStyle name="Migliaia [0] 20 3" xfId="4751"/>
    <cellStyle name="Migliaia [0] 20 4" xfId="5696"/>
    <cellStyle name="Migliaia [0] 21" xfId="446"/>
    <cellStyle name="Migliaia [0] 21 2" xfId="2022"/>
    <cellStyle name="Migliaia [0] 21 2 2" xfId="5321"/>
    <cellStyle name="Migliaia [0] 21 2 3" xfId="6243"/>
    <cellStyle name="Migliaia [0] 21 3" xfId="4752"/>
    <cellStyle name="Migliaia [0] 21 4" xfId="5697"/>
    <cellStyle name="Migliaia [0] 22" xfId="447"/>
    <cellStyle name="Migliaia [0] 22 2" xfId="2023"/>
    <cellStyle name="Migliaia [0] 22 2 2" xfId="5322"/>
    <cellStyle name="Migliaia [0] 22 2 3" xfId="6244"/>
    <cellStyle name="Migliaia [0] 22 3" xfId="4753"/>
    <cellStyle name="Migliaia [0] 22 4" xfId="5698"/>
    <cellStyle name="Migliaia [0] 23" xfId="448"/>
    <cellStyle name="Migliaia [0] 23 2" xfId="2024"/>
    <cellStyle name="Migliaia [0] 23 2 2" xfId="5323"/>
    <cellStyle name="Migliaia [0] 23 2 3" xfId="6245"/>
    <cellStyle name="Migliaia [0] 23 3" xfId="4754"/>
    <cellStyle name="Migliaia [0] 23 4" xfId="5699"/>
    <cellStyle name="Migliaia [0] 24" xfId="449"/>
    <cellStyle name="Migliaia [0] 24 2" xfId="2025"/>
    <cellStyle name="Migliaia [0] 24 2 2" xfId="5324"/>
    <cellStyle name="Migliaia [0] 24 2 3" xfId="6246"/>
    <cellStyle name="Migliaia [0] 24 3" xfId="4755"/>
    <cellStyle name="Migliaia [0] 24 4" xfId="5700"/>
    <cellStyle name="Migliaia [0] 25" xfId="450"/>
    <cellStyle name="Migliaia [0] 25 2" xfId="2026"/>
    <cellStyle name="Migliaia [0] 25 2 2" xfId="5325"/>
    <cellStyle name="Migliaia [0] 25 2 3" xfId="6247"/>
    <cellStyle name="Migliaia [0] 25 3" xfId="4756"/>
    <cellStyle name="Migliaia [0] 25 4" xfId="5701"/>
    <cellStyle name="Migliaia [0] 26" xfId="451"/>
    <cellStyle name="Migliaia [0] 26 2" xfId="2027"/>
    <cellStyle name="Migliaia [0] 26 2 2" xfId="5326"/>
    <cellStyle name="Migliaia [0] 26 2 3" xfId="6248"/>
    <cellStyle name="Migliaia [0] 26 3" xfId="4757"/>
    <cellStyle name="Migliaia [0] 26 4" xfId="5702"/>
    <cellStyle name="Migliaia [0] 27" xfId="452"/>
    <cellStyle name="Migliaia [0] 27 2" xfId="2028"/>
    <cellStyle name="Migliaia [0] 27 2 2" xfId="5327"/>
    <cellStyle name="Migliaia [0] 27 2 3" xfId="6249"/>
    <cellStyle name="Migliaia [0] 27 3" xfId="4758"/>
    <cellStyle name="Migliaia [0] 27 4" xfId="5703"/>
    <cellStyle name="Migliaia [0] 28" xfId="453"/>
    <cellStyle name="Migliaia [0] 28 2" xfId="2029"/>
    <cellStyle name="Migliaia [0] 28 2 2" xfId="5328"/>
    <cellStyle name="Migliaia [0] 28 2 3" xfId="6250"/>
    <cellStyle name="Migliaia [0] 28 3" xfId="4759"/>
    <cellStyle name="Migliaia [0] 28 4" xfId="5704"/>
    <cellStyle name="Migliaia [0] 29" xfId="454"/>
    <cellStyle name="Migliaia [0] 29 2" xfId="2030"/>
    <cellStyle name="Migliaia [0] 29 2 2" xfId="5329"/>
    <cellStyle name="Migliaia [0] 29 2 3" xfId="6251"/>
    <cellStyle name="Migliaia [0] 29 3" xfId="4760"/>
    <cellStyle name="Migliaia [0] 29 4" xfId="5705"/>
    <cellStyle name="Migliaia [0] 3" xfId="455"/>
    <cellStyle name="Migliaia [0] 3 2" xfId="2031"/>
    <cellStyle name="Migliaia [0] 3 2 2" xfId="5330"/>
    <cellStyle name="Migliaia [0] 3 2 3" xfId="6252"/>
    <cellStyle name="Migliaia [0] 3 3" xfId="4761"/>
    <cellStyle name="Migliaia [0] 3 4" xfId="5706"/>
    <cellStyle name="Migliaia [0] 30" xfId="456"/>
    <cellStyle name="Migliaia [0] 30 2" xfId="2032"/>
    <cellStyle name="Migliaia [0] 30 2 2" xfId="5331"/>
    <cellStyle name="Migliaia [0] 30 2 3" xfId="6253"/>
    <cellStyle name="Migliaia [0] 30 3" xfId="4762"/>
    <cellStyle name="Migliaia [0] 30 4" xfId="5707"/>
    <cellStyle name="Migliaia [0] 31" xfId="457"/>
    <cellStyle name="Migliaia [0] 31 2" xfId="2033"/>
    <cellStyle name="Migliaia [0] 31 2 2" xfId="5332"/>
    <cellStyle name="Migliaia [0] 31 2 3" xfId="6254"/>
    <cellStyle name="Migliaia [0] 31 3" xfId="4763"/>
    <cellStyle name="Migliaia [0] 31 4" xfId="5708"/>
    <cellStyle name="Migliaia [0] 32" xfId="458"/>
    <cellStyle name="Migliaia [0] 32 2" xfId="2034"/>
    <cellStyle name="Migliaia [0] 32 2 2" xfId="5333"/>
    <cellStyle name="Migliaia [0] 32 2 3" xfId="6255"/>
    <cellStyle name="Migliaia [0] 32 3" xfId="4764"/>
    <cellStyle name="Migliaia [0] 32 4" xfId="5709"/>
    <cellStyle name="Migliaia [0] 33" xfId="459"/>
    <cellStyle name="Migliaia [0] 33 2" xfId="2035"/>
    <cellStyle name="Migliaia [0] 33 2 2" xfId="5334"/>
    <cellStyle name="Migliaia [0] 33 2 3" xfId="6256"/>
    <cellStyle name="Migliaia [0] 33 3" xfId="4765"/>
    <cellStyle name="Migliaia [0] 33 4" xfId="5710"/>
    <cellStyle name="Migliaia [0] 34" xfId="460"/>
    <cellStyle name="Migliaia [0] 34 2" xfId="2036"/>
    <cellStyle name="Migliaia [0] 34 2 2" xfId="5335"/>
    <cellStyle name="Migliaia [0] 34 2 3" xfId="6257"/>
    <cellStyle name="Migliaia [0] 34 3" xfId="4766"/>
    <cellStyle name="Migliaia [0] 34 4" xfId="5711"/>
    <cellStyle name="Migliaia [0] 35" xfId="461"/>
    <cellStyle name="Migliaia [0] 35 2" xfId="2037"/>
    <cellStyle name="Migliaia [0] 35 2 2" xfId="5336"/>
    <cellStyle name="Migliaia [0] 35 2 3" xfId="6258"/>
    <cellStyle name="Migliaia [0] 35 3" xfId="4767"/>
    <cellStyle name="Migliaia [0] 35 4" xfId="5712"/>
    <cellStyle name="Migliaia [0] 36" xfId="462"/>
    <cellStyle name="Migliaia [0] 36 2" xfId="2038"/>
    <cellStyle name="Migliaia [0] 36 2 2" xfId="5337"/>
    <cellStyle name="Migliaia [0] 36 2 3" xfId="6259"/>
    <cellStyle name="Migliaia [0] 36 3" xfId="4768"/>
    <cellStyle name="Migliaia [0] 36 4" xfId="5713"/>
    <cellStyle name="Migliaia [0] 37" xfId="463"/>
    <cellStyle name="Migliaia [0] 37 2" xfId="2039"/>
    <cellStyle name="Migliaia [0] 37 2 2" xfId="5338"/>
    <cellStyle name="Migliaia [0] 37 2 3" xfId="6260"/>
    <cellStyle name="Migliaia [0] 37 3" xfId="4769"/>
    <cellStyle name="Migliaia [0] 37 4" xfId="5714"/>
    <cellStyle name="Migliaia [0] 38" xfId="464"/>
    <cellStyle name="Migliaia [0] 38 2" xfId="2040"/>
    <cellStyle name="Migliaia [0] 38 2 2" xfId="5339"/>
    <cellStyle name="Migliaia [0] 38 2 3" xfId="6261"/>
    <cellStyle name="Migliaia [0] 38 3" xfId="4770"/>
    <cellStyle name="Migliaia [0] 38 4" xfId="5715"/>
    <cellStyle name="Migliaia [0] 39" xfId="465"/>
    <cellStyle name="Migliaia [0] 39 2" xfId="2041"/>
    <cellStyle name="Migliaia [0] 39 2 2" xfId="5340"/>
    <cellStyle name="Migliaia [0] 39 2 3" xfId="6262"/>
    <cellStyle name="Migliaia [0] 39 3" xfId="4771"/>
    <cellStyle name="Migliaia [0] 39 4" xfId="5716"/>
    <cellStyle name="Migliaia [0] 4" xfId="466"/>
    <cellStyle name="Migliaia [0] 4 2" xfId="2042"/>
    <cellStyle name="Migliaia [0] 4 2 2" xfId="5341"/>
    <cellStyle name="Migliaia [0] 4 2 3" xfId="6263"/>
    <cellStyle name="Migliaia [0] 4 3" xfId="4772"/>
    <cellStyle name="Migliaia [0] 4 4" xfId="5717"/>
    <cellStyle name="Migliaia [0] 40" xfId="467"/>
    <cellStyle name="Migliaia [0] 40 2" xfId="2043"/>
    <cellStyle name="Migliaia [0] 40 2 2" xfId="5342"/>
    <cellStyle name="Migliaia [0] 40 2 3" xfId="6264"/>
    <cellStyle name="Migliaia [0] 40 3" xfId="4773"/>
    <cellStyle name="Migliaia [0] 40 4" xfId="5718"/>
    <cellStyle name="Migliaia [0] 41" xfId="468"/>
    <cellStyle name="Migliaia [0] 41 2" xfId="2044"/>
    <cellStyle name="Migliaia [0] 41 2 2" xfId="5343"/>
    <cellStyle name="Migliaia [0] 41 2 3" xfId="6265"/>
    <cellStyle name="Migliaia [0] 41 3" xfId="4774"/>
    <cellStyle name="Migliaia [0] 41 4" xfId="5719"/>
    <cellStyle name="Migliaia [0] 42" xfId="469"/>
    <cellStyle name="Migliaia [0] 42 2" xfId="2045"/>
    <cellStyle name="Migliaia [0] 42 2 2" xfId="5344"/>
    <cellStyle name="Migliaia [0] 42 2 3" xfId="6266"/>
    <cellStyle name="Migliaia [0] 42 3" xfId="4775"/>
    <cellStyle name="Migliaia [0] 42 4" xfId="5720"/>
    <cellStyle name="Migliaia [0] 43" xfId="470"/>
    <cellStyle name="Migliaia [0] 43 2" xfId="2046"/>
    <cellStyle name="Migliaia [0] 43 2 2" xfId="5345"/>
    <cellStyle name="Migliaia [0] 43 2 3" xfId="6267"/>
    <cellStyle name="Migliaia [0] 43 3" xfId="4776"/>
    <cellStyle name="Migliaia [0] 43 4" xfId="5721"/>
    <cellStyle name="Migliaia [0] 44" xfId="471"/>
    <cellStyle name="Migliaia [0] 44 2" xfId="2047"/>
    <cellStyle name="Migliaia [0] 44 2 2" xfId="5346"/>
    <cellStyle name="Migliaia [0] 44 2 3" xfId="6268"/>
    <cellStyle name="Migliaia [0] 44 3" xfId="4777"/>
    <cellStyle name="Migliaia [0] 44 4" xfId="5722"/>
    <cellStyle name="Migliaia [0] 45" xfId="472"/>
    <cellStyle name="Migliaia [0] 45 2" xfId="2048"/>
    <cellStyle name="Migliaia [0] 45 2 2" xfId="5347"/>
    <cellStyle name="Migliaia [0] 45 2 3" xfId="6269"/>
    <cellStyle name="Migliaia [0] 45 3" xfId="4778"/>
    <cellStyle name="Migliaia [0] 45 4" xfId="5723"/>
    <cellStyle name="Migliaia [0] 46" xfId="473"/>
    <cellStyle name="Migliaia [0] 46 2" xfId="2049"/>
    <cellStyle name="Migliaia [0] 46 2 2" xfId="5348"/>
    <cellStyle name="Migliaia [0] 46 2 3" xfId="6270"/>
    <cellStyle name="Migliaia [0] 46 3" xfId="4779"/>
    <cellStyle name="Migliaia [0] 46 4" xfId="5724"/>
    <cellStyle name="Migliaia [0] 47" xfId="474"/>
    <cellStyle name="Migliaia [0] 47 2" xfId="2050"/>
    <cellStyle name="Migliaia [0] 47 2 2" xfId="5349"/>
    <cellStyle name="Migliaia [0] 47 2 3" xfId="6271"/>
    <cellStyle name="Migliaia [0] 47 3" xfId="4780"/>
    <cellStyle name="Migliaia [0] 47 4" xfId="5725"/>
    <cellStyle name="Migliaia [0] 48" xfId="475"/>
    <cellStyle name="Migliaia [0] 48 2" xfId="2051"/>
    <cellStyle name="Migliaia [0] 48 2 2" xfId="5350"/>
    <cellStyle name="Migliaia [0] 48 2 3" xfId="6272"/>
    <cellStyle name="Migliaia [0] 48 3" xfId="4781"/>
    <cellStyle name="Migliaia [0] 48 4" xfId="5726"/>
    <cellStyle name="Migliaia [0] 49" xfId="476"/>
    <cellStyle name="Migliaia [0] 49 2" xfId="2052"/>
    <cellStyle name="Migliaia [0] 49 2 2" xfId="5351"/>
    <cellStyle name="Migliaia [0] 49 2 3" xfId="6273"/>
    <cellStyle name="Migliaia [0] 49 3" xfId="4782"/>
    <cellStyle name="Migliaia [0] 49 4" xfId="5727"/>
    <cellStyle name="Migliaia [0] 5" xfId="477"/>
    <cellStyle name="Migliaia [0] 5 2" xfId="2053"/>
    <cellStyle name="Migliaia [0] 5 2 2" xfId="5352"/>
    <cellStyle name="Migliaia [0] 5 2 3" xfId="6274"/>
    <cellStyle name="Migliaia [0] 5 3" xfId="4783"/>
    <cellStyle name="Migliaia [0] 5 4" xfId="5728"/>
    <cellStyle name="Migliaia [0] 50" xfId="478"/>
    <cellStyle name="Migliaia [0] 50 2" xfId="2054"/>
    <cellStyle name="Migliaia [0] 50 2 2" xfId="5353"/>
    <cellStyle name="Migliaia [0] 50 2 3" xfId="6275"/>
    <cellStyle name="Migliaia [0] 50 3" xfId="4784"/>
    <cellStyle name="Migliaia [0] 50 4" xfId="5729"/>
    <cellStyle name="Migliaia [0] 51" xfId="479"/>
    <cellStyle name="Migliaia [0] 51 2" xfId="2055"/>
    <cellStyle name="Migliaia [0] 51 2 2" xfId="5354"/>
    <cellStyle name="Migliaia [0] 51 2 3" xfId="6276"/>
    <cellStyle name="Migliaia [0] 51 3" xfId="4785"/>
    <cellStyle name="Migliaia [0] 51 4" xfId="5730"/>
    <cellStyle name="Migliaia [0] 52" xfId="480"/>
    <cellStyle name="Migliaia [0] 52 2" xfId="2056"/>
    <cellStyle name="Migliaia [0] 52 2 2" xfId="5355"/>
    <cellStyle name="Migliaia [0] 52 2 3" xfId="6277"/>
    <cellStyle name="Migliaia [0] 52 3" xfId="4786"/>
    <cellStyle name="Migliaia [0] 52 4" xfId="5731"/>
    <cellStyle name="Migliaia [0] 53" xfId="481"/>
    <cellStyle name="Migliaia [0] 53 2" xfId="2057"/>
    <cellStyle name="Migliaia [0] 53 2 2" xfId="5356"/>
    <cellStyle name="Migliaia [0] 53 2 3" xfId="6278"/>
    <cellStyle name="Migliaia [0] 53 3" xfId="4787"/>
    <cellStyle name="Migliaia [0] 53 4" xfId="5732"/>
    <cellStyle name="Migliaia [0] 54" xfId="482"/>
    <cellStyle name="Migliaia [0] 54 2" xfId="2058"/>
    <cellStyle name="Migliaia [0] 54 2 2" xfId="5357"/>
    <cellStyle name="Migliaia [0] 54 2 3" xfId="6279"/>
    <cellStyle name="Migliaia [0] 54 3" xfId="4788"/>
    <cellStyle name="Migliaia [0] 54 4" xfId="5733"/>
    <cellStyle name="Migliaia [0] 55" xfId="483"/>
    <cellStyle name="Migliaia [0] 55 2" xfId="2059"/>
    <cellStyle name="Migliaia [0] 55 2 2" xfId="5358"/>
    <cellStyle name="Migliaia [0] 55 2 3" xfId="6280"/>
    <cellStyle name="Migliaia [0] 55 3" xfId="4789"/>
    <cellStyle name="Migliaia [0] 55 4" xfId="5734"/>
    <cellStyle name="Migliaia [0] 56" xfId="484"/>
    <cellStyle name="Migliaia [0] 56 2" xfId="2060"/>
    <cellStyle name="Migliaia [0] 56 2 2" xfId="5359"/>
    <cellStyle name="Migliaia [0] 56 2 3" xfId="6281"/>
    <cellStyle name="Migliaia [0] 56 3" xfId="4790"/>
    <cellStyle name="Migliaia [0] 56 4" xfId="5735"/>
    <cellStyle name="Migliaia [0] 57" xfId="485"/>
    <cellStyle name="Migliaia [0] 57 2" xfId="2061"/>
    <cellStyle name="Migliaia [0] 57 2 2" xfId="5360"/>
    <cellStyle name="Migliaia [0] 57 2 3" xfId="6282"/>
    <cellStyle name="Migliaia [0] 57 3" xfId="4791"/>
    <cellStyle name="Migliaia [0] 57 4" xfId="5736"/>
    <cellStyle name="Migliaia [0] 58" xfId="486"/>
    <cellStyle name="Migliaia [0] 58 2" xfId="2062"/>
    <cellStyle name="Migliaia [0] 58 2 2" xfId="5361"/>
    <cellStyle name="Migliaia [0] 58 2 3" xfId="6283"/>
    <cellStyle name="Migliaia [0] 58 3" xfId="4792"/>
    <cellStyle name="Migliaia [0] 58 4" xfId="5737"/>
    <cellStyle name="Migliaia [0] 59" xfId="487"/>
    <cellStyle name="Migliaia [0] 59 2" xfId="2063"/>
    <cellStyle name="Migliaia [0] 59 2 2" xfId="5362"/>
    <cellStyle name="Migliaia [0] 59 2 3" xfId="6284"/>
    <cellStyle name="Migliaia [0] 59 3" xfId="4793"/>
    <cellStyle name="Migliaia [0] 59 4" xfId="5738"/>
    <cellStyle name="Migliaia [0] 6" xfId="488"/>
    <cellStyle name="Migliaia [0] 6 2" xfId="2064"/>
    <cellStyle name="Migliaia [0] 6 2 2" xfId="5363"/>
    <cellStyle name="Migliaia [0] 6 2 3" xfId="6285"/>
    <cellStyle name="Migliaia [0] 6 3" xfId="4794"/>
    <cellStyle name="Migliaia [0] 6 4" xfId="5739"/>
    <cellStyle name="Migliaia [0] 7" xfId="489"/>
    <cellStyle name="Migliaia [0] 7 2" xfId="2065"/>
    <cellStyle name="Migliaia [0] 7 2 2" xfId="5364"/>
    <cellStyle name="Migliaia [0] 7 2 3" xfId="6286"/>
    <cellStyle name="Migliaia [0] 7 3" xfId="4795"/>
    <cellStyle name="Migliaia [0] 7 4" xfId="5740"/>
    <cellStyle name="Migliaia [0] 8" xfId="490"/>
    <cellStyle name="Migliaia [0] 8 2" xfId="2066"/>
    <cellStyle name="Migliaia [0] 8 2 2" xfId="5365"/>
    <cellStyle name="Migliaia [0] 8 2 3" xfId="6287"/>
    <cellStyle name="Migliaia [0] 8 3" xfId="4796"/>
    <cellStyle name="Migliaia [0] 8 4" xfId="5741"/>
    <cellStyle name="Migliaia [0] 9" xfId="491"/>
    <cellStyle name="Migliaia [0] 9 2" xfId="2067"/>
    <cellStyle name="Migliaia [0] 9 2 2" xfId="5366"/>
    <cellStyle name="Migliaia [0] 9 2 3" xfId="6288"/>
    <cellStyle name="Migliaia [0] 9 3" xfId="4797"/>
    <cellStyle name="Migliaia [0] 9 4" xfId="5742"/>
    <cellStyle name="Migliaia 10" xfId="492"/>
    <cellStyle name="Migliaia 10 2" xfId="493"/>
    <cellStyle name="Migliaia 10 2 2" xfId="2312"/>
    <cellStyle name="Migliaia 10 2 2 2" xfId="5372"/>
    <cellStyle name="Migliaia 10 2 2 3" xfId="6294"/>
    <cellStyle name="Migliaia 10 2 3" xfId="4865"/>
    <cellStyle name="Migliaia 10 2 4" xfId="5744"/>
    <cellStyle name="Migliaia 10 3" xfId="494"/>
    <cellStyle name="Migliaia 10 3 2" xfId="495"/>
    <cellStyle name="Migliaia 10 3 2 2" xfId="4939"/>
    <cellStyle name="Migliaia 10 3 2 3" xfId="5746"/>
    <cellStyle name="Migliaia 10 3 3" xfId="496"/>
    <cellStyle name="Migliaia 10 3 3 2" xfId="2314"/>
    <cellStyle name="Migliaia 10 3 3 2 2" xfId="5374"/>
    <cellStyle name="Migliaia 10 3 3 2 3" xfId="6296"/>
    <cellStyle name="Migliaia 10 3 3 3" xfId="4940"/>
    <cellStyle name="Migliaia 10 3 3 4" xfId="5747"/>
    <cellStyle name="Migliaia 10 3 4" xfId="2313"/>
    <cellStyle name="Migliaia 10 3 4 2" xfId="5373"/>
    <cellStyle name="Migliaia 10 3 4 3" xfId="6295"/>
    <cellStyle name="Migliaia 10 3 5" xfId="4938"/>
    <cellStyle name="Migliaia 10 3 6" xfId="5745"/>
    <cellStyle name="Migliaia 10 4" xfId="497"/>
    <cellStyle name="Migliaia 10 4 2" xfId="498"/>
    <cellStyle name="Migliaia 10 4 2 2" xfId="2316"/>
    <cellStyle name="Migliaia 10 4 2 2 2" xfId="5376"/>
    <cellStyle name="Migliaia 10 4 2 2 3" xfId="6298"/>
    <cellStyle name="Migliaia 10 4 2 3" xfId="4942"/>
    <cellStyle name="Migliaia 10 4 2 4" xfId="5749"/>
    <cellStyle name="Migliaia 10 4 3" xfId="2315"/>
    <cellStyle name="Migliaia 10 4 3 2" xfId="5375"/>
    <cellStyle name="Migliaia 10 4 3 3" xfId="6297"/>
    <cellStyle name="Migliaia 10 4 4" xfId="4941"/>
    <cellStyle name="Migliaia 10 4 5" xfId="5748"/>
    <cellStyle name="Migliaia 10 5" xfId="499"/>
    <cellStyle name="Migliaia 10 5 2" xfId="4943"/>
    <cellStyle name="Migliaia 10 5 3" xfId="5750"/>
    <cellStyle name="Migliaia 10 6" xfId="4798"/>
    <cellStyle name="Migliaia 10 7" xfId="5743"/>
    <cellStyle name="Migliaia 11" xfId="500"/>
    <cellStyle name="Migliaia 11 2" xfId="501"/>
    <cellStyle name="Migliaia 11 2 2" xfId="2317"/>
    <cellStyle name="Migliaia 11 2 2 2" xfId="5377"/>
    <cellStyle name="Migliaia 11 2 2 3" xfId="6299"/>
    <cellStyle name="Migliaia 11 2 3" xfId="4866"/>
    <cellStyle name="Migliaia 11 2 4" xfId="5752"/>
    <cellStyle name="Migliaia 11 3" xfId="502"/>
    <cellStyle name="Migliaia 11 3 2" xfId="503"/>
    <cellStyle name="Migliaia 11 3 2 2" xfId="4945"/>
    <cellStyle name="Migliaia 11 3 2 3" xfId="5754"/>
    <cellStyle name="Migliaia 11 3 3" xfId="504"/>
    <cellStyle name="Migliaia 11 3 3 2" xfId="2319"/>
    <cellStyle name="Migliaia 11 3 3 2 2" xfId="5379"/>
    <cellStyle name="Migliaia 11 3 3 2 3" xfId="6301"/>
    <cellStyle name="Migliaia 11 3 3 3" xfId="4946"/>
    <cellStyle name="Migliaia 11 3 3 4" xfId="5755"/>
    <cellStyle name="Migliaia 11 3 4" xfId="2318"/>
    <cellStyle name="Migliaia 11 3 4 2" xfId="5378"/>
    <cellStyle name="Migliaia 11 3 4 3" xfId="6300"/>
    <cellStyle name="Migliaia 11 3 5" xfId="4944"/>
    <cellStyle name="Migliaia 11 3 6" xfId="5753"/>
    <cellStyle name="Migliaia 11 4" xfId="505"/>
    <cellStyle name="Migliaia 11 4 2" xfId="506"/>
    <cellStyle name="Migliaia 11 4 2 2" xfId="2321"/>
    <cellStyle name="Migliaia 11 4 2 2 2" xfId="5381"/>
    <cellStyle name="Migliaia 11 4 2 2 3" xfId="6303"/>
    <cellStyle name="Migliaia 11 4 2 3" xfId="4948"/>
    <cellStyle name="Migliaia 11 4 2 4" xfId="5757"/>
    <cellStyle name="Migliaia 11 4 3" xfId="2320"/>
    <cellStyle name="Migliaia 11 4 3 2" xfId="5380"/>
    <cellStyle name="Migliaia 11 4 3 3" xfId="6302"/>
    <cellStyle name="Migliaia 11 4 4" xfId="4947"/>
    <cellStyle name="Migliaia 11 4 5" xfId="5756"/>
    <cellStyle name="Migliaia 11 5" xfId="507"/>
    <cellStyle name="Migliaia 11 5 2" xfId="4949"/>
    <cellStyle name="Migliaia 11 5 3" xfId="5758"/>
    <cellStyle name="Migliaia 11 6" xfId="4799"/>
    <cellStyle name="Migliaia 11 7" xfId="5751"/>
    <cellStyle name="Migliaia 12" xfId="508"/>
    <cellStyle name="Migliaia 12 2" xfId="509"/>
    <cellStyle name="Migliaia 12 2 2" xfId="2322"/>
    <cellStyle name="Migliaia 12 2 2 2" xfId="5382"/>
    <cellStyle name="Migliaia 12 2 2 3" xfId="6304"/>
    <cellStyle name="Migliaia 12 2 3" xfId="4867"/>
    <cellStyle name="Migliaia 12 2 4" xfId="5760"/>
    <cellStyle name="Migliaia 12 3" xfId="510"/>
    <cellStyle name="Migliaia 12 3 2" xfId="511"/>
    <cellStyle name="Migliaia 12 3 2 2" xfId="4951"/>
    <cellStyle name="Migliaia 12 3 2 3" xfId="5762"/>
    <cellStyle name="Migliaia 12 3 3" xfId="512"/>
    <cellStyle name="Migliaia 12 3 3 2" xfId="2324"/>
    <cellStyle name="Migliaia 12 3 3 2 2" xfId="5384"/>
    <cellStyle name="Migliaia 12 3 3 2 3" xfId="6306"/>
    <cellStyle name="Migliaia 12 3 3 3" xfId="4952"/>
    <cellStyle name="Migliaia 12 3 3 4" xfId="5763"/>
    <cellStyle name="Migliaia 12 3 4" xfId="2323"/>
    <cellStyle name="Migliaia 12 3 4 2" xfId="5383"/>
    <cellStyle name="Migliaia 12 3 4 3" xfId="6305"/>
    <cellStyle name="Migliaia 12 3 5" xfId="4950"/>
    <cellStyle name="Migliaia 12 3 6" xfId="5761"/>
    <cellStyle name="Migliaia 12 4" xfId="513"/>
    <cellStyle name="Migliaia 12 4 2" xfId="514"/>
    <cellStyle name="Migliaia 12 4 2 2" xfId="2326"/>
    <cellStyle name="Migliaia 12 4 2 2 2" xfId="5386"/>
    <cellStyle name="Migliaia 12 4 2 2 3" xfId="6308"/>
    <cellStyle name="Migliaia 12 4 2 3" xfId="4954"/>
    <cellStyle name="Migliaia 12 4 2 4" xfId="5765"/>
    <cellStyle name="Migliaia 12 4 3" xfId="2325"/>
    <cellStyle name="Migliaia 12 4 3 2" xfId="5385"/>
    <cellStyle name="Migliaia 12 4 3 3" xfId="6307"/>
    <cellStyle name="Migliaia 12 4 4" xfId="4953"/>
    <cellStyle name="Migliaia 12 4 5" xfId="5764"/>
    <cellStyle name="Migliaia 12 5" xfId="515"/>
    <cellStyle name="Migliaia 12 5 2" xfId="4955"/>
    <cellStyle name="Migliaia 12 5 3" xfId="5766"/>
    <cellStyle name="Migliaia 12 6" xfId="4800"/>
    <cellStyle name="Migliaia 12 7" xfId="5759"/>
    <cellStyle name="Migliaia 13" xfId="516"/>
    <cellStyle name="Migliaia 13 2" xfId="517"/>
    <cellStyle name="Migliaia 13 2 2" xfId="2327"/>
    <cellStyle name="Migliaia 13 2 2 2" xfId="5387"/>
    <cellStyle name="Migliaia 13 2 2 3" xfId="6309"/>
    <cellStyle name="Migliaia 13 2 3" xfId="4868"/>
    <cellStyle name="Migliaia 13 2 4" xfId="5768"/>
    <cellStyle name="Migliaia 13 3" xfId="518"/>
    <cellStyle name="Migliaia 13 3 2" xfId="519"/>
    <cellStyle name="Migliaia 13 3 2 2" xfId="4957"/>
    <cellStyle name="Migliaia 13 3 2 3" xfId="5770"/>
    <cellStyle name="Migliaia 13 3 3" xfId="520"/>
    <cellStyle name="Migliaia 13 3 3 2" xfId="2329"/>
    <cellStyle name="Migliaia 13 3 3 2 2" xfId="5389"/>
    <cellStyle name="Migliaia 13 3 3 2 3" xfId="6311"/>
    <cellStyle name="Migliaia 13 3 3 3" xfId="4958"/>
    <cellStyle name="Migliaia 13 3 3 4" xfId="5771"/>
    <cellStyle name="Migliaia 13 3 4" xfId="2328"/>
    <cellStyle name="Migliaia 13 3 4 2" xfId="5388"/>
    <cellStyle name="Migliaia 13 3 4 3" xfId="6310"/>
    <cellStyle name="Migliaia 13 3 5" xfId="4956"/>
    <cellStyle name="Migliaia 13 3 6" xfId="5769"/>
    <cellStyle name="Migliaia 13 4" xfId="521"/>
    <cellStyle name="Migliaia 13 4 2" xfId="522"/>
    <cellStyle name="Migliaia 13 4 2 2" xfId="2331"/>
    <cellStyle name="Migliaia 13 4 2 2 2" xfId="5391"/>
    <cellStyle name="Migliaia 13 4 2 2 3" xfId="6313"/>
    <cellStyle name="Migliaia 13 4 2 3" xfId="4960"/>
    <cellStyle name="Migliaia 13 4 2 4" xfId="5773"/>
    <cellStyle name="Migliaia 13 4 3" xfId="2330"/>
    <cellStyle name="Migliaia 13 4 3 2" xfId="5390"/>
    <cellStyle name="Migliaia 13 4 3 3" xfId="6312"/>
    <cellStyle name="Migliaia 13 4 4" xfId="4959"/>
    <cellStyle name="Migliaia 13 4 5" xfId="5772"/>
    <cellStyle name="Migliaia 13 5" xfId="523"/>
    <cellStyle name="Migliaia 13 5 2" xfId="4961"/>
    <cellStyle name="Migliaia 13 5 3" xfId="5774"/>
    <cellStyle name="Migliaia 13 6" xfId="4801"/>
    <cellStyle name="Migliaia 13 7" xfId="5767"/>
    <cellStyle name="Migliaia 14" xfId="524"/>
    <cellStyle name="Migliaia 14 2" xfId="525"/>
    <cellStyle name="Migliaia 14 2 2" xfId="2332"/>
    <cellStyle name="Migliaia 14 2 2 2" xfId="5392"/>
    <cellStyle name="Migliaia 14 2 2 3" xfId="6314"/>
    <cellStyle name="Migliaia 14 2 3" xfId="4869"/>
    <cellStyle name="Migliaia 14 2 4" xfId="5776"/>
    <cellStyle name="Migliaia 14 3" xfId="526"/>
    <cellStyle name="Migliaia 14 3 2" xfId="527"/>
    <cellStyle name="Migliaia 14 3 2 2" xfId="4963"/>
    <cellStyle name="Migliaia 14 3 2 3" xfId="5778"/>
    <cellStyle name="Migliaia 14 3 3" xfId="528"/>
    <cellStyle name="Migliaia 14 3 3 2" xfId="2334"/>
    <cellStyle name="Migliaia 14 3 3 2 2" xfId="5394"/>
    <cellStyle name="Migliaia 14 3 3 2 3" xfId="6316"/>
    <cellStyle name="Migliaia 14 3 3 3" xfId="4964"/>
    <cellStyle name="Migliaia 14 3 3 4" xfId="5779"/>
    <cellStyle name="Migliaia 14 3 4" xfId="2333"/>
    <cellStyle name="Migliaia 14 3 4 2" xfId="5393"/>
    <cellStyle name="Migliaia 14 3 4 3" xfId="6315"/>
    <cellStyle name="Migliaia 14 3 5" xfId="4962"/>
    <cellStyle name="Migliaia 14 3 6" xfId="5777"/>
    <cellStyle name="Migliaia 14 4" xfId="529"/>
    <cellStyle name="Migliaia 14 4 2" xfId="530"/>
    <cellStyle name="Migliaia 14 4 2 2" xfId="2336"/>
    <cellStyle name="Migliaia 14 4 2 2 2" xfId="5396"/>
    <cellStyle name="Migliaia 14 4 2 2 3" xfId="6318"/>
    <cellStyle name="Migliaia 14 4 2 3" xfId="4966"/>
    <cellStyle name="Migliaia 14 4 2 4" xfId="5781"/>
    <cellStyle name="Migliaia 14 4 3" xfId="2335"/>
    <cellStyle name="Migliaia 14 4 3 2" xfId="5395"/>
    <cellStyle name="Migliaia 14 4 3 3" xfId="6317"/>
    <cellStyle name="Migliaia 14 4 4" xfId="4965"/>
    <cellStyle name="Migliaia 14 4 5" xfId="5780"/>
    <cellStyle name="Migliaia 14 5" xfId="531"/>
    <cellStyle name="Migliaia 14 5 2" xfId="4967"/>
    <cellStyle name="Migliaia 14 5 3" xfId="5782"/>
    <cellStyle name="Migliaia 14 6" xfId="4802"/>
    <cellStyle name="Migliaia 14 7" xfId="5775"/>
    <cellStyle name="Migliaia 15" xfId="532"/>
    <cellStyle name="Migliaia 15 2" xfId="533"/>
    <cellStyle name="Migliaia 15 2 2" xfId="2337"/>
    <cellStyle name="Migliaia 15 2 2 2" xfId="5397"/>
    <cellStyle name="Migliaia 15 2 2 3" xfId="6319"/>
    <cellStyle name="Migliaia 15 2 3" xfId="4870"/>
    <cellStyle name="Migliaia 15 2 4" xfId="5784"/>
    <cellStyle name="Migliaia 15 3" xfId="534"/>
    <cellStyle name="Migliaia 15 3 2" xfId="535"/>
    <cellStyle name="Migliaia 15 3 2 2" xfId="4969"/>
    <cellStyle name="Migliaia 15 3 2 3" xfId="5786"/>
    <cellStyle name="Migliaia 15 3 3" xfId="536"/>
    <cellStyle name="Migliaia 15 3 3 2" xfId="2339"/>
    <cellStyle name="Migliaia 15 3 3 2 2" xfId="5399"/>
    <cellStyle name="Migliaia 15 3 3 2 3" xfId="6321"/>
    <cellStyle name="Migliaia 15 3 3 3" xfId="4970"/>
    <cellStyle name="Migliaia 15 3 3 4" xfId="5787"/>
    <cellStyle name="Migliaia 15 3 4" xfId="2338"/>
    <cellStyle name="Migliaia 15 3 4 2" xfId="5398"/>
    <cellStyle name="Migliaia 15 3 4 3" xfId="6320"/>
    <cellStyle name="Migliaia 15 3 5" xfId="4968"/>
    <cellStyle name="Migliaia 15 3 6" xfId="5785"/>
    <cellStyle name="Migliaia 15 4" xfId="537"/>
    <cellStyle name="Migliaia 15 4 2" xfId="538"/>
    <cellStyle name="Migliaia 15 4 2 2" xfId="2341"/>
    <cellStyle name="Migliaia 15 4 2 2 2" xfId="5401"/>
    <cellStyle name="Migliaia 15 4 2 2 3" xfId="6323"/>
    <cellStyle name="Migliaia 15 4 2 3" xfId="4972"/>
    <cellStyle name="Migliaia 15 4 2 4" xfId="5789"/>
    <cellStyle name="Migliaia 15 4 3" xfId="2340"/>
    <cellStyle name="Migliaia 15 4 3 2" xfId="5400"/>
    <cellStyle name="Migliaia 15 4 3 3" xfId="6322"/>
    <cellStyle name="Migliaia 15 4 4" xfId="4971"/>
    <cellStyle name="Migliaia 15 4 5" xfId="5788"/>
    <cellStyle name="Migliaia 15 5" xfId="539"/>
    <cellStyle name="Migliaia 15 5 2" xfId="4973"/>
    <cellStyle name="Migliaia 15 5 3" xfId="5790"/>
    <cellStyle name="Migliaia 15 6" xfId="4803"/>
    <cellStyle name="Migliaia 15 7" xfId="5783"/>
    <cellStyle name="Migliaia 16" xfId="540"/>
    <cellStyle name="Migliaia 16 2" xfId="541"/>
    <cellStyle name="Migliaia 16 2 2" xfId="2342"/>
    <cellStyle name="Migliaia 16 2 2 2" xfId="5402"/>
    <cellStyle name="Migliaia 16 2 2 3" xfId="6324"/>
    <cellStyle name="Migliaia 16 2 3" xfId="4871"/>
    <cellStyle name="Migliaia 16 2 4" xfId="5792"/>
    <cellStyle name="Migliaia 16 3" xfId="542"/>
    <cellStyle name="Migliaia 16 3 2" xfId="543"/>
    <cellStyle name="Migliaia 16 3 2 2" xfId="4975"/>
    <cellStyle name="Migliaia 16 3 2 3" xfId="5794"/>
    <cellStyle name="Migliaia 16 3 3" xfId="544"/>
    <cellStyle name="Migliaia 16 3 3 2" xfId="2344"/>
    <cellStyle name="Migliaia 16 3 3 2 2" xfId="5404"/>
    <cellStyle name="Migliaia 16 3 3 2 3" xfId="6326"/>
    <cellStyle name="Migliaia 16 3 3 3" xfId="4976"/>
    <cellStyle name="Migliaia 16 3 3 4" xfId="5795"/>
    <cellStyle name="Migliaia 16 3 4" xfId="2343"/>
    <cellStyle name="Migliaia 16 3 4 2" xfId="5403"/>
    <cellStyle name="Migliaia 16 3 4 3" xfId="6325"/>
    <cellStyle name="Migliaia 16 3 5" xfId="4974"/>
    <cellStyle name="Migliaia 16 3 6" xfId="5793"/>
    <cellStyle name="Migliaia 16 4" xfId="545"/>
    <cellStyle name="Migliaia 16 4 2" xfId="546"/>
    <cellStyle name="Migliaia 16 4 2 2" xfId="2346"/>
    <cellStyle name="Migliaia 16 4 2 2 2" xfId="5406"/>
    <cellStyle name="Migliaia 16 4 2 2 3" xfId="6328"/>
    <cellStyle name="Migliaia 16 4 2 3" xfId="4978"/>
    <cellStyle name="Migliaia 16 4 2 4" xfId="5797"/>
    <cellStyle name="Migliaia 16 4 3" xfId="2345"/>
    <cellStyle name="Migliaia 16 4 3 2" xfId="5405"/>
    <cellStyle name="Migliaia 16 4 3 3" xfId="6327"/>
    <cellStyle name="Migliaia 16 4 4" xfId="4977"/>
    <cellStyle name="Migliaia 16 4 5" xfId="5796"/>
    <cellStyle name="Migliaia 16 5" xfId="547"/>
    <cellStyle name="Migliaia 16 5 2" xfId="4979"/>
    <cellStyle name="Migliaia 16 5 3" xfId="5798"/>
    <cellStyle name="Migliaia 16 6" xfId="4804"/>
    <cellStyle name="Migliaia 16 7" xfId="5791"/>
    <cellStyle name="Migliaia 17" xfId="548"/>
    <cellStyle name="Migliaia 17 2" xfId="549"/>
    <cellStyle name="Migliaia 17 2 2" xfId="2347"/>
    <cellStyle name="Migliaia 17 2 2 2" xfId="5407"/>
    <cellStyle name="Migliaia 17 2 2 3" xfId="6329"/>
    <cellStyle name="Migliaia 17 2 3" xfId="4872"/>
    <cellStyle name="Migliaia 17 2 4" xfId="5800"/>
    <cellStyle name="Migliaia 17 3" xfId="550"/>
    <cellStyle name="Migliaia 17 3 2" xfId="551"/>
    <cellStyle name="Migliaia 17 3 2 2" xfId="4981"/>
    <cellStyle name="Migliaia 17 3 2 3" xfId="5802"/>
    <cellStyle name="Migliaia 17 3 3" xfId="552"/>
    <cellStyle name="Migliaia 17 3 3 2" xfId="2349"/>
    <cellStyle name="Migliaia 17 3 3 2 2" xfId="5409"/>
    <cellStyle name="Migliaia 17 3 3 2 3" xfId="6331"/>
    <cellStyle name="Migliaia 17 3 3 3" xfId="4982"/>
    <cellStyle name="Migliaia 17 3 3 4" xfId="5803"/>
    <cellStyle name="Migliaia 17 3 4" xfId="2348"/>
    <cellStyle name="Migliaia 17 3 4 2" xfId="5408"/>
    <cellStyle name="Migliaia 17 3 4 3" xfId="6330"/>
    <cellStyle name="Migliaia 17 3 5" xfId="4980"/>
    <cellStyle name="Migliaia 17 3 6" xfId="5801"/>
    <cellStyle name="Migliaia 17 4" xfId="553"/>
    <cellStyle name="Migliaia 17 4 2" xfId="554"/>
    <cellStyle name="Migliaia 17 4 2 2" xfId="2351"/>
    <cellStyle name="Migliaia 17 4 2 2 2" xfId="5411"/>
    <cellStyle name="Migliaia 17 4 2 2 3" xfId="6333"/>
    <cellStyle name="Migliaia 17 4 2 3" xfId="4984"/>
    <cellStyle name="Migliaia 17 4 2 4" xfId="5805"/>
    <cellStyle name="Migliaia 17 4 3" xfId="2350"/>
    <cellStyle name="Migliaia 17 4 3 2" xfId="5410"/>
    <cellStyle name="Migliaia 17 4 3 3" xfId="6332"/>
    <cellStyle name="Migliaia 17 4 4" xfId="4983"/>
    <cellStyle name="Migliaia 17 4 5" xfId="5804"/>
    <cellStyle name="Migliaia 17 5" xfId="555"/>
    <cellStyle name="Migliaia 17 5 2" xfId="4985"/>
    <cellStyle name="Migliaia 17 5 3" xfId="5806"/>
    <cellStyle name="Migliaia 17 6" xfId="4805"/>
    <cellStyle name="Migliaia 17 7" xfId="5799"/>
    <cellStyle name="Migliaia 18" xfId="556"/>
    <cellStyle name="Migliaia 18 2" xfId="557"/>
    <cellStyle name="Migliaia 18 2 2" xfId="2352"/>
    <cellStyle name="Migliaia 18 2 2 2" xfId="5412"/>
    <cellStyle name="Migliaia 18 2 2 3" xfId="6334"/>
    <cellStyle name="Migliaia 18 2 3" xfId="4873"/>
    <cellStyle name="Migliaia 18 2 4" xfId="5808"/>
    <cellStyle name="Migliaia 18 3" xfId="558"/>
    <cellStyle name="Migliaia 18 3 2" xfId="559"/>
    <cellStyle name="Migliaia 18 3 2 2" xfId="4987"/>
    <cellStyle name="Migliaia 18 3 2 3" xfId="5810"/>
    <cellStyle name="Migliaia 18 3 3" xfId="560"/>
    <cellStyle name="Migliaia 18 3 3 2" xfId="2354"/>
    <cellStyle name="Migliaia 18 3 3 2 2" xfId="5414"/>
    <cellStyle name="Migliaia 18 3 3 2 3" xfId="6336"/>
    <cellStyle name="Migliaia 18 3 3 3" xfId="4988"/>
    <cellStyle name="Migliaia 18 3 3 4" xfId="5811"/>
    <cellStyle name="Migliaia 18 3 4" xfId="2353"/>
    <cellStyle name="Migliaia 18 3 4 2" xfId="5413"/>
    <cellStyle name="Migliaia 18 3 4 3" xfId="6335"/>
    <cellStyle name="Migliaia 18 3 5" xfId="4986"/>
    <cellStyle name="Migliaia 18 3 6" xfId="5809"/>
    <cellStyle name="Migliaia 18 4" xfId="561"/>
    <cellStyle name="Migliaia 18 4 2" xfId="562"/>
    <cellStyle name="Migliaia 18 4 2 2" xfId="2356"/>
    <cellStyle name="Migliaia 18 4 2 2 2" xfId="5416"/>
    <cellStyle name="Migliaia 18 4 2 2 3" xfId="6338"/>
    <cellStyle name="Migliaia 18 4 2 3" xfId="4990"/>
    <cellStyle name="Migliaia 18 4 2 4" xfId="5813"/>
    <cellStyle name="Migliaia 18 4 3" xfId="2355"/>
    <cellStyle name="Migliaia 18 4 3 2" xfId="5415"/>
    <cellStyle name="Migliaia 18 4 3 3" xfId="6337"/>
    <cellStyle name="Migliaia 18 4 4" xfId="4989"/>
    <cellStyle name="Migliaia 18 4 5" xfId="5812"/>
    <cellStyle name="Migliaia 18 5" xfId="563"/>
    <cellStyle name="Migliaia 18 5 2" xfId="4991"/>
    <cellStyle name="Migliaia 18 5 3" xfId="5814"/>
    <cellStyle name="Migliaia 18 6" xfId="4806"/>
    <cellStyle name="Migliaia 18 7" xfId="5807"/>
    <cellStyle name="Migliaia 19" xfId="564"/>
    <cellStyle name="Migliaia 19 2" xfId="565"/>
    <cellStyle name="Migliaia 19 2 2" xfId="2357"/>
    <cellStyle name="Migliaia 19 2 2 2" xfId="5417"/>
    <cellStyle name="Migliaia 19 2 2 3" xfId="6339"/>
    <cellStyle name="Migliaia 19 2 3" xfId="4874"/>
    <cellStyle name="Migliaia 19 2 4" xfId="5816"/>
    <cellStyle name="Migliaia 19 3" xfId="566"/>
    <cellStyle name="Migliaia 19 3 2" xfId="567"/>
    <cellStyle name="Migliaia 19 3 2 2" xfId="4993"/>
    <cellStyle name="Migliaia 19 3 2 3" xfId="5818"/>
    <cellStyle name="Migliaia 19 3 3" xfId="568"/>
    <cellStyle name="Migliaia 19 3 3 2" xfId="2359"/>
    <cellStyle name="Migliaia 19 3 3 2 2" xfId="5419"/>
    <cellStyle name="Migliaia 19 3 3 2 3" xfId="6341"/>
    <cellStyle name="Migliaia 19 3 3 3" xfId="4994"/>
    <cellStyle name="Migliaia 19 3 3 4" xfId="5819"/>
    <cellStyle name="Migliaia 19 3 4" xfId="2358"/>
    <cellStyle name="Migliaia 19 3 4 2" xfId="5418"/>
    <cellStyle name="Migliaia 19 3 4 3" xfId="6340"/>
    <cellStyle name="Migliaia 19 3 5" xfId="4992"/>
    <cellStyle name="Migliaia 19 3 6" xfId="5817"/>
    <cellStyle name="Migliaia 19 4" xfId="569"/>
    <cellStyle name="Migliaia 19 4 2" xfId="570"/>
    <cellStyle name="Migliaia 19 4 2 2" xfId="2361"/>
    <cellStyle name="Migliaia 19 4 2 2 2" xfId="5421"/>
    <cellStyle name="Migliaia 19 4 2 2 3" xfId="6343"/>
    <cellStyle name="Migliaia 19 4 2 3" xfId="4996"/>
    <cellStyle name="Migliaia 19 4 2 4" xfId="5821"/>
    <cellStyle name="Migliaia 19 4 3" xfId="2360"/>
    <cellStyle name="Migliaia 19 4 3 2" xfId="5420"/>
    <cellStyle name="Migliaia 19 4 3 3" xfId="6342"/>
    <cellStyle name="Migliaia 19 4 4" xfId="4995"/>
    <cellStyle name="Migliaia 19 4 5" xfId="5820"/>
    <cellStyle name="Migliaia 19 5" xfId="571"/>
    <cellStyle name="Migliaia 19 5 2" xfId="4997"/>
    <cellStyle name="Migliaia 19 5 3" xfId="5822"/>
    <cellStyle name="Migliaia 19 6" xfId="4807"/>
    <cellStyle name="Migliaia 19 7" xfId="5815"/>
    <cellStyle name="Migliaia 2" xfId="572"/>
    <cellStyle name="Migliaia 2 2" xfId="573"/>
    <cellStyle name="Migliaia 2 2 2" xfId="2068"/>
    <cellStyle name="Migliaia 2 2 2 2" xfId="5367"/>
    <cellStyle name="Migliaia 2 2 2 3" xfId="6289"/>
    <cellStyle name="Migliaia 2 2 3" xfId="4809"/>
    <cellStyle name="Migliaia 2 2 4" xfId="5824"/>
    <cellStyle name="Migliaia 2 3" xfId="574"/>
    <cellStyle name="Migliaia 2 3 2" xfId="2069"/>
    <cellStyle name="Migliaia 2 3 2 2" xfId="5368"/>
    <cellStyle name="Migliaia 2 3 2 3" xfId="6290"/>
    <cellStyle name="Migliaia 2 3 3" xfId="4810"/>
    <cellStyle name="Migliaia 2 3 4" xfId="5825"/>
    <cellStyle name="Migliaia 2 4" xfId="575"/>
    <cellStyle name="Migliaia 2 4 2" xfId="576"/>
    <cellStyle name="Migliaia 2 4 2 2" xfId="4999"/>
    <cellStyle name="Migliaia 2 4 2 3" xfId="5827"/>
    <cellStyle name="Migliaia 2 4 3" xfId="577"/>
    <cellStyle name="Migliaia 2 4 3 2" xfId="2363"/>
    <cellStyle name="Migliaia 2 4 3 2 2" xfId="5423"/>
    <cellStyle name="Migliaia 2 4 3 2 3" xfId="6345"/>
    <cellStyle name="Migliaia 2 4 3 3" xfId="5000"/>
    <cellStyle name="Migliaia 2 4 3 4" xfId="5828"/>
    <cellStyle name="Migliaia 2 4 4" xfId="2362"/>
    <cellStyle name="Migliaia 2 4 4 2" xfId="5422"/>
    <cellStyle name="Migliaia 2 4 4 3" xfId="6344"/>
    <cellStyle name="Migliaia 2 4 5" xfId="4998"/>
    <cellStyle name="Migliaia 2 4 6" xfId="5826"/>
    <cellStyle name="Migliaia 2 5" xfId="578"/>
    <cellStyle name="Migliaia 2 5 2" xfId="579"/>
    <cellStyle name="Migliaia 2 5 2 2" xfId="2365"/>
    <cellStyle name="Migliaia 2 5 2 2 2" xfId="5425"/>
    <cellStyle name="Migliaia 2 5 2 2 3" xfId="6347"/>
    <cellStyle name="Migliaia 2 5 2 3" xfId="5002"/>
    <cellStyle name="Migliaia 2 5 2 4" xfId="5830"/>
    <cellStyle name="Migliaia 2 5 3" xfId="2364"/>
    <cellStyle name="Migliaia 2 5 3 2" xfId="5424"/>
    <cellStyle name="Migliaia 2 5 3 3" xfId="6346"/>
    <cellStyle name="Migliaia 2 5 4" xfId="5001"/>
    <cellStyle name="Migliaia 2 5 5" xfId="5829"/>
    <cellStyle name="Migliaia 2 6" xfId="580"/>
    <cellStyle name="Migliaia 2 6 2" xfId="5003"/>
    <cellStyle name="Migliaia 2 6 3" xfId="5831"/>
    <cellStyle name="Migliaia 2 7" xfId="4808"/>
    <cellStyle name="Migliaia 2 8" xfId="5823"/>
    <cellStyle name="Migliaia 2_Domestico_reg&amp;naz" xfId="581"/>
    <cellStyle name="Migliaia 20" xfId="582"/>
    <cellStyle name="Migliaia 20 2" xfId="583"/>
    <cellStyle name="Migliaia 20 2 2" xfId="2366"/>
    <cellStyle name="Migliaia 20 2 2 2" xfId="5426"/>
    <cellStyle name="Migliaia 20 2 2 3" xfId="6348"/>
    <cellStyle name="Migliaia 20 2 3" xfId="4875"/>
    <cellStyle name="Migliaia 20 2 4" xfId="5833"/>
    <cellStyle name="Migliaia 20 3" xfId="584"/>
    <cellStyle name="Migliaia 20 3 2" xfId="585"/>
    <cellStyle name="Migliaia 20 3 2 2" xfId="5005"/>
    <cellStyle name="Migliaia 20 3 2 3" xfId="5835"/>
    <cellStyle name="Migliaia 20 3 3" xfId="586"/>
    <cellStyle name="Migliaia 20 3 3 2" xfId="2368"/>
    <cellStyle name="Migliaia 20 3 3 2 2" xfId="5428"/>
    <cellStyle name="Migliaia 20 3 3 2 3" xfId="6350"/>
    <cellStyle name="Migliaia 20 3 3 3" xfId="5006"/>
    <cellStyle name="Migliaia 20 3 3 4" xfId="5836"/>
    <cellStyle name="Migliaia 20 3 4" xfId="2367"/>
    <cellStyle name="Migliaia 20 3 4 2" xfId="5427"/>
    <cellStyle name="Migliaia 20 3 4 3" xfId="6349"/>
    <cellStyle name="Migliaia 20 3 5" xfId="5004"/>
    <cellStyle name="Migliaia 20 3 6" xfId="5834"/>
    <cellStyle name="Migliaia 20 4" xfId="587"/>
    <cellStyle name="Migliaia 20 4 2" xfId="588"/>
    <cellStyle name="Migliaia 20 4 2 2" xfId="2370"/>
    <cellStyle name="Migliaia 20 4 2 2 2" xfId="5430"/>
    <cellStyle name="Migliaia 20 4 2 2 3" xfId="6352"/>
    <cellStyle name="Migliaia 20 4 2 3" xfId="5008"/>
    <cellStyle name="Migliaia 20 4 2 4" xfId="5838"/>
    <cellStyle name="Migliaia 20 4 3" xfId="2369"/>
    <cellStyle name="Migliaia 20 4 3 2" xfId="5429"/>
    <cellStyle name="Migliaia 20 4 3 3" xfId="6351"/>
    <cellStyle name="Migliaia 20 4 4" xfId="5007"/>
    <cellStyle name="Migliaia 20 4 5" xfId="5837"/>
    <cellStyle name="Migliaia 20 5" xfId="589"/>
    <cellStyle name="Migliaia 20 5 2" xfId="5009"/>
    <cellStyle name="Migliaia 20 5 3" xfId="5839"/>
    <cellStyle name="Migliaia 20 6" xfId="4811"/>
    <cellStyle name="Migliaia 20 7" xfId="5832"/>
    <cellStyle name="Migliaia 21" xfId="590"/>
    <cellStyle name="Migliaia 21 2" xfId="591"/>
    <cellStyle name="Migliaia 21 2 2" xfId="2371"/>
    <cellStyle name="Migliaia 21 2 2 2" xfId="5431"/>
    <cellStyle name="Migliaia 21 2 2 3" xfId="6353"/>
    <cellStyle name="Migliaia 21 2 3" xfId="4876"/>
    <cellStyle name="Migliaia 21 2 4" xfId="5841"/>
    <cellStyle name="Migliaia 21 3" xfId="592"/>
    <cellStyle name="Migliaia 21 3 2" xfId="593"/>
    <cellStyle name="Migliaia 21 3 2 2" xfId="5011"/>
    <cellStyle name="Migliaia 21 3 2 3" xfId="5843"/>
    <cellStyle name="Migliaia 21 3 3" xfId="594"/>
    <cellStyle name="Migliaia 21 3 3 2" xfId="2373"/>
    <cellStyle name="Migliaia 21 3 3 2 2" xfId="5433"/>
    <cellStyle name="Migliaia 21 3 3 2 3" xfId="6355"/>
    <cellStyle name="Migliaia 21 3 3 3" xfId="5012"/>
    <cellStyle name="Migliaia 21 3 3 4" xfId="5844"/>
    <cellStyle name="Migliaia 21 3 4" xfId="2372"/>
    <cellStyle name="Migliaia 21 3 4 2" xfId="5432"/>
    <cellStyle name="Migliaia 21 3 4 3" xfId="6354"/>
    <cellStyle name="Migliaia 21 3 5" xfId="5010"/>
    <cellStyle name="Migliaia 21 3 6" xfId="5842"/>
    <cellStyle name="Migliaia 21 4" xfId="595"/>
    <cellStyle name="Migliaia 21 4 2" xfId="596"/>
    <cellStyle name="Migliaia 21 4 2 2" xfId="2375"/>
    <cellStyle name="Migliaia 21 4 2 2 2" xfId="5435"/>
    <cellStyle name="Migliaia 21 4 2 2 3" xfId="6357"/>
    <cellStyle name="Migliaia 21 4 2 3" xfId="5014"/>
    <cellStyle name="Migliaia 21 4 2 4" xfId="5846"/>
    <cellStyle name="Migliaia 21 4 3" xfId="2374"/>
    <cellStyle name="Migliaia 21 4 3 2" xfId="5434"/>
    <cellStyle name="Migliaia 21 4 3 3" xfId="6356"/>
    <cellStyle name="Migliaia 21 4 4" xfId="5013"/>
    <cellStyle name="Migliaia 21 4 5" xfId="5845"/>
    <cellStyle name="Migliaia 21 5" xfId="597"/>
    <cellStyle name="Migliaia 21 5 2" xfId="5015"/>
    <cellStyle name="Migliaia 21 5 3" xfId="5847"/>
    <cellStyle name="Migliaia 21 6" xfId="4812"/>
    <cellStyle name="Migliaia 21 7" xfId="5840"/>
    <cellStyle name="Migliaia 22" xfId="598"/>
    <cellStyle name="Migliaia 22 2" xfId="599"/>
    <cellStyle name="Migliaia 22 2 2" xfId="2376"/>
    <cellStyle name="Migliaia 22 2 2 2" xfId="5436"/>
    <cellStyle name="Migliaia 22 2 2 3" xfId="6358"/>
    <cellStyle name="Migliaia 22 2 3" xfId="4877"/>
    <cellStyle name="Migliaia 22 2 4" xfId="5849"/>
    <cellStyle name="Migliaia 22 3" xfId="600"/>
    <cellStyle name="Migliaia 22 3 2" xfId="601"/>
    <cellStyle name="Migliaia 22 3 2 2" xfId="5017"/>
    <cellStyle name="Migliaia 22 3 2 3" xfId="5851"/>
    <cellStyle name="Migliaia 22 3 3" xfId="602"/>
    <cellStyle name="Migliaia 22 3 3 2" xfId="2378"/>
    <cellStyle name="Migliaia 22 3 3 2 2" xfId="5438"/>
    <cellStyle name="Migliaia 22 3 3 2 3" xfId="6360"/>
    <cellStyle name="Migliaia 22 3 3 3" xfId="5018"/>
    <cellStyle name="Migliaia 22 3 3 4" xfId="5852"/>
    <cellStyle name="Migliaia 22 3 4" xfId="2377"/>
    <cellStyle name="Migliaia 22 3 4 2" xfId="5437"/>
    <cellStyle name="Migliaia 22 3 4 3" xfId="6359"/>
    <cellStyle name="Migliaia 22 3 5" xfId="5016"/>
    <cellStyle name="Migliaia 22 3 6" xfId="5850"/>
    <cellStyle name="Migliaia 22 4" xfId="603"/>
    <cellStyle name="Migliaia 22 4 2" xfId="604"/>
    <cellStyle name="Migliaia 22 4 2 2" xfId="2380"/>
    <cellStyle name="Migliaia 22 4 2 2 2" xfId="5440"/>
    <cellStyle name="Migliaia 22 4 2 2 3" xfId="6362"/>
    <cellStyle name="Migliaia 22 4 2 3" xfId="5020"/>
    <cellStyle name="Migliaia 22 4 2 4" xfId="5854"/>
    <cellStyle name="Migliaia 22 4 3" xfId="2379"/>
    <cellStyle name="Migliaia 22 4 3 2" xfId="5439"/>
    <cellStyle name="Migliaia 22 4 3 3" xfId="6361"/>
    <cellStyle name="Migliaia 22 4 4" xfId="5019"/>
    <cellStyle name="Migliaia 22 4 5" xfId="5853"/>
    <cellStyle name="Migliaia 22 5" xfId="605"/>
    <cellStyle name="Migliaia 22 5 2" xfId="5021"/>
    <cellStyle name="Migliaia 22 5 3" xfId="5855"/>
    <cellStyle name="Migliaia 22 6" xfId="4813"/>
    <cellStyle name="Migliaia 22 7" xfId="5848"/>
    <cellStyle name="Migliaia 23" xfId="606"/>
    <cellStyle name="Migliaia 23 2" xfId="607"/>
    <cellStyle name="Migliaia 23 2 2" xfId="2381"/>
    <cellStyle name="Migliaia 23 2 2 2" xfId="5441"/>
    <cellStyle name="Migliaia 23 2 2 3" xfId="6363"/>
    <cellStyle name="Migliaia 23 2 3" xfId="4878"/>
    <cellStyle name="Migliaia 23 2 4" xfId="5857"/>
    <cellStyle name="Migliaia 23 3" xfId="608"/>
    <cellStyle name="Migliaia 23 3 2" xfId="609"/>
    <cellStyle name="Migliaia 23 3 2 2" xfId="5023"/>
    <cellStyle name="Migliaia 23 3 2 3" xfId="5859"/>
    <cellStyle name="Migliaia 23 3 3" xfId="610"/>
    <cellStyle name="Migliaia 23 3 3 2" xfId="2383"/>
    <cellStyle name="Migliaia 23 3 3 2 2" xfId="5443"/>
    <cellStyle name="Migliaia 23 3 3 2 3" xfId="6365"/>
    <cellStyle name="Migliaia 23 3 3 3" xfId="5024"/>
    <cellStyle name="Migliaia 23 3 3 4" xfId="5860"/>
    <cellStyle name="Migliaia 23 3 4" xfId="2382"/>
    <cellStyle name="Migliaia 23 3 4 2" xfId="5442"/>
    <cellStyle name="Migliaia 23 3 4 3" xfId="6364"/>
    <cellStyle name="Migliaia 23 3 5" xfId="5022"/>
    <cellStyle name="Migliaia 23 3 6" xfId="5858"/>
    <cellStyle name="Migliaia 23 4" xfId="611"/>
    <cellStyle name="Migliaia 23 4 2" xfId="612"/>
    <cellStyle name="Migliaia 23 4 2 2" xfId="2385"/>
    <cellStyle name="Migliaia 23 4 2 2 2" xfId="5445"/>
    <cellStyle name="Migliaia 23 4 2 2 3" xfId="6367"/>
    <cellStyle name="Migliaia 23 4 2 3" xfId="5026"/>
    <cellStyle name="Migliaia 23 4 2 4" xfId="5862"/>
    <cellStyle name="Migliaia 23 4 3" xfId="2384"/>
    <cellStyle name="Migliaia 23 4 3 2" xfId="5444"/>
    <cellStyle name="Migliaia 23 4 3 3" xfId="6366"/>
    <cellStyle name="Migliaia 23 4 4" xfId="5025"/>
    <cellStyle name="Migliaia 23 4 5" xfId="5861"/>
    <cellStyle name="Migliaia 23 5" xfId="613"/>
    <cellStyle name="Migliaia 23 5 2" xfId="5027"/>
    <cellStyle name="Migliaia 23 5 3" xfId="5863"/>
    <cellStyle name="Migliaia 23 6" xfId="4814"/>
    <cellStyle name="Migliaia 23 7" xfId="5856"/>
    <cellStyle name="Migliaia 24" xfId="614"/>
    <cellStyle name="Migliaia 24 2" xfId="615"/>
    <cellStyle name="Migliaia 24 2 2" xfId="2386"/>
    <cellStyle name="Migliaia 24 2 2 2" xfId="5446"/>
    <cellStyle name="Migliaia 24 2 2 3" xfId="6368"/>
    <cellStyle name="Migliaia 24 2 3" xfId="4879"/>
    <cellStyle name="Migliaia 24 2 4" xfId="5865"/>
    <cellStyle name="Migliaia 24 3" xfId="616"/>
    <cellStyle name="Migliaia 24 3 2" xfId="617"/>
    <cellStyle name="Migliaia 24 3 2 2" xfId="5029"/>
    <cellStyle name="Migliaia 24 3 2 3" xfId="5867"/>
    <cellStyle name="Migliaia 24 3 3" xfId="618"/>
    <cellStyle name="Migliaia 24 3 3 2" xfId="2388"/>
    <cellStyle name="Migliaia 24 3 3 2 2" xfId="5448"/>
    <cellStyle name="Migliaia 24 3 3 2 3" xfId="6370"/>
    <cellStyle name="Migliaia 24 3 3 3" xfId="5030"/>
    <cellStyle name="Migliaia 24 3 3 4" xfId="5868"/>
    <cellStyle name="Migliaia 24 3 4" xfId="2387"/>
    <cellStyle name="Migliaia 24 3 4 2" xfId="5447"/>
    <cellStyle name="Migliaia 24 3 4 3" xfId="6369"/>
    <cellStyle name="Migliaia 24 3 5" xfId="5028"/>
    <cellStyle name="Migliaia 24 3 6" xfId="5866"/>
    <cellStyle name="Migliaia 24 4" xfId="619"/>
    <cellStyle name="Migliaia 24 4 2" xfId="620"/>
    <cellStyle name="Migliaia 24 4 2 2" xfId="2390"/>
    <cellStyle name="Migliaia 24 4 2 2 2" xfId="5450"/>
    <cellStyle name="Migliaia 24 4 2 2 3" xfId="6372"/>
    <cellStyle name="Migliaia 24 4 2 3" xfId="5032"/>
    <cellStyle name="Migliaia 24 4 2 4" xfId="5870"/>
    <cellStyle name="Migliaia 24 4 3" xfId="2389"/>
    <cellStyle name="Migliaia 24 4 3 2" xfId="5449"/>
    <cellStyle name="Migliaia 24 4 3 3" xfId="6371"/>
    <cellStyle name="Migliaia 24 4 4" xfId="5031"/>
    <cellStyle name="Migliaia 24 4 5" xfId="5869"/>
    <cellStyle name="Migliaia 24 5" xfId="621"/>
    <cellStyle name="Migliaia 24 5 2" xfId="5033"/>
    <cellStyle name="Migliaia 24 5 3" xfId="5871"/>
    <cellStyle name="Migliaia 24 6" xfId="4815"/>
    <cellStyle name="Migliaia 24 7" xfId="5864"/>
    <cellStyle name="Migliaia 25" xfId="622"/>
    <cellStyle name="Migliaia 25 2" xfId="623"/>
    <cellStyle name="Migliaia 25 2 2" xfId="2391"/>
    <cellStyle name="Migliaia 25 2 2 2" xfId="5451"/>
    <cellStyle name="Migliaia 25 2 2 3" xfId="6373"/>
    <cellStyle name="Migliaia 25 2 3" xfId="4880"/>
    <cellStyle name="Migliaia 25 2 4" xfId="5873"/>
    <cellStyle name="Migliaia 25 3" xfId="624"/>
    <cellStyle name="Migliaia 25 3 2" xfId="625"/>
    <cellStyle name="Migliaia 25 3 2 2" xfId="5035"/>
    <cellStyle name="Migliaia 25 3 2 3" xfId="5875"/>
    <cellStyle name="Migliaia 25 3 3" xfId="626"/>
    <cellStyle name="Migliaia 25 3 3 2" xfId="2393"/>
    <cellStyle name="Migliaia 25 3 3 2 2" xfId="5453"/>
    <cellStyle name="Migliaia 25 3 3 2 3" xfId="6375"/>
    <cellStyle name="Migliaia 25 3 3 3" xfId="5036"/>
    <cellStyle name="Migliaia 25 3 3 4" xfId="5876"/>
    <cellStyle name="Migliaia 25 3 4" xfId="2392"/>
    <cellStyle name="Migliaia 25 3 4 2" xfId="5452"/>
    <cellStyle name="Migliaia 25 3 4 3" xfId="6374"/>
    <cellStyle name="Migliaia 25 3 5" xfId="5034"/>
    <cellStyle name="Migliaia 25 3 6" xfId="5874"/>
    <cellStyle name="Migliaia 25 4" xfId="627"/>
    <cellStyle name="Migliaia 25 4 2" xfId="628"/>
    <cellStyle name="Migliaia 25 4 2 2" xfId="2395"/>
    <cellStyle name="Migliaia 25 4 2 2 2" xfId="5455"/>
    <cellStyle name="Migliaia 25 4 2 2 3" xfId="6377"/>
    <cellStyle name="Migliaia 25 4 2 3" xfId="5038"/>
    <cellStyle name="Migliaia 25 4 2 4" xfId="5878"/>
    <cellStyle name="Migliaia 25 4 3" xfId="2394"/>
    <cellStyle name="Migliaia 25 4 3 2" xfId="5454"/>
    <cellStyle name="Migliaia 25 4 3 3" xfId="6376"/>
    <cellStyle name="Migliaia 25 4 4" xfId="5037"/>
    <cellStyle name="Migliaia 25 4 5" xfId="5877"/>
    <cellStyle name="Migliaia 25 5" xfId="629"/>
    <cellStyle name="Migliaia 25 5 2" xfId="5039"/>
    <cellStyle name="Migliaia 25 5 3" xfId="5879"/>
    <cellStyle name="Migliaia 25 6" xfId="4816"/>
    <cellStyle name="Migliaia 25 7" xfId="5872"/>
    <cellStyle name="Migliaia 26" xfId="630"/>
    <cellStyle name="Migliaia 26 2" xfId="631"/>
    <cellStyle name="Migliaia 26 2 2" xfId="2396"/>
    <cellStyle name="Migliaia 26 2 2 2" xfId="5456"/>
    <cellStyle name="Migliaia 26 2 2 3" xfId="6378"/>
    <cellStyle name="Migliaia 26 2 3" xfId="4881"/>
    <cellStyle name="Migliaia 26 2 4" xfId="5881"/>
    <cellStyle name="Migliaia 26 3" xfId="632"/>
    <cellStyle name="Migliaia 26 3 2" xfId="633"/>
    <cellStyle name="Migliaia 26 3 2 2" xfId="5041"/>
    <cellStyle name="Migliaia 26 3 2 3" xfId="5883"/>
    <cellStyle name="Migliaia 26 3 3" xfId="634"/>
    <cellStyle name="Migliaia 26 3 3 2" xfId="2398"/>
    <cellStyle name="Migliaia 26 3 3 2 2" xfId="5458"/>
    <cellStyle name="Migliaia 26 3 3 2 3" xfId="6380"/>
    <cellStyle name="Migliaia 26 3 3 3" xfId="5042"/>
    <cellStyle name="Migliaia 26 3 3 4" xfId="5884"/>
    <cellStyle name="Migliaia 26 3 4" xfId="2397"/>
    <cellStyle name="Migliaia 26 3 4 2" xfId="5457"/>
    <cellStyle name="Migliaia 26 3 4 3" xfId="6379"/>
    <cellStyle name="Migliaia 26 3 5" xfId="5040"/>
    <cellStyle name="Migliaia 26 3 6" xfId="5882"/>
    <cellStyle name="Migliaia 26 4" xfId="635"/>
    <cellStyle name="Migliaia 26 4 2" xfId="636"/>
    <cellStyle name="Migliaia 26 4 2 2" xfId="2400"/>
    <cellStyle name="Migliaia 26 4 2 2 2" xfId="5460"/>
    <cellStyle name="Migliaia 26 4 2 2 3" xfId="6382"/>
    <cellStyle name="Migliaia 26 4 2 3" xfId="5044"/>
    <cellStyle name="Migliaia 26 4 2 4" xfId="5886"/>
    <cellStyle name="Migliaia 26 4 3" xfId="2399"/>
    <cellStyle name="Migliaia 26 4 3 2" xfId="5459"/>
    <cellStyle name="Migliaia 26 4 3 3" xfId="6381"/>
    <cellStyle name="Migliaia 26 4 4" xfId="5043"/>
    <cellStyle name="Migliaia 26 4 5" xfId="5885"/>
    <cellStyle name="Migliaia 26 5" xfId="637"/>
    <cellStyle name="Migliaia 26 5 2" xfId="5045"/>
    <cellStyle name="Migliaia 26 5 3" xfId="5887"/>
    <cellStyle name="Migliaia 26 6" xfId="4817"/>
    <cellStyle name="Migliaia 26 7" xfId="5880"/>
    <cellStyle name="Migliaia 27" xfId="638"/>
    <cellStyle name="Migliaia 27 2" xfId="639"/>
    <cellStyle name="Migliaia 27 2 2" xfId="2401"/>
    <cellStyle name="Migliaia 27 2 2 2" xfId="5461"/>
    <cellStyle name="Migliaia 27 2 2 3" xfId="6383"/>
    <cellStyle name="Migliaia 27 2 3" xfId="4882"/>
    <cellStyle name="Migliaia 27 2 4" xfId="5889"/>
    <cellStyle name="Migliaia 27 3" xfId="640"/>
    <cellStyle name="Migliaia 27 3 2" xfId="641"/>
    <cellStyle name="Migliaia 27 3 2 2" xfId="5047"/>
    <cellStyle name="Migliaia 27 3 2 3" xfId="5891"/>
    <cellStyle name="Migliaia 27 3 3" xfId="642"/>
    <cellStyle name="Migliaia 27 3 3 2" xfId="2403"/>
    <cellStyle name="Migliaia 27 3 3 2 2" xfId="5463"/>
    <cellStyle name="Migliaia 27 3 3 2 3" xfId="6385"/>
    <cellStyle name="Migliaia 27 3 3 3" xfId="5048"/>
    <cellStyle name="Migliaia 27 3 3 4" xfId="5892"/>
    <cellStyle name="Migliaia 27 3 4" xfId="2402"/>
    <cellStyle name="Migliaia 27 3 4 2" xfId="5462"/>
    <cellStyle name="Migliaia 27 3 4 3" xfId="6384"/>
    <cellStyle name="Migliaia 27 3 5" xfId="5046"/>
    <cellStyle name="Migliaia 27 3 6" xfId="5890"/>
    <cellStyle name="Migliaia 27 4" xfId="643"/>
    <cellStyle name="Migliaia 27 4 2" xfId="644"/>
    <cellStyle name="Migliaia 27 4 2 2" xfId="2405"/>
    <cellStyle name="Migliaia 27 4 2 2 2" xfId="5465"/>
    <cellStyle name="Migliaia 27 4 2 2 3" xfId="6387"/>
    <cellStyle name="Migliaia 27 4 2 3" xfId="5050"/>
    <cellStyle name="Migliaia 27 4 2 4" xfId="5894"/>
    <cellStyle name="Migliaia 27 4 3" xfId="2404"/>
    <cellStyle name="Migliaia 27 4 3 2" xfId="5464"/>
    <cellStyle name="Migliaia 27 4 3 3" xfId="6386"/>
    <cellStyle name="Migliaia 27 4 4" xfId="5049"/>
    <cellStyle name="Migliaia 27 4 5" xfId="5893"/>
    <cellStyle name="Migliaia 27 5" xfId="645"/>
    <cellStyle name="Migliaia 27 5 2" xfId="5051"/>
    <cellStyle name="Migliaia 27 5 3" xfId="5895"/>
    <cellStyle name="Migliaia 27 6" xfId="4818"/>
    <cellStyle name="Migliaia 27 7" xfId="5888"/>
    <cellStyle name="Migliaia 28" xfId="646"/>
    <cellStyle name="Migliaia 28 2" xfId="647"/>
    <cellStyle name="Migliaia 28 2 2" xfId="2406"/>
    <cellStyle name="Migliaia 28 2 2 2" xfId="5466"/>
    <cellStyle name="Migliaia 28 2 2 3" xfId="6388"/>
    <cellStyle name="Migliaia 28 2 3" xfId="4883"/>
    <cellStyle name="Migliaia 28 2 4" xfId="5897"/>
    <cellStyle name="Migliaia 28 3" xfId="648"/>
    <cellStyle name="Migliaia 28 3 2" xfId="649"/>
    <cellStyle name="Migliaia 28 3 2 2" xfId="5053"/>
    <cellStyle name="Migliaia 28 3 2 3" xfId="5899"/>
    <cellStyle name="Migliaia 28 3 3" xfId="650"/>
    <cellStyle name="Migliaia 28 3 3 2" xfId="2408"/>
    <cellStyle name="Migliaia 28 3 3 2 2" xfId="5468"/>
    <cellStyle name="Migliaia 28 3 3 2 3" xfId="6390"/>
    <cellStyle name="Migliaia 28 3 3 3" xfId="5054"/>
    <cellStyle name="Migliaia 28 3 3 4" xfId="5900"/>
    <cellStyle name="Migliaia 28 3 4" xfId="2407"/>
    <cellStyle name="Migliaia 28 3 4 2" xfId="5467"/>
    <cellStyle name="Migliaia 28 3 4 3" xfId="6389"/>
    <cellStyle name="Migliaia 28 3 5" xfId="5052"/>
    <cellStyle name="Migliaia 28 3 6" xfId="5898"/>
    <cellStyle name="Migliaia 28 4" xfId="651"/>
    <cellStyle name="Migliaia 28 4 2" xfId="652"/>
    <cellStyle name="Migliaia 28 4 2 2" xfId="2410"/>
    <cellStyle name="Migliaia 28 4 2 2 2" xfId="5470"/>
    <cellStyle name="Migliaia 28 4 2 2 3" xfId="6392"/>
    <cellStyle name="Migliaia 28 4 2 3" xfId="5056"/>
    <cellStyle name="Migliaia 28 4 2 4" xfId="5902"/>
    <cellStyle name="Migliaia 28 4 3" xfId="2409"/>
    <cellStyle name="Migliaia 28 4 3 2" xfId="5469"/>
    <cellStyle name="Migliaia 28 4 3 3" xfId="6391"/>
    <cellStyle name="Migliaia 28 4 4" xfId="5055"/>
    <cellStyle name="Migliaia 28 4 5" xfId="5901"/>
    <cellStyle name="Migliaia 28 5" xfId="653"/>
    <cellStyle name="Migliaia 28 5 2" xfId="5057"/>
    <cellStyle name="Migliaia 28 5 3" xfId="5903"/>
    <cellStyle name="Migliaia 28 6" xfId="4819"/>
    <cellStyle name="Migliaia 28 7" xfId="5896"/>
    <cellStyle name="Migliaia 29" xfId="654"/>
    <cellStyle name="Migliaia 29 2" xfId="655"/>
    <cellStyle name="Migliaia 29 2 2" xfId="2411"/>
    <cellStyle name="Migliaia 29 2 2 2" xfId="5471"/>
    <cellStyle name="Migliaia 29 2 2 3" xfId="6393"/>
    <cellStyle name="Migliaia 29 2 3" xfId="4884"/>
    <cellStyle name="Migliaia 29 2 4" xfId="5905"/>
    <cellStyle name="Migliaia 29 3" xfId="656"/>
    <cellStyle name="Migliaia 29 3 2" xfId="657"/>
    <cellStyle name="Migliaia 29 3 2 2" xfId="5059"/>
    <cellStyle name="Migliaia 29 3 2 3" xfId="5907"/>
    <cellStyle name="Migliaia 29 3 3" xfId="658"/>
    <cellStyle name="Migliaia 29 3 3 2" xfId="2413"/>
    <cellStyle name="Migliaia 29 3 3 2 2" xfId="5473"/>
    <cellStyle name="Migliaia 29 3 3 2 3" xfId="6395"/>
    <cellStyle name="Migliaia 29 3 3 3" xfId="5060"/>
    <cellStyle name="Migliaia 29 3 3 4" xfId="5908"/>
    <cellStyle name="Migliaia 29 3 4" xfId="2412"/>
    <cellStyle name="Migliaia 29 3 4 2" xfId="5472"/>
    <cellStyle name="Migliaia 29 3 4 3" xfId="6394"/>
    <cellStyle name="Migliaia 29 3 5" xfId="5058"/>
    <cellStyle name="Migliaia 29 3 6" xfId="5906"/>
    <cellStyle name="Migliaia 29 4" xfId="659"/>
    <cellStyle name="Migliaia 29 4 2" xfId="660"/>
    <cellStyle name="Migliaia 29 4 2 2" xfId="2415"/>
    <cellStyle name="Migliaia 29 4 2 2 2" xfId="5475"/>
    <cellStyle name="Migliaia 29 4 2 2 3" xfId="6397"/>
    <cellStyle name="Migliaia 29 4 2 3" xfId="5062"/>
    <cellStyle name="Migliaia 29 4 2 4" xfId="5910"/>
    <cellStyle name="Migliaia 29 4 3" xfId="2414"/>
    <cellStyle name="Migliaia 29 4 3 2" xfId="5474"/>
    <cellStyle name="Migliaia 29 4 3 3" xfId="6396"/>
    <cellStyle name="Migliaia 29 4 4" xfId="5061"/>
    <cellStyle name="Migliaia 29 4 5" xfId="5909"/>
    <cellStyle name="Migliaia 29 5" xfId="661"/>
    <cellStyle name="Migliaia 29 5 2" xfId="5063"/>
    <cellStyle name="Migliaia 29 5 3" xfId="5911"/>
    <cellStyle name="Migliaia 29 6" xfId="4820"/>
    <cellStyle name="Migliaia 29 7" xfId="5904"/>
    <cellStyle name="Migliaia 3" xfId="662"/>
    <cellStyle name="Migliaia 3 2" xfId="663"/>
    <cellStyle name="Migliaia 3 2 2" xfId="2416"/>
    <cellStyle name="Migliaia 3 2 2 2" xfId="5476"/>
    <cellStyle name="Migliaia 3 2 2 3" xfId="6398"/>
    <cellStyle name="Migliaia 3 2 3" xfId="4885"/>
    <cellStyle name="Migliaia 3 2 4" xfId="5913"/>
    <cellStyle name="Migliaia 3 3" xfId="664"/>
    <cellStyle name="Migliaia 3 3 2" xfId="665"/>
    <cellStyle name="Migliaia 3 3 2 2" xfId="5065"/>
    <cellStyle name="Migliaia 3 3 2 3" xfId="5915"/>
    <cellStyle name="Migliaia 3 3 3" xfId="666"/>
    <cellStyle name="Migliaia 3 3 3 2" xfId="2418"/>
    <cellStyle name="Migliaia 3 3 3 2 2" xfId="5478"/>
    <cellStyle name="Migliaia 3 3 3 2 3" xfId="6400"/>
    <cellStyle name="Migliaia 3 3 3 3" xfId="5066"/>
    <cellStyle name="Migliaia 3 3 3 4" xfId="5916"/>
    <cellStyle name="Migliaia 3 3 4" xfId="2417"/>
    <cellStyle name="Migliaia 3 3 4 2" xfId="5477"/>
    <cellStyle name="Migliaia 3 3 4 3" xfId="6399"/>
    <cellStyle name="Migliaia 3 3 5" xfId="5064"/>
    <cellStyle name="Migliaia 3 3 6" xfId="5914"/>
    <cellStyle name="Migliaia 3 4" xfId="667"/>
    <cellStyle name="Migliaia 3 4 2" xfId="668"/>
    <cellStyle name="Migliaia 3 4 2 2" xfId="2420"/>
    <cellStyle name="Migliaia 3 4 2 2 2" xfId="5480"/>
    <cellStyle name="Migliaia 3 4 2 2 3" xfId="6402"/>
    <cellStyle name="Migliaia 3 4 2 3" xfId="5068"/>
    <cellStyle name="Migliaia 3 4 2 4" xfId="5918"/>
    <cellStyle name="Migliaia 3 4 3" xfId="2419"/>
    <cellStyle name="Migliaia 3 4 3 2" xfId="5479"/>
    <cellStyle name="Migliaia 3 4 3 3" xfId="6401"/>
    <cellStyle name="Migliaia 3 4 4" xfId="5067"/>
    <cellStyle name="Migliaia 3 4 5" xfId="5917"/>
    <cellStyle name="Migliaia 3 5" xfId="669"/>
    <cellStyle name="Migliaia 3 5 2" xfId="5069"/>
    <cellStyle name="Migliaia 3 5 3" xfId="5919"/>
    <cellStyle name="Migliaia 3 6" xfId="4821"/>
    <cellStyle name="Migliaia 3 7" xfId="5912"/>
    <cellStyle name="Migliaia 30" xfId="670"/>
    <cellStyle name="Migliaia 30 2" xfId="671"/>
    <cellStyle name="Migliaia 30 2 2" xfId="2421"/>
    <cellStyle name="Migliaia 30 2 2 2" xfId="5481"/>
    <cellStyle name="Migliaia 30 2 2 3" xfId="6403"/>
    <cellStyle name="Migliaia 30 2 3" xfId="4886"/>
    <cellStyle name="Migliaia 30 2 4" xfId="5921"/>
    <cellStyle name="Migliaia 30 3" xfId="672"/>
    <cellStyle name="Migliaia 30 3 2" xfId="673"/>
    <cellStyle name="Migliaia 30 3 2 2" xfId="5071"/>
    <cellStyle name="Migliaia 30 3 2 3" xfId="5923"/>
    <cellStyle name="Migliaia 30 3 3" xfId="674"/>
    <cellStyle name="Migliaia 30 3 3 2" xfId="2423"/>
    <cellStyle name="Migliaia 30 3 3 2 2" xfId="5483"/>
    <cellStyle name="Migliaia 30 3 3 2 3" xfId="6405"/>
    <cellStyle name="Migliaia 30 3 3 3" xfId="5072"/>
    <cellStyle name="Migliaia 30 3 3 4" xfId="5924"/>
    <cellStyle name="Migliaia 30 3 4" xfId="2422"/>
    <cellStyle name="Migliaia 30 3 4 2" xfId="5482"/>
    <cellStyle name="Migliaia 30 3 4 3" xfId="6404"/>
    <cellStyle name="Migliaia 30 3 5" xfId="5070"/>
    <cellStyle name="Migliaia 30 3 6" xfId="5922"/>
    <cellStyle name="Migliaia 30 4" xfId="675"/>
    <cellStyle name="Migliaia 30 4 2" xfId="676"/>
    <cellStyle name="Migliaia 30 4 2 2" xfId="2425"/>
    <cellStyle name="Migliaia 30 4 2 2 2" xfId="5485"/>
    <cellStyle name="Migliaia 30 4 2 2 3" xfId="6407"/>
    <cellStyle name="Migliaia 30 4 2 3" xfId="5074"/>
    <cellStyle name="Migliaia 30 4 2 4" xfId="5926"/>
    <cellStyle name="Migliaia 30 4 3" xfId="2424"/>
    <cellStyle name="Migliaia 30 4 3 2" xfId="5484"/>
    <cellStyle name="Migliaia 30 4 3 3" xfId="6406"/>
    <cellStyle name="Migliaia 30 4 4" xfId="5073"/>
    <cellStyle name="Migliaia 30 4 5" xfId="5925"/>
    <cellStyle name="Migliaia 30 5" xfId="677"/>
    <cellStyle name="Migliaia 30 5 2" xfId="5075"/>
    <cellStyle name="Migliaia 30 5 3" xfId="5927"/>
    <cellStyle name="Migliaia 30 6" xfId="4822"/>
    <cellStyle name="Migliaia 30 7" xfId="5920"/>
    <cellStyle name="Migliaia 31" xfId="678"/>
    <cellStyle name="Migliaia 31 2" xfId="679"/>
    <cellStyle name="Migliaia 31 2 2" xfId="2426"/>
    <cellStyle name="Migliaia 31 2 2 2" xfId="5486"/>
    <cellStyle name="Migliaia 31 2 2 3" xfId="6408"/>
    <cellStyle name="Migliaia 31 2 3" xfId="4887"/>
    <cellStyle name="Migliaia 31 2 4" xfId="5929"/>
    <cellStyle name="Migliaia 31 3" xfId="680"/>
    <cellStyle name="Migliaia 31 3 2" xfId="681"/>
    <cellStyle name="Migliaia 31 3 2 2" xfId="5077"/>
    <cellStyle name="Migliaia 31 3 2 3" xfId="5931"/>
    <cellStyle name="Migliaia 31 3 3" xfId="682"/>
    <cellStyle name="Migliaia 31 3 3 2" xfId="2428"/>
    <cellStyle name="Migliaia 31 3 3 2 2" xfId="5488"/>
    <cellStyle name="Migliaia 31 3 3 2 3" xfId="6410"/>
    <cellStyle name="Migliaia 31 3 3 3" xfId="5078"/>
    <cellStyle name="Migliaia 31 3 3 4" xfId="5932"/>
    <cellStyle name="Migliaia 31 3 4" xfId="2427"/>
    <cellStyle name="Migliaia 31 3 4 2" xfId="5487"/>
    <cellStyle name="Migliaia 31 3 4 3" xfId="6409"/>
    <cellStyle name="Migliaia 31 3 5" xfId="5076"/>
    <cellStyle name="Migliaia 31 3 6" xfId="5930"/>
    <cellStyle name="Migliaia 31 4" xfId="683"/>
    <cellStyle name="Migliaia 31 4 2" xfId="684"/>
    <cellStyle name="Migliaia 31 4 2 2" xfId="2430"/>
    <cellStyle name="Migliaia 31 4 2 2 2" xfId="5490"/>
    <cellStyle name="Migliaia 31 4 2 2 3" xfId="6412"/>
    <cellStyle name="Migliaia 31 4 2 3" xfId="5080"/>
    <cellStyle name="Migliaia 31 4 2 4" xfId="5934"/>
    <cellStyle name="Migliaia 31 4 3" xfId="2429"/>
    <cellStyle name="Migliaia 31 4 3 2" xfId="5489"/>
    <cellStyle name="Migliaia 31 4 3 3" xfId="6411"/>
    <cellStyle name="Migliaia 31 4 4" xfId="5079"/>
    <cellStyle name="Migliaia 31 4 5" xfId="5933"/>
    <cellStyle name="Migliaia 31 5" xfId="685"/>
    <cellStyle name="Migliaia 31 5 2" xfId="5081"/>
    <cellStyle name="Migliaia 31 5 3" xfId="5935"/>
    <cellStyle name="Migliaia 31 6" xfId="4823"/>
    <cellStyle name="Migliaia 31 7" xfId="5928"/>
    <cellStyle name="Migliaia 32" xfId="686"/>
    <cellStyle name="Migliaia 32 2" xfId="687"/>
    <cellStyle name="Migliaia 32 2 2" xfId="2431"/>
    <cellStyle name="Migliaia 32 2 2 2" xfId="5491"/>
    <cellStyle name="Migliaia 32 2 2 3" xfId="6413"/>
    <cellStyle name="Migliaia 32 2 3" xfId="4888"/>
    <cellStyle name="Migliaia 32 2 4" xfId="5937"/>
    <cellStyle name="Migliaia 32 3" xfId="688"/>
    <cellStyle name="Migliaia 32 3 2" xfId="689"/>
    <cellStyle name="Migliaia 32 3 2 2" xfId="5083"/>
    <cellStyle name="Migliaia 32 3 2 3" xfId="5939"/>
    <cellStyle name="Migliaia 32 3 3" xfId="690"/>
    <cellStyle name="Migliaia 32 3 3 2" xfId="2433"/>
    <cellStyle name="Migliaia 32 3 3 2 2" xfId="5493"/>
    <cellStyle name="Migliaia 32 3 3 2 3" xfId="6415"/>
    <cellStyle name="Migliaia 32 3 3 3" xfId="5084"/>
    <cellStyle name="Migliaia 32 3 3 4" xfId="5940"/>
    <cellStyle name="Migliaia 32 3 4" xfId="2432"/>
    <cellStyle name="Migliaia 32 3 4 2" xfId="5492"/>
    <cellStyle name="Migliaia 32 3 4 3" xfId="6414"/>
    <cellStyle name="Migliaia 32 3 5" xfId="5082"/>
    <cellStyle name="Migliaia 32 3 6" xfId="5938"/>
    <cellStyle name="Migliaia 32 4" xfId="691"/>
    <cellStyle name="Migliaia 32 4 2" xfId="692"/>
    <cellStyle name="Migliaia 32 4 2 2" xfId="2435"/>
    <cellStyle name="Migliaia 32 4 2 2 2" xfId="5495"/>
    <cellStyle name="Migliaia 32 4 2 2 3" xfId="6417"/>
    <cellStyle name="Migliaia 32 4 2 3" xfId="5086"/>
    <cellStyle name="Migliaia 32 4 2 4" xfId="5942"/>
    <cellStyle name="Migliaia 32 4 3" xfId="2434"/>
    <cellStyle name="Migliaia 32 4 3 2" xfId="5494"/>
    <cellStyle name="Migliaia 32 4 3 3" xfId="6416"/>
    <cellStyle name="Migliaia 32 4 4" xfId="5085"/>
    <cellStyle name="Migliaia 32 4 5" xfId="5941"/>
    <cellStyle name="Migliaia 32 5" xfId="693"/>
    <cellStyle name="Migliaia 32 5 2" xfId="5087"/>
    <cellStyle name="Migliaia 32 5 3" xfId="5943"/>
    <cellStyle name="Migliaia 32 6" xfId="4824"/>
    <cellStyle name="Migliaia 32 7" xfId="5936"/>
    <cellStyle name="Migliaia 33" xfId="694"/>
    <cellStyle name="Migliaia 33 2" xfId="695"/>
    <cellStyle name="Migliaia 33 2 2" xfId="2436"/>
    <cellStyle name="Migliaia 33 2 2 2" xfId="5496"/>
    <cellStyle name="Migliaia 33 2 2 3" xfId="6418"/>
    <cellStyle name="Migliaia 33 2 3" xfId="4889"/>
    <cellStyle name="Migliaia 33 2 4" xfId="5945"/>
    <cellStyle name="Migliaia 33 3" xfId="696"/>
    <cellStyle name="Migliaia 33 3 2" xfId="697"/>
    <cellStyle name="Migliaia 33 3 2 2" xfId="5089"/>
    <cellStyle name="Migliaia 33 3 2 3" xfId="5947"/>
    <cellStyle name="Migliaia 33 3 3" xfId="698"/>
    <cellStyle name="Migliaia 33 3 3 2" xfId="2438"/>
    <cellStyle name="Migliaia 33 3 3 2 2" xfId="5498"/>
    <cellStyle name="Migliaia 33 3 3 2 3" xfId="6420"/>
    <cellStyle name="Migliaia 33 3 3 3" xfId="5090"/>
    <cellStyle name="Migliaia 33 3 3 4" xfId="5948"/>
    <cellStyle name="Migliaia 33 3 4" xfId="2437"/>
    <cellStyle name="Migliaia 33 3 4 2" xfId="5497"/>
    <cellStyle name="Migliaia 33 3 4 3" xfId="6419"/>
    <cellStyle name="Migliaia 33 3 5" xfId="5088"/>
    <cellStyle name="Migliaia 33 3 6" xfId="5946"/>
    <cellStyle name="Migliaia 33 4" xfId="699"/>
    <cellStyle name="Migliaia 33 4 2" xfId="700"/>
    <cellStyle name="Migliaia 33 4 2 2" xfId="2440"/>
    <cellStyle name="Migliaia 33 4 2 2 2" xfId="5500"/>
    <cellStyle name="Migliaia 33 4 2 2 3" xfId="6422"/>
    <cellStyle name="Migliaia 33 4 2 3" xfId="5092"/>
    <cellStyle name="Migliaia 33 4 2 4" xfId="5950"/>
    <cellStyle name="Migliaia 33 4 3" xfId="2439"/>
    <cellStyle name="Migliaia 33 4 3 2" xfId="5499"/>
    <cellStyle name="Migliaia 33 4 3 3" xfId="6421"/>
    <cellStyle name="Migliaia 33 4 4" xfId="5091"/>
    <cellStyle name="Migliaia 33 4 5" xfId="5949"/>
    <cellStyle name="Migliaia 33 5" xfId="701"/>
    <cellStyle name="Migliaia 33 5 2" xfId="5093"/>
    <cellStyle name="Migliaia 33 5 3" xfId="5951"/>
    <cellStyle name="Migliaia 33 6" xfId="4825"/>
    <cellStyle name="Migliaia 33 7" xfId="5944"/>
    <cellStyle name="Migliaia 34" xfId="702"/>
    <cellStyle name="Migliaia 34 2" xfId="703"/>
    <cellStyle name="Migliaia 34 2 2" xfId="2441"/>
    <cellStyle name="Migliaia 34 2 2 2" xfId="5501"/>
    <cellStyle name="Migliaia 34 2 2 3" xfId="6423"/>
    <cellStyle name="Migliaia 34 2 3" xfId="4890"/>
    <cellStyle name="Migliaia 34 2 4" xfId="5953"/>
    <cellStyle name="Migliaia 34 3" xfId="704"/>
    <cellStyle name="Migliaia 34 3 2" xfId="705"/>
    <cellStyle name="Migliaia 34 3 2 2" xfId="5095"/>
    <cellStyle name="Migliaia 34 3 2 3" xfId="5955"/>
    <cellStyle name="Migliaia 34 3 3" xfId="706"/>
    <cellStyle name="Migliaia 34 3 3 2" xfId="2443"/>
    <cellStyle name="Migliaia 34 3 3 2 2" xfId="5503"/>
    <cellStyle name="Migliaia 34 3 3 2 3" xfId="6425"/>
    <cellStyle name="Migliaia 34 3 3 3" xfId="5096"/>
    <cellStyle name="Migliaia 34 3 3 4" xfId="5956"/>
    <cellStyle name="Migliaia 34 3 4" xfId="2442"/>
    <cellStyle name="Migliaia 34 3 4 2" xfId="5502"/>
    <cellStyle name="Migliaia 34 3 4 3" xfId="6424"/>
    <cellStyle name="Migliaia 34 3 5" xfId="5094"/>
    <cellStyle name="Migliaia 34 3 6" xfId="5954"/>
    <cellStyle name="Migliaia 34 4" xfId="707"/>
    <cellStyle name="Migliaia 34 4 2" xfId="708"/>
    <cellStyle name="Migliaia 34 4 2 2" xfId="2445"/>
    <cellStyle name="Migliaia 34 4 2 2 2" xfId="5505"/>
    <cellStyle name="Migliaia 34 4 2 2 3" xfId="6427"/>
    <cellStyle name="Migliaia 34 4 2 3" xfId="5098"/>
    <cellStyle name="Migliaia 34 4 2 4" xfId="5958"/>
    <cellStyle name="Migliaia 34 4 3" xfId="2444"/>
    <cellStyle name="Migliaia 34 4 3 2" xfId="5504"/>
    <cellStyle name="Migliaia 34 4 3 3" xfId="6426"/>
    <cellStyle name="Migliaia 34 4 4" xfId="5097"/>
    <cellStyle name="Migliaia 34 4 5" xfId="5957"/>
    <cellStyle name="Migliaia 34 5" xfId="709"/>
    <cellStyle name="Migliaia 34 5 2" xfId="5099"/>
    <cellStyle name="Migliaia 34 5 3" xfId="5959"/>
    <cellStyle name="Migliaia 34 6" xfId="4826"/>
    <cellStyle name="Migliaia 34 7" xfId="5952"/>
    <cellStyle name="Migliaia 35" xfId="710"/>
    <cellStyle name="Migliaia 35 2" xfId="711"/>
    <cellStyle name="Migliaia 35 2 2" xfId="2446"/>
    <cellStyle name="Migliaia 35 2 2 2" xfId="5506"/>
    <cellStyle name="Migliaia 35 2 2 3" xfId="6428"/>
    <cellStyle name="Migliaia 35 2 3" xfId="4891"/>
    <cellStyle name="Migliaia 35 2 4" xfId="5961"/>
    <cellStyle name="Migliaia 35 3" xfId="712"/>
    <cellStyle name="Migliaia 35 3 2" xfId="713"/>
    <cellStyle name="Migliaia 35 3 2 2" xfId="5101"/>
    <cellStyle name="Migliaia 35 3 2 3" xfId="5963"/>
    <cellStyle name="Migliaia 35 3 3" xfId="714"/>
    <cellStyle name="Migliaia 35 3 3 2" xfId="2448"/>
    <cellStyle name="Migliaia 35 3 3 2 2" xfId="5508"/>
    <cellStyle name="Migliaia 35 3 3 2 3" xfId="6430"/>
    <cellStyle name="Migliaia 35 3 3 3" xfId="5102"/>
    <cellStyle name="Migliaia 35 3 3 4" xfId="5964"/>
    <cellStyle name="Migliaia 35 3 4" xfId="2447"/>
    <cellStyle name="Migliaia 35 3 4 2" xfId="5507"/>
    <cellStyle name="Migliaia 35 3 4 3" xfId="6429"/>
    <cellStyle name="Migliaia 35 3 5" xfId="5100"/>
    <cellStyle name="Migliaia 35 3 6" xfId="5962"/>
    <cellStyle name="Migliaia 35 4" xfId="715"/>
    <cellStyle name="Migliaia 35 4 2" xfId="716"/>
    <cellStyle name="Migliaia 35 4 2 2" xfId="2450"/>
    <cellStyle name="Migliaia 35 4 2 2 2" xfId="5510"/>
    <cellStyle name="Migliaia 35 4 2 2 3" xfId="6432"/>
    <cellStyle name="Migliaia 35 4 2 3" xfId="5104"/>
    <cellStyle name="Migliaia 35 4 2 4" xfId="5966"/>
    <cellStyle name="Migliaia 35 4 3" xfId="2449"/>
    <cellStyle name="Migliaia 35 4 3 2" xfId="5509"/>
    <cellStyle name="Migliaia 35 4 3 3" xfId="6431"/>
    <cellStyle name="Migliaia 35 4 4" xfId="5103"/>
    <cellStyle name="Migliaia 35 4 5" xfId="5965"/>
    <cellStyle name="Migliaia 35 5" xfId="717"/>
    <cellStyle name="Migliaia 35 5 2" xfId="5105"/>
    <cellStyle name="Migliaia 35 5 3" xfId="5967"/>
    <cellStyle name="Migliaia 35 6" xfId="4827"/>
    <cellStyle name="Migliaia 35 7" xfId="5960"/>
    <cellStyle name="Migliaia 36" xfId="718"/>
    <cellStyle name="Migliaia 36 2" xfId="719"/>
    <cellStyle name="Migliaia 36 2 2" xfId="2451"/>
    <cellStyle name="Migliaia 36 2 2 2" xfId="5511"/>
    <cellStyle name="Migliaia 36 2 2 3" xfId="6433"/>
    <cellStyle name="Migliaia 36 2 3" xfId="4892"/>
    <cellStyle name="Migliaia 36 2 4" xfId="5969"/>
    <cellStyle name="Migliaia 36 3" xfId="720"/>
    <cellStyle name="Migliaia 36 3 2" xfId="721"/>
    <cellStyle name="Migliaia 36 3 2 2" xfId="5107"/>
    <cellStyle name="Migliaia 36 3 2 3" xfId="5971"/>
    <cellStyle name="Migliaia 36 3 3" xfId="722"/>
    <cellStyle name="Migliaia 36 3 3 2" xfId="2453"/>
    <cellStyle name="Migliaia 36 3 3 2 2" xfId="5513"/>
    <cellStyle name="Migliaia 36 3 3 2 3" xfId="6435"/>
    <cellStyle name="Migliaia 36 3 3 3" xfId="5108"/>
    <cellStyle name="Migliaia 36 3 3 4" xfId="5972"/>
    <cellStyle name="Migliaia 36 3 4" xfId="2452"/>
    <cellStyle name="Migliaia 36 3 4 2" xfId="5512"/>
    <cellStyle name="Migliaia 36 3 4 3" xfId="6434"/>
    <cellStyle name="Migliaia 36 3 5" xfId="5106"/>
    <cellStyle name="Migliaia 36 3 6" xfId="5970"/>
    <cellStyle name="Migliaia 36 4" xfId="723"/>
    <cellStyle name="Migliaia 36 4 2" xfId="724"/>
    <cellStyle name="Migliaia 36 4 2 2" xfId="2455"/>
    <cellStyle name="Migliaia 36 4 2 2 2" xfId="5515"/>
    <cellStyle name="Migliaia 36 4 2 2 3" xfId="6437"/>
    <cellStyle name="Migliaia 36 4 2 3" xfId="5110"/>
    <cellStyle name="Migliaia 36 4 2 4" xfId="5974"/>
    <cellStyle name="Migliaia 36 4 3" xfId="2454"/>
    <cellStyle name="Migliaia 36 4 3 2" xfId="5514"/>
    <cellStyle name="Migliaia 36 4 3 3" xfId="6436"/>
    <cellStyle name="Migliaia 36 4 4" xfId="5109"/>
    <cellStyle name="Migliaia 36 4 5" xfId="5973"/>
    <cellStyle name="Migliaia 36 5" xfId="725"/>
    <cellStyle name="Migliaia 36 5 2" xfId="5111"/>
    <cellStyle name="Migliaia 36 5 3" xfId="5975"/>
    <cellStyle name="Migliaia 36 6" xfId="4828"/>
    <cellStyle name="Migliaia 36 7" xfId="5968"/>
    <cellStyle name="Migliaia 37" xfId="726"/>
    <cellStyle name="Migliaia 37 2" xfId="727"/>
    <cellStyle name="Migliaia 37 2 2" xfId="2456"/>
    <cellStyle name="Migliaia 37 2 2 2" xfId="5516"/>
    <cellStyle name="Migliaia 37 2 2 3" xfId="6438"/>
    <cellStyle name="Migliaia 37 2 3" xfId="4893"/>
    <cellStyle name="Migliaia 37 2 4" xfId="5977"/>
    <cellStyle name="Migliaia 37 3" xfId="728"/>
    <cellStyle name="Migliaia 37 3 2" xfId="729"/>
    <cellStyle name="Migliaia 37 3 2 2" xfId="5113"/>
    <cellStyle name="Migliaia 37 3 2 3" xfId="5979"/>
    <cellStyle name="Migliaia 37 3 3" xfId="730"/>
    <cellStyle name="Migliaia 37 3 3 2" xfId="2458"/>
    <cellStyle name="Migliaia 37 3 3 2 2" xfId="5518"/>
    <cellStyle name="Migliaia 37 3 3 2 3" xfId="6440"/>
    <cellStyle name="Migliaia 37 3 3 3" xfId="5114"/>
    <cellStyle name="Migliaia 37 3 3 4" xfId="5980"/>
    <cellStyle name="Migliaia 37 3 4" xfId="2457"/>
    <cellStyle name="Migliaia 37 3 4 2" xfId="5517"/>
    <cellStyle name="Migliaia 37 3 4 3" xfId="6439"/>
    <cellStyle name="Migliaia 37 3 5" xfId="5112"/>
    <cellStyle name="Migliaia 37 3 6" xfId="5978"/>
    <cellStyle name="Migliaia 37 4" xfId="731"/>
    <cellStyle name="Migliaia 37 4 2" xfId="732"/>
    <cellStyle name="Migliaia 37 4 2 2" xfId="2460"/>
    <cellStyle name="Migliaia 37 4 2 2 2" xfId="5520"/>
    <cellStyle name="Migliaia 37 4 2 2 3" xfId="6442"/>
    <cellStyle name="Migliaia 37 4 2 3" xfId="5116"/>
    <cellStyle name="Migliaia 37 4 2 4" xfId="5982"/>
    <cellStyle name="Migliaia 37 4 3" xfId="2459"/>
    <cellStyle name="Migliaia 37 4 3 2" xfId="5519"/>
    <cellStyle name="Migliaia 37 4 3 3" xfId="6441"/>
    <cellStyle name="Migliaia 37 4 4" xfId="5115"/>
    <cellStyle name="Migliaia 37 4 5" xfId="5981"/>
    <cellStyle name="Migliaia 37 5" xfId="733"/>
    <cellStyle name="Migliaia 37 5 2" xfId="5117"/>
    <cellStyle name="Migliaia 37 5 3" xfId="5983"/>
    <cellStyle name="Migliaia 37 6" xfId="4829"/>
    <cellStyle name="Migliaia 37 7" xfId="5976"/>
    <cellStyle name="Migliaia 38" xfId="734"/>
    <cellStyle name="Migliaia 38 2" xfId="735"/>
    <cellStyle name="Migliaia 38 2 2" xfId="2461"/>
    <cellStyle name="Migliaia 38 2 2 2" xfId="5521"/>
    <cellStyle name="Migliaia 38 2 2 3" xfId="6443"/>
    <cellStyle name="Migliaia 38 2 3" xfId="4894"/>
    <cellStyle name="Migliaia 38 2 4" xfId="5985"/>
    <cellStyle name="Migliaia 38 3" xfId="736"/>
    <cellStyle name="Migliaia 38 3 2" xfId="737"/>
    <cellStyle name="Migliaia 38 3 2 2" xfId="5119"/>
    <cellStyle name="Migliaia 38 3 2 3" xfId="5987"/>
    <cellStyle name="Migliaia 38 3 3" xfId="738"/>
    <cellStyle name="Migliaia 38 3 3 2" xfId="2463"/>
    <cellStyle name="Migliaia 38 3 3 2 2" xfId="5523"/>
    <cellStyle name="Migliaia 38 3 3 2 3" xfId="6445"/>
    <cellStyle name="Migliaia 38 3 3 3" xfId="5120"/>
    <cellStyle name="Migliaia 38 3 3 4" xfId="5988"/>
    <cellStyle name="Migliaia 38 3 4" xfId="2462"/>
    <cellStyle name="Migliaia 38 3 4 2" xfId="5522"/>
    <cellStyle name="Migliaia 38 3 4 3" xfId="6444"/>
    <cellStyle name="Migliaia 38 3 5" xfId="5118"/>
    <cellStyle name="Migliaia 38 3 6" xfId="5986"/>
    <cellStyle name="Migliaia 38 4" xfId="739"/>
    <cellStyle name="Migliaia 38 4 2" xfId="740"/>
    <cellStyle name="Migliaia 38 4 2 2" xfId="2465"/>
    <cellStyle name="Migliaia 38 4 2 2 2" xfId="5525"/>
    <cellStyle name="Migliaia 38 4 2 2 3" xfId="6447"/>
    <cellStyle name="Migliaia 38 4 2 3" xfId="5122"/>
    <cellStyle name="Migliaia 38 4 2 4" xfId="5990"/>
    <cellStyle name="Migliaia 38 4 3" xfId="2464"/>
    <cellStyle name="Migliaia 38 4 3 2" xfId="5524"/>
    <cellStyle name="Migliaia 38 4 3 3" xfId="6446"/>
    <cellStyle name="Migliaia 38 4 4" xfId="5121"/>
    <cellStyle name="Migliaia 38 4 5" xfId="5989"/>
    <cellStyle name="Migliaia 38 5" xfId="741"/>
    <cellStyle name="Migliaia 38 5 2" xfId="5123"/>
    <cellStyle name="Migliaia 38 5 3" xfId="5991"/>
    <cellStyle name="Migliaia 38 6" xfId="4830"/>
    <cellStyle name="Migliaia 38 7" xfId="5984"/>
    <cellStyle name="Migliaia 39" xfId="742"/>
    <cellStyle name="Migliaia 39 2" xfId="743"/>
    <cellStyle name="Migliaia 39 2 2" xfId="2466"/>
    <cellStyle name="Migliaia 39 2 2 2" xfId="5526"/>
    <cellStyle name="Migliaia 39 2 2 3" xfId="6448"/>
    <cellStyle name="Migliaia 39 2 3" xfId="4895"/>
    <cellStyle name="Migliaia 39 2 4" xfId="5993"/>
    <cellStyle name="Migliaia 39 3" xfId="744"/>
    <cellStyle name="Migliaia 39 3 2" xfId="745"/>
    <cellStyle name="Migliaia 39 3 2 2" xfId="5125"/>
    <cellStyle name="Migliaia 39 3 2 3" xfId="5995"/>
    <cellStyle name="Migliaia 39 3 3" xfId="746"/>
    <cellStyle name="Migliaia 39 3 3 2" xfId="2468"/>
    <cellStyle name="Migliaia 39 3 3 2 2" xfId="5528"/>
    <cellStyle name="Migliaia 39 3 3 2 3" xfId="6450"/>
    <cellStyle name="Migliaia 39 3 3 3" xfId="5126"/>
    <cellStyle name="Migliaia 39 3 3 4" xfId="5996"/>
    <cellStyle name="Migliaia 39 3 4" xfId="2467"/>
    <cellStyle name="Migliaia 39 3 4 2" xfId="5527"/>
    <cellStyle name="Migliaia 39 3 4 3" xfId="6449"/>
    <cellStyle name="Migliaia 39 3 5" xfId="5124"/>
    <cellStyle name="Migliaia 39 3 6" xfId="5994"/>
    <cellStyle name="Migliaia 39 4" xfId="747"/>
    <cellStyle name="Migliaia 39 4 2" xfId="748"/>
    <cellStyle name="Migliaia 39 4 2 2" xfId="2470"/>
    <cellStyle name="Migliaia 39 4 2 2 2" xfId="5530"/>
    <cellStyle name="Migliaia 39 4 2 2 3" xfId="6452"/>
    <cellStyle name="Migliaia 39 4 2 3" xfId="5128"/>
    <cellStyle name="Migliaia 39 4 2 4" xfId="5998"/>
    <cellStyle name="Migliaia 39 4 3" xfId="2469"/>
    <cellStyle name="Migliaia 39 4 3 2" xfId="5529"/>
    <cellStyle name="Migliaia 39 4 3 3" xfId="6451"/>
    <cellStyle name="Migliaia 39 4 4" xfId="5127"/>
    <cellStyle name="Migliaia 39 4 5" xfId="5997"/>
    <cellStyle name="Migliaia 39 5" xfId="749"/>
    <cellStyle name="Migliaia 39 5 2" xfId="5129"/>
    <cellStyle name="Migliaia 39 5 3" xfId="5999"/>
    <cellStyle name="Migliaia 39 6" xfId="4831"/>
    <cellStyle name="Migliaia 39 7" xfId="5992"/>
    <cellStyle name="Migliaia 4" xfId="750"/>
    <cellStyle name="Migliaia 4 2" xfId="751"/>
    <cellStyle name="Migliaia 4 2 2" xfId="2471"/>
    <cellStyle name="Migliaia 4 2 2 2" xfId="5531"/>
    <cellStyle name="Migliaia 4 2 2 3" xfId="6453"/>
    <cellStyle name="Migliaia 4 2 3" xfId="4896"/>
    <cellStyle name="Migliaia 4 2 4" xfId="6001"/>
    <cellStyle name="Migliaia 4 3" xfId="752"/>
    <cellStyle name="Migliaia 4 3 2" xfId="753"/>
    <cellStyle name="Migliaia 4 3 2 2" xfId="5131"/>
    <cellStyle name="Migliaia 4 3 2 3" xfId="6003"/>
    <cellStyle name="Migliaia 4 3 3" xfId="754"/>
    <cellStyle name="Migliaia 4 3 3 2" xfId="2473"/>
    <cellStyle name="Migliaia 4 3 3 2 2" xfId="5533"/>
    <cellStyle name="Migliaia 4 3 3 2 3" xfId="6455"/>
    <cellStyle name="Migliaia 4 3 3 3" xfId="5132"/>
    <cellStyle name="Migliaia 4 3 3 4" xfId="6004"/>
    <cellStyle name="Migliaia 4 3 4" xfId="2472"/>
    <cellStyle name="Migliaia 4 3 4 2" xfId="5532"/>
    <cellStyle name="Migliaia 4 3 4 3" xfId="6454"/>
    <cellStyle name="Migliaia 4 3 5" xfId="5130"/>
    <cellStyle name="Migliaia 4 3 6" xfId="6002"/>
    <cellStyle name="Migliaia 4 4" xfId="755"/>
    <cellStyle name="Migliaia 4 4 2" xfId="756"/>
    <cellStyle name="Migliaia 4 4 2 2" xfId="2475"/>
    <cellStyle name="Migliaia 4 4 2 2 2" xfId="5535"/>
    <cellStyle name="Migliaia 4 4 2 2 3" xfId="6457"/>
    <cellStyle name="Migliaia 4 4 2 3" xfId="5134"/>
    <cellStyle name="Migliaia 4 4 2 4" xfId="6006"/>
    <cellStyle name="Migliaia 4 4 3" xfId="2474"/>
    <cellStyle name="Migliaia 4 4 3 2" xfId="5534"/>
    <cellStyle name="Migliaia 4 4 3 3" xfId="6456"/>
    <cellStyle name="Migliaia 4 4 4" xfId="5133"/>
    <cellStyle name="Migliaia 4 4 5" xfId="6005"/>
    <cellStyle name="Migliaia 4 5" xfId="757"/>
    <cellStyle name="Migliaia 4 5 2" xfId="5135"/>
    <cellStyle name="Migliaia 4 5 3" xfId="6007"/>
    <cellStyle name="Migliaia 4 6" xfId="4832"/>
    <cellStyle name="Migliaia 4 7" xfId="6000"/>
    <cellStyle name="Migliaia 40" xfId="758"/>
    <cellStyle name="Migliaia 40 2" xfId="759"/>
    <cellStyle name="Migliaia 40 2 2" xfId="2476"/>
    <cellStyle name="Migliaia 40 2 2 2" xfId="5536"/>
    <cellStyle name="Migliaia 40 2 2 3" xfId="6458"/>
    <cellStyle name="Migliaia 40 2 3" xfId="4897"/>
    <cellStyle name="Migliaia 40 2 4" xfId="6009"/>
    <cellStyle name="Migliaia 40 3" xfId="760"/>
    <cellStyle name="Migliaia 40 3 2" xfId="761"/>
    <cellStyle name="Migliaia 40 3 2 2" xfId="5137"/>
    <cellStyle name="Migliaia 40 3 2 3" xfId="6011"/>
    <cellStyle name="Migliaia 40 3 3" xfId="762"/>
    <cellStyle name="Migliaia 40 3 3 2" xfId="2478"/>
    <cellStyle name="Migliaia 40 3 3 2 2" xfId="5538"/>
    <cellStyle name="Migliaia 40 3 3 2 3" xfId="6460"/>
    <cellStyle name="Migliaia 40 3 3 3" xfId="5138"/>
    <cellStyle name="Migliaia 40 3 3 4" xfId="6012"/>
    <cellStyle name="Migliaia 40 3 4" xfId="2477"/>
    <cellStyle name="Migliaia 40 3 4 2" xfId="5537"/>
    <cellStyle name="Migliaia 40 3 4 3" xfId="6459"/>
    <cellStyle name="Migliaia 40 3 5" xfId="5136"/>
    <cellStyle name="Migliaia 40 3 6" xfId="6010"/>
    <cellStyle name="Migliaia 40 4" xfId="763"/>
    <cellStyle name="Migliaia 40 4 2" xfId="764"/>
    <cellStyle name="Migliaia 40 4 2 2" xfId="2480"/>
    <cellStyle name="Migliaia 40 4 2 2 2" xfId="5540"/>
    <cellStyle name="Migliaia 40 4 2 2 3" xfId="6462"/>
    <cellStyle name="Migliaia 40 4 2 3" xfId="5140"/>
    <cellStyle name="Migliaia 40 4 2 4" xfId="6014"/>
    <cellStyle name="Migliaia 40 4 3" xfId="2479"/>
    <cellStyle name="Migliaia 40 4 3 2" xfId="5539"/>
    <cellStyle name="Migliaia 40 4 3 3" xfId="6461"/>
    <cellStyle name="Migliaia 40 4 4" xfId="5139"/>
    <cellStyle name="Migliaia 40 4 5" xfId="6013"/>
    <cellStyle name="Migliaia 40 5" xfId="765"/>
    <cellStyle name="Migliaia 40 5 2" xfId="5141"/>
    <cellStyle name="Migliaia 40 5 3" xfId="6015"/>
    <cellStyle name="Migliaia 40 6" xfId="4833"/>
    <cellStyle name="Migliaia 40 7" xfId="6008"/>
    <cellStyle name="Migliaia 41" xfId="766"/>
    <cellStyle name="Migliaia 41 2" xfId="767"/>
    <cellStyle name="Migliaia 41 2 2" xfId="2481"/>
    <cellStyle name="Migliaia 41 2 2 2" xfId="5541"/>
    <cellStyle name="Migliaia 41 2 2 3" xfId="6463"/>
    <cellStyle name="Migliaia 41 2 3" xfId="4898"/>
    <cellStyle name="Migliaia 41 2 4" xfId="6017"/>
    <cellStyle name="Migliaia 41 3" xfId="768"/>
    <cellStyle name="Migliaia 41 3 2" xfId="769"/>
    <cellStyle name="Migliaia 41 3 2 2" xfId="5143"/>
    <cellStyle name="Migliaia 41 3 2 3" xfId="6019"/>
    <cellStyle name="Migliaia 41 3 3" xfId="770"/>
    <cellStyle name="Migliaia 41 3 3 2" xfId="2483"/>
    <cellStyle name="Migliaia 41 3 3 2 2" xfId="5543"/>
    <cellStyle name="Migliaia 41 3 3 2 3" xfId="6465"/>
    <cellStyle name="Migliaia 41 3 3 3" xfId="5144"/>
    <cellStyle name="Migliaia 41 3 3 4" xfId="6020"/>
    <cellStyle name="Migliaia 41 3 4" xfId="2482"/>
    <cellStyle name="Migliaia 41 3 4 2" xfId="5542"/>
    <cellStyle name="Migliaia 41 3 4 3" xfId="6464"/>
    <cellStyle name="Migliaia 41 3 5" xfId="5142"/>
    <cellStyle name="Migliaia 41 3 6" xfId="6018"/>
    <cellStyle name="Migliaia 41 4" xfId="771"/>
    <cellStyle name="Migliaia 41 4 2" xfId="772"/>
    <cellStyle name="Migliaia 41 4 2 2" xfId="2485"/>
    <cellStyle name="Migliaia 41 4 2 2 2" xfId="5545"/>
    <cellStyle name="Migliaia 41 4 2 2 3" xfId="6467"/>
    <cellStyle name="Migliaia 41 4 2 3" xfId="5146"/>
    <cellStyle name="Migliaia 41 4 2 4" xfId="6022"/>
    <cellStyle name="Migliaia 41 4 3" xfId="2484"/>
    <cellStyle name="Migliaia 41 4 3 2" xfId="5544"/>
    <cellStyle name="Migliaia 41 4 3 3" xfId="6466"/>
    <cellStyle name="Migliaia 41 4 4" xfId="5145"/>
    <cellStyle name="Migliaia 41 4 5" xfId="6021"/>
    <cellStyle name="Migliaia 41 5" xfId="773"/>
    <cellStyle name="Migliaia 41 5 2" xfId="5147"/>
    <cellStyle name="Migliaia 41 5 3" xfId="6023"/>
    <cellStyle name="Migliaia 41 6" xfId="4834"/>
    <cellStyle name="Migliaia 41 7" xfId="6016"/>
    <cellStyle name="Migliaia 42" xfId="774"/>
    <cellStyle name="Migliaia 42 2" xfId="775"/>
    <cellStyle name="Migliaia 42 2 2" xfId="2486"/>
    <cellStyle name="Migliaia 42 2 2 2" xfId="5546"/>
    <cellStyle name="Migliaia 42 2 2 3" xfId="6468"/>
    <cellStyle name="Migliaia 42 2 3" xfId="4899"/>
    <cellStyle name="Migliaia 42 2 4" xfId="6025"/>
    <cellStyle name="Migliaia 42 3" xfId="776"/>
    <cellStyle name="Migliaia 42 3 2" xfId="777"/>
    <cellStyle name="Migliaia 42 3 2 2" xfId="5149"/>
    <cellStyle name="Migliaia 42 3 2 3" xfId="6027"/>
    <cellStyle name="Migliaia 42 3 3" xfId="778"/>
    <cellStyle name="Migliaia 42 3 3 2" xfId="2488"/>
    <cellStyle name="Migliaia 42 3 3 2 2" xfId="5548"/>
    <cellStyle name="Migliaia 42 3 3 2 3" xfId="6470"/>
    <cellStyle name="Migliaia 42 3 3 3" xfId="5150"/>
    <cellStyle name="Migliaia 42 3 3 4" xfId="6028"/>
    <cellStyle name="Migliaia 42 3 4" xfId="2487"/>
    <cellStyle name="Migliaia 42 3 4 2" xfId="5547"/>
    <cellStyle name="Migliaia 42 3 4 3" xfId="6469"/>
    <cellStyle name="Migliaia 42 3 5" xfId="5148"/>
    <cellStyle name="Migliaia 42 3 6" xfId="6026"/>
    <cellStyle name="Migliaia 42 4" xfId="779"/>
    <cellStyle name="Migliaia 42 4 2" xfId="780"/>
    <cellStyle name="Migliaia 42 4 2 2" xfId="2490"/>
    <cellStyle name="Migliaia 42 4 2 2 2" xfId="5550"/>
    <cellStyle name="Migliaia 42 4 2 2 3" xfId="6472"/>
    <cellStyle name="Migliaia 42 4 2 3" xfId="5152"/>
    <cellStyle name="Migliaia 42 4 2 4" xfId="6030"/>
    <cellStyle name="Migliaia 42 4 3" xfId="2489"/>
    <cellStyle name="Migliaia 42 4 3 2" xfId="5549"/>
    <cellStyle name="Migliaia 42 4 3 3" xfId="6471"/>
    <cellStyle name="Migliaia 42 4 4" xfId="5151"/>
    <cellStyle name="Migliaia 42 4 5" xfId="6029"/>
    <cellStyle name="Migliaia 42 5" xfId="781"/>
    <cellStyle name="Migliaia 42 5 2" xfId="5153"/>
    <cellStyle name="Migliaia 42 5 3" xfId="6031"/>
    <cellStyle name="Migliaia 42 6" xfId="4835"/>
    <cellStyle name="Migliaia 42 7" xfId="6024"/>
    <cellStyle name="Migliaia 43" xfId="782"/>
    <cellStyle name="Migliaia 43 2" xfId="783"/>
    <cellStyle name="Migliaia 43 2 2" xfId="2491"/>
    <cellStyle name="Migliaia 43 2 2 2" xfId="5551"/>
    <cellStyle name="Migliaia 43 2 2 3" xfId="6473"/>
    <cellStyle name="Migliaia 43 2 3" xfId="4900"/>
    <cellStyle name="Migliaia 43 2 4" xfId="6033"/>
    <cellStyle name="Migliaia 43 3" xfId="784"/>
    <cellStyle name="Migliaia 43 3 2" xfId="785"/>
    <cellStyle name="Migliaia 43 3 2 2" xfId="5155"/>
    <cellStyle name="Migliaia 43 3 2 3" xfId="6035"/>
    <cellStyle name="Migliaia 43 3 3" xfId="786"/>
    <cellStyle name="Migliaia 43 3 3 2" xfId="2493"/>
    <cellStyle name="Migliaia 43 3 3 2 2" xfId="5553"/>
    <cellStyle name="Migliaia 43 3 3 2 3" xfId="6475"/>
    <cellStyle name="Migliaia 43 3 3 3" xfId="5156"/>
    <cellStyle name="Migliaia 43 3 3 4" xfId="6036"/>
    <cellStyle name="Migliaia 43 3 4" xfId="2492"/>
    <cellStyle name="Migliaia 43 3 4 2" xfId="5552"/>
    <cellStyle name="Migliaia 43 3 4 3" xfId="6474"/>
    <cellStyle name="Migliaia 43 3 5" xfId="5154"/>
    <cellStyle name="Migliaia 43 3 6" xfId="6034"/>
    <cellStyle name="Migliaia 43 4" xfId="787"/>
    <cellStyle name="Migliaia 43 4 2" xfId="788"/>
    <cellStyle name="Migliaia 43 4 2 2" xfId="2495"/>
    <cellStyle name="Migliaia 43 4 2 2 2" xfId="5555"/>
    <cellStyle name="Migliaia 43 4 2 2 3" xfId="6477"/>
    <cellStyle name="Migliaia 43 4 2 3" xfId="5158"/>
    <cellStyle name="Migliaia 43 4 2 4" xfId="6038"/>
    <cellStyle name="Migliaia 43 4 3" xfId="2494"/>
    <cellStyle name="Migliaia 43 4 3 2" xfId="5554"/>
    <cellStyle name="Migliaia 43 4 3 3" xfId="6476"/>
    <cellStyle name="Migliaia 43 4 4" xfId="5157"/>
    <cellStyle name="Migliaia 43 4 5" xfId="6037"/>
    <cellStyle name="Migliaia 43 5" xfId="789"/>
    <cellStyle name="Migliaia 43 5 2" xfId="5159"/>
    <cellStyle name="Migliaia 43 5 3" xfId="6039"/>
    <cellStyle name="Migliaia 43 6" xfId="4836"/>
    <cellStyle name="Migliaia 43 7" xfId="6032"/>
    <cellStyle name="Migliaia 44" xfId="790"/>
    <cellStyle name="Migliaia 44 2" xfId="791"/>
    <cellStyle name="Migliaia 44 2 2" xfId="2496"/>
    <cellStyle name="Migliaia 44 2 2 2" xfId="5556"/>
    <cellStyle name="Migliaia 44 2 2 3" xfId="6478"/>
    <cellStyle name="Migliaia 44 2 3" xfId="4901"/>
    <cellStyle name="Migliaia 44 2 4" xfId="6041"/>
    <cellStyle name="Migliaia 44 3" xfId="792"/>
    <cellStyle name="Migliaia 44 3 2" xfId="793"/>
    <cellStyle name="Migliaia 44 3 2 2" xfId="5161"/>
    <cellStyle name="Migliaia 44 3 2 3" xfId="6043"/>
    <cellStyle name="Migliaia 44 3 3" xfId="794"/>
    <cellStyle name="Migliaia 44 3 3 2" xfId="2498"/>
    <cellStyle name="Migliaia 44 3 3 2 2" xfId="5558"/>
    <cellStyle name="Migliaia 44 3 3 2 3" xfId="6480"/>
    <cellStyle name="Migliaia 44 3 3 3" xfId="5162"/>
    <cellStyle name="Migliaia 44 3 3 4" xfId="6044"/>
    <cellStyle name="Migliaia 44 3 4" xfId="2497"/>
    <cellStyle name="Migliaia 44 3 4 2" xfId="5557"/>
    <cellStyle name="Migliaia 44 3 4 3" xfId="6479"/>
    <cellStyle name="Migliaia 44 3 5" xfId="5160"/>
    <cellStyle name="Migliaia 44 3 6" xfId="6042"/>
    <cellStyle name="Migliaia 44 4" xfId="795"/>
    <cellStyle name="Migliaia 44 4 2" xfId="796"/>
    <cellStyle name="Migliaia 44 4 2 2" xfId="2500"/>
    <cellStyle name="Migliaia 44 4 2 2 2" xfId="5560"/>
    <cellStyle name="Migliaia 44 4 2 2 3" xfId="6482"/>
    <cellStyle name="Migliaia 44 4 2 3" xfId="5164"/>
    <cellStyle name="Migliaia 44 4 2 4" xfId="6046"/>
    <cellStyle name="Migliaia 44 4 3" xfId="2499"/>
    <cellStyle name="Migliaia 44 4 3 2" xfId="5559"/>
    <cellStyle name="Migliaia 44 4 3 3" xfId="6481"/>
    <cellStyle name="Migliaia 44 4 4" xfId="5163"/>
    <cellStyle name="Migliaia 44 4 5" xfId="6045"/>
    <cellStyle name="Migliaia 44 5" xfId="797"/>
    <cellStyle name="Migliaia 44 5 2" xfId="5165"/>
    <cellStyle name="Migliaia 44 5 3" xfId="6047"/>
    <cellStyle name="Migliaia 44 6" xfId="4837"/>
    <cellStyle name="Migliaia 44 7" xfId="6040"/>
    <cellStyle name="Migliaia 45" xfId="798"/>
    <cellStyle name="Migliaia 45 2" xfId="799"/>
    <cellStyle name="Migliaia 45 2 2" xfId="2501"/>
    <cellStyle name="Migliaia 45 2 2 2" xfId="5561"/>
    <cellStyle name="Migliaia 45 2 2 3" xfId="6483"/>
    <cellStyle name="Migliaia 45 2 3" xfId="4902"/>
    <cellStyle name="Migliaia 45 2 4" xfId="6049"/>
    <cellStyle name="Migliaia 45 3" xfId="800"/>
    <cellStyle name="Migliaia 45 3 2" xfId="801"/>
    <cellStyle name="Migliaia 45 3 2 2" xfId="5167"/>
    <cellStyle name="Migliaia 45 3 2 3" xfId="6051"/>
    <cellStyle name="Migliaia 45 3 3" xfId="802"/>
    <cellStyle name="Migliaia 45 3 3 2" xfId="2503"/>
    <cellStyle name="Migliaia 45 3 3 2 2" xfId="5563"/>
    <cellStyle name="Migliaia 45 3 3 2 3" xfId="6485"/>
    <cellStyle name="Migliaia 45 3 3 3" xfId="5168"/>
    <cellStyle name="Migliaia 45 3 3 4" xfId="6052"/>
    <cellStyle name="Migliaia 45 3 4" xfId="2502"/>
    <cellStyle name="Migliaia 45 3 4 2" xfId="5562"/>
    <cellStyle name="Migliaia 45 3 4 3" xfId="6484"/>
    <cellStyle name="Migliaia 45 3 5" xfId="5166"/>
    <cellStyle name="Migliaia 45 3 6" xfId="6050"/>
    <cellStyle name="Migliaia 45 4" xfId="803"/>
    <cellStyle name="Migliaia 45 4 2" xfId="804"/>
    <cellStyle name="Migliaia 45 4 2 2" xfId="2505"/>
    <cellStyle name="Migliaia 45 4 2 2 2" xfId="5565"/>
    <cellStyle name="Migliaia 45 4 2 2 3" xfId="6487"/>
    <cellStyle name="Migliaia 45 4 2 3" xfId="5170"/>
    <cellStyle name="Migliaia 45 4 2 4" xfId="6054"/>
    <cellStyle name="Migliaia 45 4 3" xfId="2504"/>
    <cellStyle name="Migliaia 45 4 3 2" xfId="5564"/>
    <cellStyle name="Migliaia 45 4 3 3" xfId="6486"/>
    <cellStyle name="Migliaia 45 4 4" xfId="5169"/>
    <cellStyle name="Migliaia 45 4 5" xfId="6053"/>
    <cellStyle name="Migliaia 45 5" xfId="805"/>
    <cellStyle name="Migliaia 45 5 2" xfId="5171"/>
    <cellStyle name="Migliaia 45 5 3" xfId="6055"/>
    <cellStyle name="Migliaia 45 6" xfId="4838"/>
    <cellStyle name="Migliaia 45 7" xfId="6048"/>
    <cellStyle name="Migliaia 46" xfId="806"/>
    <cellStyle name="Migliaia 46 2" xfId="807"/>
    <cellStyle name="Migliaia 46 2 2" xfId="2506"/>
    <cellStyle name="Migliaia 46 2 2 2" xfId="5566"/>
    <cellStyle name="Migliaia 46 2 2 3" xfId="6488"/>
    <cellStyle name="Migliaia 46 2 3" xfId="4903"/>
    <cellStyle name="Migliaia 46 2 4" xfId="6057"/>
    <cellStyle name="Migliaia 46 3" xfId="808"/>
    <cellStyle name="Migliaia 46 3 2" xfId="809"/>
    <cellStyle name="Migliaia 46 3 2 2" xfId="5173"/>
    <cellStyle name="Migliaia 46 3 2 3" xfId="6059"/>
    <cellStyle name="Migliaia 46 3 3" xfId="810"/>
    <cellStyle name="Migliaia 46 3 3 2" xfId="2508"/>
    <cellStyle name="Migliaia 46 3 3 2 2" xfId="5568"/>
    <cellStyle name="Migliaia 46 3 3 2 3" xfId="6490"/>
    <cellStyle name="Migliaia 46 3 3 3" xfId="5174"/>
    <cellStyle name="Migliaia 46 3 3 4" xfId="6060"/>
    <cellStyle name="Migliaia 46 3 4" xfId="2507"/>
    <cellStyle name="Migliaia 46 3 4 2" xfId="5567"/>
    <cellStyle name="Migliaia 46 3 4 3" xfId="6489"/>
    <cellStyle name="Migliaia 46 3 5" xfId="5172"/>
    <cellStyle name="Migliaia 46 3 6" xfId="6058"/>
    <cellStyle name="Migliaia 46 4" xfId="811"/>
    <cellStyle name="Migliaia 46 4 2" xfId="812"/>
    <cellStyle name="Migliaia 46 4 2 2" xfId="2510"/>
    <cellStyle name="Migliaia 46 4 2 2 2" xfId="5570"/>
    <cellStyle name="Migliaia 46 4 2 2 3" xfId="6492"/>
    <cellStyle name="Migliaia 46 4 2 3" xfId="5176"/>
    <cellStyle name="Migliaia 46 4 2 4" xfId="6062"/>
    <cellStyle name="Migliaia 46 4 3" xfId="2509"/>
    <cellStyle name="Migliaia 46 4 3 2" xfId="5569"/>
    <cellStyle name="Migliaia 46 4 3 3" xfId="6491"/>
    <cellStyle name="Migliaia 46 4 4" xfId="5175"/>
    <cellStyle name="Migliaia 46 4 5" xfId="6061"/>
    <cellStyle name="Migliaia 46 5" xfId="813"/>
    <cellStyle name="Migliaia 46 5 2" xfId="5177"/>
    <cellStyle name="Migliaia 46 5 3" xfId="6063"/>
    <cellStyle name="Migliaia 46 6" xfId="4839"/>
    <cellStyle name="Migliaia 46 7" xfId="6056"/>
    <cellStyle name="Migliaia 47" xfId="814"/>
    <cellStyle name="Migliaia 47 2" xfId="815"/>
    <cellStyle name="Migliaia 47 2 2" xfId="2511"/>
    <cellStyle name="Migliaia 47 2 2 2" xfId="5571"/>
    <cellStyle name="Migliaia 47 2 2 3" xfId="6493"/>
    <cellStyle name="Migliaia 47 2 3" xfId="4904"/>
    <cellStyle name="Migliaia 47 2 4" xfId="6065"/>
    <cellStyle name="Migliaia 47 3" xfId="816"/>
    <cellStyle name="Migliaia 47 3 2" xfId="817"/>
    <cellStyle name="Migliaia 47 3 2 2" xfId="5179"/>
    <cellStyle name="Migliaia 47 3 2 3" xfId="6067"/>
    <cellStyle name="Migliaia 47 3 3" xfId="818"/>
    <cellStyle name="Migliaia 47 3 3 2" xfId="2513"/>
    <cellStyle name="Migliaia 47 3 3 2 2" xfId="5573"/>
    <cellStyle name="Migliaia 47 3 3 2 3" xfId="6495"/>
    <cellStyle name="Migliaia 47 3 3 3" xfId="5180"/>
    <cellStyle name="Migliaia 47 3 3 4" xfId="6068"/>
    <cellStyle name="Migliaia 47 3 4" xfId="2512"/>
    <cellStyle name="Migliaia 47 3 4 2" xfId="5572"/>
    <cellStyle name="Migliaia 47 3 4 3" xfId="6494"/>
    <cellStyle name="Migliaia 47 3 5" xfId="5178"/>
    <cellStyle name="Migliaia 47 3 6" xfId="6066"/>
    <cellStyle name="Migliaia 47 4" xfId="819"/>
    <cellStyle name="Migliaia 47 4 2" xfId="820"/>
    <cellStyle name="Migliaia 47 4 2 2" xfId="2515"/>
    <cellStyle name="Migliaia 47 4 2 2 2" xfId="5575"/>
    <cellStyle name="Migliaia 47 4 2 2 3" xfId="6497"/>
    <cellStyle name="Migliaia 47 4 2 3" xfId="5182"/>
    <cellStyle name="Migliaia 47 4 2 4" xfId="6070"/>
    <cellStyle name="Migliaia 47 4 3" xfId="2514"/>
    <cellStyle name="Migliaia 47 4 3 2" xfId="5574"/>
    <cellStyle name="Migliaia 47 4 3 3" xfId="6496"/>
    <cellStyle name="Migliaia 47 4 4" xfId="5181"/>
    <cellStyle name="Migliaia 47 4 5" xfId="6069"/>
    <cellStyle name="Migliaia 47 5" xfId="821"/>
    <cellStyle name="Migliaia 47 5 2" xfId="5183"/>
    <cellStyle name="Migliaia 47 5 3" xfId="6071"/>
    <cellStyle name="Migliaia 47 6" xfId="4840"/>
    <cellStyle name="Migliaia 47 7" xfId="6064"/>
    <cellStyle name="Migliaia 48" xfId="822"/>
    <cellStyle name="Migliaia 48 2" xfId="823"/>
    <cellStyle name="Migliaia 48 2 2" xfId="2516"/>
    <cellStyle name="Migliaia 48 2 2 2" xfId="5576"/>
    <cellStyle name="Migliaia 48 2 2 3" xfId="6498"/>
    <cellStyle name="Migliaia 48 2 3" xfId="4905"/>
    <cellStyle name="Migliaia 48 2 4" xfId="6073"/>
    <cellStyle name="Migliaia 48 3" xfId="824"/>
    <cellStyle name="Migliaia 48 3 2" xfId="825"/>
    <cellStyle name="Migliaia 48 3 2 2" xfId="5185"/>
    <cellStyle name="Migliaia 48 3 2 3" xfId="6075"/>
    <cellStyle name="Migliaia 48 3 3" xfId="826"/>
    <cellStyle name="Migliaia 48 3 3 2" xfId="2518"/>
    <cellStyle name="Migliaia 48 3 3 2 2" xfId="5578"/>
    <cellStyle name="Migliaia 48 3 3 2 3" xfId="6500"/>
    <cellStyle name="Migliaia 48 3 3 3" xfId="5186"/>
    <cellStyle name="Migliaia 48 3 3 4" xfId="6076"/>
    <cellStyle name="Migliaia 48 3 4" xfId="2517"/>
    <cellStyle name="Migliaia 48 3 4 2" xfId="5577"/>
    <cellStyle name="Migliaia 48 3 4 3" xfId="6499"/>
    <cellStyle name="Migliaia 48 3 5" xfId="5184"/>
    <cellStyle name="Migliaia 48 3 6" xfId="6074"/>
    <cellStyle name="Migliaia 48 4" xfId="827"/>
    <cellStyle name="Migliaia 48 4 2" xfId="828"/>
    <cellStyle name="Migliaia 48 4 2 2" xfId="2520"/>
    <cellStyle name="Migliaia 48 4 2 2 2" xfId="5580"/>
    <cellStyle name="Migliaia 48 4 2 2 3" xfId="6502"/>
    <cellStyle name="Migliaia 48 4 2 3" xfId="5188"/>
    <cellStyle name="Migliaia 48 4 2 4" xfId="6078"/>
    <cellStyle name="Migliaia 48 4 3" xfId="2519"/>
    <cellStyle name="Migliaia 48 4 3 2" xfId="5579"/>
    <cellStyle name="Migliaia 48 4 3 3" xfId="6501"/>
    <cellStyle name="Migliaia 48 4 4" xfId="5187"/>
    <cellStyle name="Migliaia 48 4 5" xfId="6077"/>
    <cellStyle name="Migliaia 48 5" xfId="829"/>
    <cellStyle name="Migliaia 48 5 2" xfId="5189"/>
    <cellStyle name="Migliaia 48 5 3" xfId="6079"/>
    <cellStyle name="Migliaia 48 6" xfId="4841"/>
    <cellStyle name="Migliaia 48 7" xfId="6072"/>
    <cellStyle name="Migliaia 49" xfId="830"/>
    <cellStyle name="Migliaia 49 2" xfId="831"/>
    <cellStyle name="Migliaia 49 2 2" xfId="2521"/>
    <cellStyle name="Migliaia 49 2 2 2" xfId="5581"/>
    <cellStyle name="Migliaia 49 2 2 3" xfId="6503"/>
    <cellStyle name="Migliaia 49 2 3" xfId="4906"/>
    <cellStyle name="Migliaia 49 2 4" xfId="6081"/>
    <cellStyle name="Migliaia 49 3" xfId="832"/>
    <cellStyle name="Migliaia 49 3 2" xfId="833"/>
    <cellStyle name="Migliaia 49 3 2 2" xfId="5191"/>
    <cellStyle name="Migliaia 49 3 2 3" xfId="6083"/>
    <cellStyle name="Migliaia 49 3 3" xfId="834"/>
    <cellStyle name="Migliaia 49 3 3 2" xfId="2523"/>
    <cellStyle name="Migliaia 49 3 3 2 2" xfId="5583"/>
    <cellStyle name="Migliaia 49 3 3 2 3" xfId="6505"/>
    <cellStyle name="Migliaia 49 3 3 3" xfId="5192"/>
    <cellStyle name="Migliaia 49 3 3 4" xfId="6084"/>
    <cellStyle name="Migliaia 49 3 4" xfId="2522"/>
    <cellStyle name="Migliaia 49 3 4 2" xfId="5582"/>
    <cellStyle name="Migliaia 49 3 4 3" xfId="6504"/>
    <cellStyle name="Migliaia 49 3 5" xfId="5190"/>
    <cellStyle name="Migliaia 49 3 6" xfId="6082"/>
    <cellStyle name="Migliaia 49 4" xfId="835"/>
    <cellStyle name="Migliaia 49 4 2" xfId="836"/>
    <cellStyle name="Migliaia 49 4 2 2" xfId="2525"/>
    <cellStyle name="Migliaia 49 4 2 2 2" xfId="5585"/>
    <cellStyle name="Migliaia 49 4 2 2 3" xfId="6507"/>
    <cellStyle name="Migliaia 49 4 2 3" xfId="5194"/>
    <cellStyle name="Migliaia 49 4 2 4" xfId="6086"/>
    <cellStyle name="Migliaia 49 4 3" xfId="2524"/>
    <cellStyle name="Migliaia 49 4 3 2" xfId="5584"/>
    <cellStyle name="Migliaia 49 4 3 3" xfId="6506"/>
    <cellStyle name="Migliaia 49 4 4" xfId="5193"/>
    <cellStyle name="Migliaia 49 4 5" xfId="6085"/>
    <cellStyle name="Migliaia 49 5" xfId="837"/>
    <cellStyle name="Migliaia 49 5 2" xfId="5195"/>
    <cellStyle name="Migliaia 49 5 3" xfId="6087"/>
    <cellStyle name="Migliaia 49 6" xfId="4842"/>
    <cellStyle name="Migliaia 49 7" xfId="6080"/>
    <cellStyle name="Migliaia 5" xfId="838"/>
    <cellStyle name="Migliaia 5 2" xfId="839"/>
    <cellStyle name="Migliaia 5 2 2" xfId="2526"/>
    <cellStyle name="Migliaia 5 2 2 2" xfId="5586"/>
    <cellStyle name="Migliaia 5 2 2 3" xfId="6508"/>
    <cellStyle name="Migliaia 5 2 3" xfId="4907"/>
    <cellStyle name="Migliaia 5 2 4" xfId="6089"/>
    <cellStyle name="Migliaia 5 3" xfId="840"/>
    <cellStyle name="Migliaia 5 3 2" xfId="841"/>
    <cellStyle name="Migliaia 5 3 2 2" xfId="5197"/>
    <cellStyle name="Migliaia 5 3 2 3" xfId="6091"/>
    <cellStyle name="Migliaia 5 3 3" xfId="842"/>
    <cellStyle name="Migliaia 5 3 3 2" xfId="2528"/>
    <cellStyle name="Migliaia 5 3 3 2 2" xfId="5588"/>
    <cellStyle name="Migliaia 5 3 3 2 3" xfId="6510"/>
    <cellStyle name="Migliaia 5 3 3 3" xfId="5198"/>
    <cellStyle name="Migliaia 5 3 3 4" xfId="6092"/>
    <cellStyle name="Migliaia 5 3 4" xfId="2527"/>
    <cellStyle name="Migliaia 5 3 4 2" xfId="5587"/>
    <cellStyle name="Migliaia 5 3 4 3" xfId="6509"/>
    <cellStyle name="Migliaia 5 3 5" xfId="5196"/>
    <cellStyle name="Migliaia 5 3 6" xfId="6090"/>
    <cellStyle name="Migliaia 5 4" xfId="843"/>
    <cellStyle name="Migliaia 5 4 2" xfId="844"/>
    <cellStyle name="Migliaia 5 4 2 2" xfId="2530"/>
    <cellStyle name="Migliaia 5 4 2 2 2" xfId="5590"/>
    <cellStyle name="Migliaia 5 4 2 2 3" xfId="6512"/>
    <cellStyle name="Migliaia 5 4 2 3" xfId="5200"/>
    <cellStyle name="Migliaia 5 4 2 4" xfId="6094"/>
    <cellStyle name="Migliaia 5 4 3" xfId="2529"/>
    <cellStyle name="Migliaia 5 4 3 2" xfId="5589"/>
    <cellStyle name="Migliaia 5 4 3 3" xfId="6511"/>
    <cellStyle name="Migliaia 5 4 4" xfId="5199"/>
    <cellStyle name="Migliaia 5 4 5" xfId="6093"/>
    <cellStyle name="Migliaia 5 5" xfId="845"/>
    <cellStyle name="Migliaia 5 5 2" xfId="5201"/>
    <cellStyle name="Migliaia 5 5 3" xfId="6095"/>
    <cellStyle name="Migliaia 5 6" xfId="4843"/>
    <cellStyle name="Migliaia 5 7" xfId="6088"/>
    <cellStyle name="Migliaia 50" xfId="846"/>
    <cellStyle name="Migliaia 50 2" xfId="847"/>
    <cellStyle name="Migliaia 50 2 2" xfId="2531"/>
    <cellStyle name="Migliaia 50 2 2 2" xfId="5591"/>
    <cellStyle name="Migliaia 50 2 2 3" xfId="6513"/>
    <cellStyle name="Migliaia 50 2 3" xfId="4908"/>
    <cellStyle name="Migliaia 50 2 4" xfId="6097"/>
    <cellStyle name="Migliaia 50 3" xfId="848"/>
    <cellStyle name="Migliaia 50 3 2" xfId="849"/>
    <cellStyle name="Migliaia 50 3 2 2" xfId="5203"/>
    <cellStyle name="Migliaia 50 3 2 3" xfId="6099"/>
    <cellStyle name="Migliaia 50 3 3" xfId="850"/>
    <cellStyle name="Migliaia 50 3 3 2" xfId="2533"/>
    <cellStyle name="Migliaia 50 3 3 2 2" xfId="5593"/>
    <cellStyle name="Migliaia 50 3 3 2 3" xfId="6515"/>
    <cellStyle name="Migliaia 50 3 3 3" xfId="5204"/>
    <cellStyle name="Migliaia 50 3 3 4" xfId="6100"/>
    <cellStyle name="Migliaia 50 3 4" xfId="2532"/>
    <cellStyle name="Migliaia 50 3 4 2" xfId="5592"/>
    <cellStyle name="Migliaia 50 3 4 3" xfId="6514"/>
    <cellStyle name="Migliaia 50 3 5" xfId="5202"/>
    <cellStyle name="Migliaia 50 3 6" xfId="6098"/>
    <cellStyle name="Migliaia 50 4" xfId="851"/>
    <cellStyle name="Migliaia 50 4 2" xfId="852"/>
    <cellStyle name="Migliaia 50 4 2 2" xfId="2535"/>
    <cellStyle name="Migliaia 50 4 2 2 2" xfId="5595"/>
    <cellStyle name="Migliaia 50 4 2 2 3" xfId="6517"/>
    <cellStyle name="Migliaia 50 4 2 3" xfId="5206"/>
    <cellStyle name="Migliaia 50 4 2 4" xfId="6102"/>
    <cellStyle name="Migliaia 50 4 3" xfId="2534"/>
    <cellStyle name="Migliaia 50 4 3 2" xfId="5594"/>
    <cellStyle name="Migliaia 50 4 3 3" xfId="6516"/>
    <cellStyle name="Migliaia 50 4 4" xfId="5205"/>
    <cellStyle name="Migliaia 50 4 5" xfId="6101"/>
    <cellStyle name="Migliaia 50 5" xfId="853"/>
    <cellStyle name="Migliaia 50 5 2" xfId="5207"/>
    <cellStyle name="Migliaia 50 5 3" xfId="6103"/>
    <cellStyle name="Migliaia 50 6" xfId="4844"/>
    <cellStyle name="Migliaia 50 7" xfId="6096"/>
    <cellStyle name="Migliaia 51" xfId="854"/>
    <cellStyle name="Migliaia 51 2" xfId="855"/>
    <cellStyle name="Migliaia 51 2 2" xfId="2536"/>
    <cellStyle name="Migliaia 51 2 2 2" xfId="5596"/>
    <cellStyle name="Migliaia 51 2 2 3" xfId="6518"/>
    <cellStyle name="Migliaia 51 2 3" xfId="4909"/>
    <cellStyle name="Migliaia 51 2 4" xfId="6105"/>
    <cellStyle name="Migliaia 51 3" xfId="856"/>
    <cellStyle name="Migliaia 51 3 2" xfId="857"/>
    <cellStyle name="Migliaia 51 3 2 2" xfId="5209"/>
    <cellStyle name="Migliaia 51 3 2 3" xfId="6107"/>
    <cellStyle name="Migliaia 51 3 3" xfId="858"/>
    <cellStyle name="Migliaia 51 3 3 2" xfId="2538"/>
    <cellStyle name="Migliaia 51 3 3 2 2" xfId="5598"/>
    <cellStyle name="Migliaia 51 3 3 2 3" xfId="6520"/>
    <cellStyle name="Migliaia 51 3 3 3" xfId="5210"/>
    <cellStyle name="Migliaia 51 3 3 4" xfId="6108"/>
    <cellStyle name="Migliaia 51 3 4" xfId="2537"/>
    <cellStyle name="Migliaia 51 3 4 2" xfId="5597"/>
    <cellStyle name="Migliaia 51 3 4 3" xfId="6519"/>
    <cellStyle name="Migliaia 51 3 5" xfId="5208"/>
    <cellStyle name="Migliaia 51 3 6" xfId="6106"/>
    <cellStyle name="Migliaia 51 4" xfId="859"/>
    <cellStyle name="Migliaia 51 4 2" xfId="860"/>
    <cellStyle name="Migliaia 51 4 2 2" xfId="2540"/>
    <cellStyle name="Migliaia 51 4 2 2 2" xfId="5600"/>
    <cellStyle name="Migliaia 51 4 2 2 3" xfId="6522"/>
    <cellStyle name="Migliaia 51 4 2 3" xfId="5212"/>
    <cellStyle name="Migliaia 51 4 2 4" xfId="6110"/>
    <cellStyle name="Migliaia 51 4 3" xfId="2539"/>
    <cellStyle name="Migliaia 51 4 3 2" xfId="5599"/>
    <cellStyle name="Migliaia 51 4 3 3" xfId="6521"/>
    <cellStyle name="Migliaia 51 4 4" xfId="5211"/>
    <cellStyle name="Migliaia 51 4 5" xfId="6109"/>
    <cellStyle name="Migliaia 51 5" xfId="861"/>
    <cellStyle name="Migliaia 51 5 2" xfId="5213"/>
    <cellStyle name="Migliaia 51 5 3" xfId="6111"/>
    <cellStyle name="Migliaia 51 6" xfId="4845"/>
    <cellStyle name="Migliaia 51 7" xfId="6104"/>
    <cellStyle name="Migliaia 52" xfId="862"/>
    <cellStyle name="Migliaia 52 2" xfId="863"/>
    <cellStyle name="Migliaia 52 2 2" xfId="2541"/>
    <cellStyle name="Migliaia 52 2 2 2" xfId="5601"/>
    <cellStyle name="Migliaia 52 2 2 3" xfId="6523"/>
    <cellStyle name="Migliaia 52 2 3" xfId="4910"/>
    <cellStyle name="Migliaia 52 2 4" xfId="6113"/>
    <cellStyle name="Migliaia 52 3" xfId="864"/>
    <cellStyle name="Migliaia 52 3 2" xfId="865"/>
    <cellStyle name="Migliaia 52 3 2 2" xfId="5215"/>
    <cellStyle name="Migliaia 52 3 2 3" xfId="6115"/>
    <cellStyle name="Migliaia 52 3 3" xfId="866"/>
    <cellStyle name="Migliaia 52 3 3 2" xfId="2543"/>
    <cellStyle name="Migliaia 52 3 3 2 2" xfId="5603"/>
    <cellStyle name="Migliaia 52 3 3 2 3" xfId="6525"/>
    <cellStyle name="Migliaia 52 3 3 3" xfId="5216"/>
    <cellStyle name="Migliaia 52 3 3 4" xfId="6116"/>
    <cellStyle name="Migliaia 52 3 4" xfId="2542"/>
    <cellStyle name="Migliaia 52 3 4 2" xfId="5602"/>
    <cellStyle name="Migliaia 52 3 4 3" xfId="6524"/>
    <cellStyle name="Migliaia 52 3 5" xfId="5214"/>
    <cellStyle name="Migliaia 52 3 6" xfId="6114"/>
    <cellStyle name="Migliaia 52 4" xfId="867"/>
    <cellStyle name="Migliaia 52 4 2" xfId="868"/>
    <cellStyle name="Migliaia 52 4 2 2" xfId="2545"/>
    <cellStyle name="Migliaia 52 4 2 2 2" xfId="5605"/>
    <cellStyle name="Migliaia 52 4 2 2 3" xfId="6527"/>
    <cellStyle name="Migliaia 52 4 2 3" xfId="5218"/>
    <cellStyle name="Migliaia 52 4 2 4" xfId="6118"/>
    <cellStyle name="Migliaia 52 4 3" xfId="2544"/>
    <cellStyle name="Migliaia 52 4 3 2" xfId="5604"/>
    <cellStyle name="Migliaia 52 4 3 3" xfId="6526"/>
    <cellStyle name="Migliaia 52 4 4" xfId="5217"/>
    <cellStyle name="Migliaia 52 4 5" xfId="6117"/>
    <cellStyle name="Migliaia 52 5" xfId="869"/>
    <cellStyle name="Migliaia 52 5 2" xfId="5219"/>
    <cellStyle name="Migliaia 52 5 3" xfId="6119"/>
    <cellStyle name="Migliaia 52 6" xfId="4846"/>
    <cellStyle name="Migliaia 52 7" xfId="6112"/>
    <cellStyle name="Migliaia 53" xfId="870"/>
    <cellStyle name="Migliaia 53 2" xfId="871"/>
    <cellStyle name="Migliaia 53 2 2" xfId="2546"/>
    <cellStyle name="Migliaia 53 2 2 2" xfId="5606"/>
    <cellStyle name="Migliaia 53 2 2 3" xfId="6528"/>
    <cellStyle name="Migliaia 53 2 3" xfId="4911"/>
    <cellStyle name="Migliaia 53 2 4" xfId="6121"/>
    <cellStyle name="Migliaia 53 3" xfId="872"/>
    <cellStyle name="Migliaia 53 3 2" xfId="873"/>
    <cellStyle name="Migliaia 53 3 2 2" xfId="5221"/>
    <cellStyle name="Migliaia 53 3 2 3" xfId="6123"/>
    <cellStyle name="Migliaia 53 3 3" xfId="874"/>
    <cellStyle name="Migliaia 53 3 3 2" xfId="2548"/>
    <cellStyle name="Migliaia 53 3 3 2 2" xfId="5608"/>
    <cellStyle name="Migliaia 53 3 3 2 3" xfId="6530"/>
    <cellStyle name="Migliaia 53 3 3 3" xfId="5222"/>
    <cellStyle name="Migliaia 53 3 3 4" xfId="6124"/>
    <cellStyle name="Migliaia 53 3 4" xfId="2547"/>
    <cellStyle name="Migliaia 53 3 4 2" xfId="5607"/>
    <cellStyle name="Migliaia 53 3 4 3" xfId="6529"/>
    <cellStyle name="Migliaia 53 3 5" xfId="5220"/>
    <cellStyle name="Migliaia 53 3 6" xfId="6122"/>
    <cellStyle name="Migliaia 53 4" xfId="875"/>
    <cellStyle name="Migliaia 53 4 2" xfId="876"/>
    <cellStyle name="Migliaia 53 4 2 2" xfId="2550"/>
    <cellStyle name="Migliaia 53 4 2 2 2" xfId="5610"/>
    <cellStyle name="Migliaia 53 4 2 2 3" xfId="6532"/>
    <cellStyle name="Migliaia 53 4 2 3" xfId="5224"/>
    <cellStyle name="Migliaia 53 4 2 4" xfId="6126"/>
    <cellStyle name="Migliaia 53 4 3" xfId="2549"/>
    <cellStyle name="Migliaia 53 4 3 2" xfId="5609"/>
    <cellStyle name="Migliaia 53 4 3 3" xfId="6531"/>
    <cellStyle name="Migliaia 53 4 4" xfId="5223"/>
    <cellStyle name="Migliaia 53 4 5" xfId="6125"/>
    <cellStyle name="Migliaia 53 5" xfId="877"/>
    <cellStyle name="Migliaia 53 5 2" xfId="5225"/>
    <cellStyle name="Migliaia 53 5 3" xfId="6127"/>
    <cellStyle name="Migliaia 53 6" xfId="4847"/>
    <cellStyle name="Migliaia 53 7" xfId="6120"/>
    <cellStyle name="Migliaia 54" xfId="878"/>
    <cellStyle name="Migliaia 54 2" xfId="879"/>
    <cellStyle name="Migliaia 54 2 2" xfId="2551"/>
    <cellStyle name="Migliaia 54 2 2 2" xfId="5611"/>
    <cellStyle name="Migliaia 54 2 2 3" xfId="6533"/>
    <cellStyle name="Migliaia 54 2 3" xfId="4912"/>
    <cellStyle name="Migliaia 54 2 4" xfId="6129"/>
    <cellStyle name="Migliaia 54 3" xfId="880"/>
    <cellStyle name="Migliaia 54 3 2" xfId="881"/>
    <cellStyle name="Migliaia 54 3 2 2" xfId="5227"/>
    <cellStyle name="Migliaia 54 3 2 3" xfId="6131"/>
    <cellStyle name="Migliaia 54 3 3" xfId="882"/>
    <cellStyle name="Migliaia 54 3 3 2" xfId="2553"/>
    <cellStyle name="Migliaia 54 3 3 2 2" xfId="5613"/>
    <cellStyle name="Migliaia 54 3 3 2 3" xfId="6535"/>
    <cellStyle name="Migliaia 54 3 3 3" xfId="5228"/>
    <cellStyle name="Migliaia 54 3 3 4" xfId="6132"/>
    <cellStyle name="Migliaia 54 3 4" xfId="2552"/>
    <cellStyle name="Migliaia 54 3 4 2" xfId="5612"/>
    <cellStyle name="Migliaia 54 3 4 3" xfId="6534"/>
    <cellStyle name="Migliaia 54 3 5" xfId="5226"/>
    <cellStyle name="Migliaia 54 3 6" xfId="6130"/>
    <cellStyle name="Migliaia 54 4" xfId="883"/>
    <cellStyle name="Migliaia 54 4 2" xfId="884"/>
    <cellStyle name="Migliaia 54 4 2 2" xfId="2555"/>
    <cellStyle name="Migliaia 54 4 2 2 2" xfId="5615"/>
    <cellStyle name="Migliaia 54 4 2 2 3" xfId="6537"/>
    <cellStyle name="Migliaia 54 4 2 3" xfId="5230"/>
    <cellStyle name="Migliaia 54 4 2 4" xfId="6134"/>
    <cellStyle name="Migliaia 54 4 3" xfId="2554"/>
    <cellStyle name="Migliaia 54 4 3 2" xfId="5614"/>
    <cellStyle name="Migliaia 54 4 3 3" xfId="6536"/>
    <cellStyle name="Migliaia 54 4 4" xfId="5229"/>
    <cellStyle name="Migliaia 54 4 5" xfId="6133"/>
    <cellStyle name="Migliaia 54 5" xfId="885"/>
    <cellStyle name="Migliaia 54 5 2" xfId="5231"/>
    <cellStyle name="Migliaia 54 5 3" xfId="6135"/>
    <cellStyle name="Migliaia 54 6" xfId="4848"/>
    <cellStyle name="Migliaia 54 7" xfId="6128"/>
    <cellStyle name="Migliaia 55" xfId="886"/>
    <cellStyle name="Migliaia 55 2" xfId="887"/>
    <cellStyle name="Migliaia 55 2 2" xfId="2556"/>
    <cellStyle name="Migliaia 55 2 2 2" xfId="5616"/>
    <cellStyle name="Migliaia 55 2 2 3" xfId="6538"/>
    <cellStyle name="Migliaia 55 2 3" xfId="4913"/>
    <cellStyle name="Migliaia 55 2 4" xfId="6137"/>
    <cellStyle name="Migliaia 55 3" xfId="888"/>
    <cellStyle name="Migliaia 55 3 2" xfId="889"/>
    <cellStyle name="Migliaia 55 3 2 2" xfId="5233"/>
    <cellStyle name="Migliaia 55 3 2 3" xfId="6139"/>
    <cellStyle name="Migliaia 55 3 3" xfId="890"/>
    <cellStyle name="Migliaia 55 3 3 2" xfId="2558"/>
    <cellStyle name="Migliaia 55 3 3 2 2" xfId="5618"/>
    <cellStyle name="Migliaia 55 3 3 2 3" xfId="6540"/>
    <cellStyle name="Migliaia 55 3 3 3" xfId="5234"/>
    <cellStyle name="Migliaia 55 3 3 4" xfId="6140"/>
    <cellStyle name="Migliaia 55 3 4" xfId="2557"/>
    <cellStyle name="Migliaia 55 3 4 2" xfId="5617"/>
    <cellStyle name="Migliaia 55 3 4 3" xfId="6539"/>
    <cellStyle name="Migliaia 55 3 5" xfId="5232"/>
    <cellStyle name="Migliaia 55 3 6" xfId="6138"/>
    <cellStyle name="Migliaia 55 4" xfId="891"/>
    <cellStyle name="Migliaia 55 4 2" xfId="892"/>
    <cellStyle name="Migliaia 55 4 2 2" xfId="2560"/>
    <cellStyle name="Migliaia 55 4 2 2 2" xfId="5620"/>
    <cellStyle name="Migliaia 55 4 2 2 3" xfId="6542"/>
    <cellStyle name="Migliaia 55 4 2 3" xfId="5236"/>
    <cellStyle name="Migliaia 55 4 2 4" xfId="6142"/>
    <cellStyle name="Migliaia 55 4 3" xfId="2559"/>
    <cellStyle name="Migliaia 55 4 3 2" xfId="5619"/>
    <cellStyle name="Migliaia 55 4 3 3" xfId="6541"/>
    <cellStyle name="Migliaia 55 4 4" xfId="5235"/>
    <cellStyle name="Migliaia 55 4 5" xfId="6141"/>
    <cellStyle name="Migliaia 55 5" xfId="893"/>
    <cellStyle name="Migliaia 55 5 2" xfId="5237"/>
    <cellStyle name="Migliaia 55 5 3" xfId="6143"/>
    <cellStyle name="Migliaia 55 6" xfId="4849"/>
    <cellStyle name="Migliaia 55 7" xfId="6136"/>
    <cellStyle name="Migliaia 56" xfId="894"/>
    <cellStyle name="Migliaia 56 2" xfId="895"/>
    <cellStyle name="Migliaia 56 2 2" xfId="2561"/>
    <cellStyle name="Migliaia 56 2 2 2" xfId="5621"/>
    <cellStyle name="Migliaia 56 2 2 3" xfId="6543"/>
    <cellStyle name="Migliaia 56 2 3" xfId="4914"/>
    <cellStyle name="Migliaia 56 2 4" xfId="6145"/>
    <cellStyle name="Migliaia 56 3" xfId="896"/>
    <cellStyle name="Migliaia 56 3 2" xfId="897"/>
    <cellStyle name="Migliaia 56 3 2 2" xfId="5239"/>
    <cellStyle name="Migliaia 56 3 2 3" xfId="6147"/>
    <cellStyle name="Migliaia 56 3 3" xfId="898"/>
    <cellStyle name="Migliaia 56 3 3 2" xfId="2563"/>
    <cellStyle name="Migliaia 56 3 3 2 2" xfId="5623"/>
    <cellStyle name="Migliaia 56 3 3 2 3" xfId="6545"/>
    <cellStyle name="Migliaia 56 3 3 3" xfId="5240"/>
    <cellStyle name="Migliaia 56 3 3 4" xfId="6148"/>
    <cellStyle name="Migliaia 56 3 4" xfId="2562"/>
    <cellStyle name="Migliaia 56 3 4 2" xfId="5622"/>
    <cellStyle name="Migliaia 56 3 4 3" xfId="6544"/>
    <cellStyle name="Migliaia 56 3 5" xfId="5238"/>
    <cellStyle name="Migliaia 56 3 6" xfId="6146"/>
    <cellStyle name="Migliaia 56 4" xfId="899"/>
    <cellStyle name="Migliaia 56 4 2" xfId="900"/>
    <cellStyle name="Migliaia 56 4 2 2" xfId="2565"/>
    <cellStyle name="Migliaia 56 4 2 2 2" xfId="5625"/>
    <cellStyle name="Migliaia 56 4 2 2 3" xfId="6547"/>
    <cellStyle name="Migliaia 56 4 2 3" xfId="5242"/>
    <cellStyle name="Migliaia 56 4 2 4" xfId="6150"/>
    <cellStyle name="Migliaia 56 4 3" xfId="2564"/>
    <cellStyle name="Migliaia 56 4 3 2" xfId="5624"/>
    <cellStyle name="Migliaia 56 4 3 3" xfId="6546"/>
    <cellStyle name="Migliaia 56 4 4" xfId="5241"/>
    <cellStyle name="Migliaia 56 4 5" xfId="6149"/>
    <cellStyle name="Migliaia 56 5" xfId="901"/>
    <cellStyle name="Migliaia 56 5 2" xfId="5243"/>
    <cellStyle name="Migliaia 56 5 3" xfId="6151"/>
    <cellStyle name="Migliaia 56 6" xfId="4850"/>
    <cellStyle name="Migliaia 56 7" xfId="6144"/>
    <cellStyle name="Migliaia 57" xfId="902"/>
    <cellStyle name="Migliaia 57 2" xfId="903"/>
    <cellStyle name="Migliaia 57 2 2" xfId="2566"/>
    <cellStyle name="Migliaia 57 2 2 2" xfId="5626"/>
    <cellStyle name="Migliaia 57 2 2 3" xfId="6548"/>
    <cellStyle name="Migliaia 57 2 3" xfId="4915"/>
    <cellStyle name="Migliaia 57 2 4" xfId="6153"/>
    <cellStyle name="Migliaia 57 3" xfId="904"/>
    <cellStyle name="Migliaia 57 3 2" xfId="905"/>
    <cellStyle name="Migliaia 57 3 2 2" xfId="5245"/>
    <cellStyle name="Migliaia 57 3 2 3" xfId="6155"/>
    <cellStyle name="Migliaia 57 3 3" xfId="906"/>
    <cellStyle name="Migliaia 57 3 3 2" xfId="2568"/>
    <cellStyle name="Migliaia 57 3 3 2 2" xfId="5628"/>
    <cellStyle name="Migliaia 57 3 3 2 3" xfId="6550"/>
    <cellStyle name="Migliaia 57 3 3 3" xfId="5246"/>
    <cellStyle name="Migliaia 57 3 3 4" xfId="6156"/>
    <cellStyle name="Migliaia 57 3 4" xfId="2567"/>
    <cellStyle name="Migliaia 57 3 4 2" xfId="5627"/>
    <cellStyle name="Migliaia 57 3 4 3" xfId="6549"/>
    <cellStyle name="Migliaia 57 3 5" xfId="5244"/>
    <cellStyle name="Migliaia 57 3 6" xfId="6154"/>
    <cellStyle name="Migliaia 57 4" xfId="907"/>
    <cellStyle name="Migliaia 57 4 2" xfId="908"/>
    <cellStyle name="Migliaia 57 4 2 2" xfId="2570"/>
    <cellStyle name="Migliaia 57 4 2 2 2" xfId="5630"/>
    <cellStyle name="Migliaia 57 4 2 2 3" xfId="6552"/>
    <cellStyle name="Migliaia 57 4 2 3" xfId="5248"/>
    <cellStyle name="Migliaia 57 4 2 4" xfId="6158"/>
    <cellStyle name="Migliaia 57 4 3" xfId="2569"/>
    <cellStyle name="Migliaia 57 4 3 2" xfId="5629"/>
    <cellStyle name="Migliaia 57 4 3 3" xfId="6551"/>
    <cellStyle name="Migliaia 57 4 4" xfId="5247"/>
    <cellStyle name="Migliaia 57 4 5" xfId="6157"/>
    <cellStyle name="Migliaia 57 5" xfId="909"/>
    <cellStyle name="Migliaia 57 5 2" xfId="5249"/>
    <cellStyle name="Migliaia 57 5 3" xfId="6159"/>
    <cellStyle name="Migliaia 57 6" xfId="4851"/>
    <cellStyle name="Migliaia 57 7" xfId="6152"/>
    <cellStyle name="Migliaia 58" xfId="910"/>
    <cellStyle name="Migliaia 58 2" xfId="911"/>
    <cellStyle name="Migliaia 58 2 2" xfId="2571"/>
    <cellStyle name="Migliaia 58 2 2 2" xfId="5631"/>
    <cellStyle name="Migliaia 58 2 2 3" xfId="6553"/>
    <cellStyle name="Migliaia 58 2 3" xfId="4916"/>
    <cellStyle name="Migliaia 58 2 4" xfId="6161"/>
    <cellStyle name="Migliaia 58 3" xfId="912"/>
    <cellStyle name="Migliaia 58 3 2" xfId="913"/>
    <cellStyle name="Migliaia 58 3 2 2" xfId="5251"/>
    <cellStyle name="Migliaia 58 3 2 3" xfId="6163"/>
    <cellStyle name="Migliaia 58 3 3" xfId="914"/>
    <cellStyle name="Migliaia 58 3 3 2" xfId="2573"/>
    <cellStyle name="Migliaia 58 3 3 2 2" xfId="5633"/>
    <cellStyle name="Migliaia 58 3 3 2 3" xfId="6555"/>
    <cellStyle name="Migliaia 58 3 3 3" xfId="5252"/>
    <cellStyle name="Migliaia 58 3 3 4" xfId="6164"/>
    <cellStyle name="Migliaia 58 3 4" xfId="2572"/>
    <cellStyle name="Migliaia 58 3 4 2" xfId="5632"/>
    <cellStyle name="Migliaia 58 3 4 3" xfId="6554"/>
    <cellStyle name="Migliaia 58 3 5" xfId="5250"/>
    <cellStyle name="Migliaia 58 3 6" xfId="6162"/>
    <cellStyle name="Migliaia 58 4" xfId="915"/>
    <cellStyle name="Migliaia 58 4 2" xfId="916"/>
    <cellStyle name="Migliaia 58 4 2 2" xfId="2575"/>
    <cellStyle name="Migliaia 58 4 2 2 2" xfId="5635"/>
    <cellStyle name="Migliaia 58 4 2 2 3" xfId="6557"/>
    <cellStyle name="Migliaia 58 4 2 3" xfId="5254"/>
    <cellStyle name="Migliaia 58 4 2 4" xfId="6166"/>
    <cellStyle name="Migliaia 58 4 3" xfId="2574"/>
    <cellStyle name="Migliaia 58 4 3 2" xfId="5634"/>
    <cellStyle name="Migliaia 58 4 3 3" xfId="6556"/>
    <cellStyle name="Migliaia 58 4 4" xfId="5253"/>
    <cellStyle name="Migliaia 58 4 5" xfId="6165"/>
    <cellStyle name="Migliaia 58 5" xfId="917"/>
    <cellStyle name="Migliaia 58 5 2" xfId="5255"/>
    <cellStyle name="Migliaia 58 5 3" xfId="6167"/>
    <cellStyle name="Migliaia 58 6" xfId="4852"/>
    <cellStyle name="Migliaia 58 7" xfId="6160"/>
    <cellStyle name="Migliaia 59" xfId="918"/>
    <cellStyle name="Migliaia 59 2" xfId="919"/>
    <cellStyle name="Migliaia 59 2 2" xfId="2576"/>
    <cellStyle name="Migliaia 59 2 2 2" xfId="5636"/>
    <cellStyle name="Migliaia 59 2 2 3" xfId="6558"/>
    <cellStyle name="Migliaia 59 2 3" xfId="4917"/>
    <cellStyle name="Migliaia 59 2 4" xfId="6169"/>
    <cellStyle name="Migliaia 59 3" xfId="920"/>
    <cellStyle name="Migliaia 59 3 2" xfId="921"/>
    <cellStyle name="Migliaia 59 3 2 2" xfId="5257"/>
    <cellStyle name="Migliaia 59 3 2 3" xfId="6171"/>
    <cellStyle name="Migliaia 59 3 3" xfId="922"/>
    <cellStyle name="Migliaia 59 3 3 2" xfId="2578"/>
    <cellStyle name="Migliaia 59 3 3 2 2" xfId="5638"/>
    <cellStyle name="Migliaia 59 3 3 2 3" xfId="6560"/>
    <cellStyle name="Migliaia 59 3 3 3" xfId="5258"/>
    <cellStyle name="Migliaia 59 3 3 4" xfId="6172"/>
    <cellStyle name="Migliaia 59 3 4" xfId="2577"/>
    <cellStyle name="Migliaia 59 3 4 2" xfId="5637"/>
    <cellStyle name="Migliaia 59 3 4 3" xfId="6559"/>
    <cellStyle name="Migliaia 59 3 5" xfId="5256"/>
    <cellStyle name="Migliaia 59 3 6" xfId="6170"/>
    <cellStyle name="Migliaia 59 4" xfId="923"/>
    <cellStyle name="Migliaia 59 4 2" xfId="924"/>
    <cellStyle name="Migliaia 59 4 2 2" xfId="2580"/>
    <cellStyle name="Migliaia 59 4 2 2 2" xfId="5640"/>
    <cellStyle name="Migliaia 59 4 2 2 3" xfId="6562"/>
    <cellStyle name="Migliaia 59 4 2 3" xfId="5260"/>
    <cellStyle name="Migliaia 59 4 2 4" xfId="6174"/>
    <cellStyle name="Migliaia 59 4 3" xfId="2579"/>
    <cellStyle name="Migliaia 59 4 3 2" xfId="5639"/>
    <cellStyle name="Migliaia 59 4 3 3" xfId="6561"/>
    <cellStyle name="Migliaia 59 4 4" xfId="5259"/>
    <cellStyle name="Migliaia 59 4 5" xfId="6173"/>
    <cellStyle name="Migliaia 59 5" xfId="925"/>
    <cellStyle name="Migliaia 59 5 2" xfId="5261"/>
    <cellStyle name="Migliaia 59 5 3" xfId="6175"/>
    <cellStyle name="Migliaia 59 6" xfId="4853"/>
    <cellStyle name="Migliaia 59 7" xfId="6168"/>
    <cellStyle name="Migliaia 6" xfId="926"/>
    <cellStyle name="Migliaia 6 2" xfId="927"/>
    <cellStyle name="Migliaia 6 2 2" xfId="2581"/>
    <cellStyle name="Migliaia 6 2 2 2" xfId="5641"/>
    <cellStyle name="Migliaia 6 2 2 3" xfId="6563"/>
    <cellStyle name="Migliaia 6 2 3" xfId="4918"/>
    <cellStyle name="Migliaia 6 2 4" xfId="6177"/>
    <cellStyle name="Migliaia 6 3" xfId="928"/>
    <cellStyle name="Migliaia 6 3 2" xfId="929"/>
    <cellStyle name="Migliaia 6 3 2 2" xfId="5263"/>
    <cellStyle name="Migliaia 6 3 2 3" xfId="6179"/>
    <cellStyle name="Migliaia 6 3 3" xfId="930"/>
    <cellStyle name="Migliaia 6 3 3 2" xfId="2583"/>
    <cellStyle name="Migliaia 6 3 3 2 2" xfId="5643"/>
    <cellStyle name="Migliaia 6 3 3 2 3" xfId="6565"/>
    <cellStyle name="Migliaia 6 3 3 3" xfId="5264"/>
    <cellStyle name="Migliaia 6 3 3 4" xfId="6180"/>
    <cellStyle name="Migliaia 6 3 4" xfId="2582"/>
    <cellStyle name="Migliaia 6 3 4 2" xfId="5642"/>
    <cellStyle name="Migliaia 6 3 4 3" xfId="6564"/>
    <cellStyle name="Migliaia 6 3 5" xfId="5262"/>
    <cellStyle name="Migliaia 6 3 6" xfId="6178"/>
    <cellStyle name="Migliaia 6 4" xfId="931"/>
    <cellStyle name="Migliaia 6 4 2" xfId="932"/>
    <cellStyle name="Migliaia 6 4 2 2" xfId="2585"/>
    <cellStyle name="Migliaia 6 4 2 2 2" xfId="5645"/>
    <cellStyle name="Migliaia 6 4 2 2 3" xfId="6567"/>
    <cellStyle name="Migliaia 6 4 2 3" xfId="5266"/>
    <cellStyle name="Migliaia 6 4 2 4" xfId="6182"/>
    <cellStyle name="Migliaia 6 4 3" xfId="2584"/>
    <cellStyle name="Migliaia 6 4 3 2" xfId="5644"/>
    <cellStyle name="Migliaia 6 4 3 3" xfId="6566"/>
    <cellStyle name="Migliaia 6 4 4" xfId="5265"/>
    <cellStyle name="Migliaia 6 4 5" xfId="6181"/>
    <cellStyle name="Migliaia 6 5" xfId="933"/>
    <cellStyle name="Migliaia 6 5 2" xfId="5267"/>
    <cellStyle name="Migliaia 6 5 3" xfId="6183"/>
    <cellStyle name="Migliaia 6 6" xfId="4854"/>
    <cellStyle name="Migliaia 6 7" xfId="6176"/>
    <cellStyle name="Migliaia 60" xfId="934"/>
    <cellStyle name="Migliaia 60 2" xfId="935"/>
    <cellStyle name="Migliaia 60 2 2" xfId="2586"/>
    <cellStyle name="Migliaia 60 2 2 2" xfId="5646"/>
    <cellStyle name="Migliaia 60 2 2 3" xfId="6568"/>
    <cellStyle name="Migliaia 60 2 3" xfId="4919"/>
    <cellStyle name="Migliaia 60 2 4" xfId="6185"/>
    <cellStyle name="Migliaia 60 3" xfId="936"/>
    <cellStyle name="Migliaia 60 3 2" xfId="937"/>
    <cellStyle name="Migliaia 60 3 2 2" xfId="5269"/>
    <cellStyle name="Migliaia 60 3 2 3" xfId="6187"/>
    <cellStyle name="Migliaia 60 3 3" xfId="938"/>
    <cellStyle name="Migliaia 60 3 3 2" xfId="2588"/>
    <cellStyle name="Migliaia 60 3 3 2 2" xfId="5648"/>
    <cellStyle name="Migliaia 60 3 3 2 3" xfId="6570"/>
    <cellStyle name="Migliaia 60 3 3 3" xfId="5270"/>
    <cellStyle name="Migliaia 60 3 3 4" xfId="6188"/>
    <cellStyle name="Migliaia 60 3 4" xfId="2587"/>
    <cellStyle name="Migliaia 60 3 4 2" xfId="5647"/>
    <cellStyle name="Migliaia 60 3 4 3" xfId="6569"/>
    <cellStyle name="Migliaia 60 3 5" xfId="5268"/>
    <cellStyle name="Migliaia 60 3 6" xfId="6186"/>
    <cellStyle name="Migliaia 60 4" xfId="939"/>
    <cellStyle name="Migliaia 60 4 2" xfId="940"/>
    <cellStyle name="Migliaia 60 4 2 2" xfId="2590"/>
    <cellStyle name="Migliaia 60 4 2 2 2" xfId="5650"/>
    <cellStyle name="Migliaia 60 4 2 2 3" xfId="6572"/>
    <cellStyle name="Migliaia 60 4 2 3" xfId="5272"/>
    <cellStyle name="Migliaia 60 4 2 4" xfId="6190"/>
    <cellStyle name="Migliaia 60 4 3" xfId="2589"/>
    <cellStyle name="Migliaia 60 4 3 2" xfId="5649"/>
    <cellStyle name="Migliaia 60 4 3 3" xfId="6571"/>
    <cellStyle name="Migliaia 60 4 4" xfId="5271"/>
    <cellStyle name="Migliaia 60 4 5" xfId="6189"/>
    <cellStyle name="Migliaia 60 5" xfId="941"/>
    <cellStyle name="Migliaia 60 5 2" xfId="5273"/>
    <cellStyle name="Migliaia 60 5 3" xfId="6191"/>
    <cellStyle name="Migliaia 60 6" xfId="4855"/>
    <cellStyle name="Migliaia 60 7" xfId="6184"/>
    <cellStyle name="Migliaia 61" xfId="942"/>
    <cellStyle name="Migliaia 61 2" xfId="943"/>
    <cellStyle name="Migliaia 61 2 2" xfId="2591"/>
    <cellStyle name="Migliaia 61 2 2 2" xfId="5651"/>
    <cellStyle name="Migliaia 61 2 2 3" xfId="6573"/>
    <cellStyle name="Migliaia 61 2 3" xfId="4920"/>
    <cellStyle name="Migliaia 61 2 4" xfId="6193"/>
    <cellStyle name="Migliaia 61 3" xfId="944"/>
    <cellStyle name="Migliaia 61 3 2" xfId="945"/>
    <cellStyle name="Migliaia 61 3 2 2" xfId="5275"/>
    <cellStyle name="Migliaia 61 3 2 3" xfId="6195"/>
    <cellStyle name="Migliaia 61 3 3" xfId="946"/>
    <cellStyle name="Migliaia 61 3 3 2" xfId="2593"/>
    <cellStyle name="Migliaia 61 3 3 2 2" xfId="5653"/>
    <cellStyle name="Migliaia 61 3 3 2 3" xfId="6575"/>
    <cellStyle name="Migliaia 61 3 3 3" xfId="5276"/>
    <cellStyle name="Migliaia 61 3 3 4" xfId="6196"/>
    <cellStyle name="Migliaia 61 3 4" xfId="2592"/>
    <cellStyle name="Migliaia 61 3 4 2" xfId="5652"/>
    <cellStyle name="Migliaia 61 3 4 3" xfId="6574"/>
    <cellStyle name="Migliaia 61 3 5" xfId="5274"/>
    <cellStyle name="Migliaia 61 3 6" xfId="6194"/>
    <cellStyle name="Migliaia 61 4" xfId="947"/>
    <cellStyle name="Migliaia 61 4 2" xfId="948"/>
    <cellStyle name="Migliaia 61 4 2 2" xfId="2595"/>
    <cellStyle name="Migliaia 61 4 2 2 2" xfId="5655"/>
    <cellStyle name="Migliaia 61 4 2 2 3" xfId="6577"/>
    <cellStyle name="Migliaia 61 4 2 3" xfId="5278"/>
    <cellStyle name="Migliaia 61 4 2 4" xfId="6198"/>
    <cellStyle name="Migliaia 61 4 3" xfId="2594"/>
    <cellStyle name="Migliaia 61 4 3 2" xfId="5654"/>
    <cellStyle name="Migliaia 61 4 3 3" xfId="6576"/>
    <cellStyle name="Migliaia 61 4 4" xfId="5277"/>
    <cellStyle name="Migliaia 61 4 5" xfId="6197"/>
    <cellStyle name="Migliaia 61 5" xfId="949"/>
    <cellStyle name="Migliaia 61 5 2" xfId="5279"/>
    <cellStyle name="Migliaia 61 5 3" xfId="6199"/>
    <cellStyle name="Migliaia 61 6" xfId="4856"/>
    <cellStyle name="Migliaia 61 7" xfId="6192"/>
    <cellStyle name="Migliaia 7" xfId="950"/>
    <cellStyle name="Migliaia 7 2" xfId="951"/>
    <cellStyle name="Migliaia 7 2 2" xfId="2596"/>
    <cellStyle name="Migliaia 7 2 2 2" xfId="5656"/>
    <cellStyle name="Migliaia 7 2 2 3" xfId="6578"/>
    <cellStyle name="Migliaia 7 2 3" xfId="4921"/>
    <cellStyle name="Migliaia 7 2 4" xfId="6201"/>
    <cellStyle name="Migliaia 7 3" xfId="952"/>
    <cellStyle name="Migliaia 7 3 2" xfId="953"/>
    <cellStyle name="Migliaia 7 3 2 2" xfId="5281"/>
    <cellStyle name="Migliaia 7 3 2 3" xfId="6203"/>
    <cellStyle name="Migliaia 7 3 3" xfId="954"/>
    <cellStyle name="Migliaia 7 3 3 2" xfId="2598"/>
    <cellStyle name="Migliaia 7 3 3 2 2" xfId="5658"/>
    <cellStyle name="Migliaia 7 3 3 2 3" xfId="6580"/>
    <cellStyle name="Migliaia 7 3 3 3" xfId="5282"/>
    <cellStyle name="Migliaia 7 3 3 4" xfId="6204"/>
    <cellStyle name="Migliaia 7 3 4" xfId="2597"/>
    <cellStyle name="Migliaia 7 3 4 2" xfId="5657"/>
    <cellStyle name="Migliaia 7 3 4 3" xfId="6579"/>
    <cellStyle name="Migliaia 7 3 5" xfId="5280"/>
    <cellStyle name="Migliaia 7 3 6" xfId="6202"/>
    <cellStyle name="Migliaia 7 4" xfId="955"/>
    <cellStyle name="Migliaia 7 4 2" xfId="956"/>
    <cellStyle name="Migliaia 7 4 2 2" xfId="2600"/>
    <cellStyle name="Migliaia 7 4 2 2 2" xfId="5660"/>
    <cellStyle name="Migliaia 7 4 2 2 3" xfId="6582"/>
    <cellStyle name="Migliaia 7 4 2 3" xfId="5284"/>
    <cellStyle name="Migliaia 7 4 2 4" xfId="6206"/>
    <cellStyle name="Migliaia 7 4 3" xfId="2599"/>
    <cellStyle name="Migliaia 7 4 3 2" xfId="5659"/>
    <cellStyle name="Migliaia 7 4 3 3" xfId="6581"/>
    <cellStyle name="Migliaia 7 4 4" xfId="5283"/>
    <cellStyle name="Migliaia 7 4 5" xfId="6205"/>
    <cellStyle name="Migliaia 7 5" xfId="957"/>
    <cellStyle name="Migliaia 7 5 2" xfId="5285"/>
    <cellStyle name="Migliaia 7 5 3" xfId="6207"/>
    <cellStyle name="Migliaia 7 6" xfId="4857"/>
    <cellStyle name="Migliaia 7 7" xfId="6200"/>
    <cellStyle name="Migliaia 8" xfId="958"/>
    <cellStyle name="Migliaia 8 2" xfId="959"/>
    <cellStyle name="Migliaia 8 2 2" xfId="2601"/>
    <cellStyle name="Migliaia 8 2 2 2" xfId="5661"/>
    <cellStyle name="Migliaia 8 2 2 3" xfId="6583"/>
    <cellStyle name="Migliaia 8 2 3" xfId="4922"/>
    <cellStyle name="Migliaia 8 2 4" xfId="6209"/>
    <cellStyle name="Migliaia 8 3" xfId="960"/>
    <cellStyle name="Migliaia 8 3 2" xfId="961"/>
    <cellStyle name="Migliaia 8 3 2 2" xfId="5287"/>
    <cellStyle name="Migliaia 8 3 2 3" xfId="6211"/>
    <cellStyle name="Migliaia 8 3 3" xfId="962"/>
    <cellStyle name="Migliaia 8 3 3 2" xfId="2603"/>
    <cellStyle name="Migliaia 8 3 3 2 2" xfId="5663"/>
    <cellStyle name="Migliaia 8 3 3 2 3" xfId="6585"/>
    <cellStyle name="Migliaia 8 3 3 3" xfId="5288"/>
    <cellStyle name="Migliaia 8 3 3 4" xfId="6212"/>
    <cellStyle name="Migliaia 8 3 4" xfId="2602"/>
    <cellStyle name="Migliaia 8 3 4 2" xfId="5662"/>
    <cellStyle name="Migliaia 8 3 4 3" xfId="6584"/>
    <cellStyle name="Migliaia 8 3 5" xfId="5286"/>
    <cellStyle name="Migliaia 8 3 6" xfId="6210"/>
    <cellStyle name="Migliaia 8 4" xfId="963"/>
    <cellStyle name="Migliaia 8 4 2" xfId="964"/>
    <cellStyle name="Migliaia 8 4 2 2" xfId="2605"/>
    <cellStyle name="Migliaia 8 4 2 2 2" xfId="5665"/>
    <cellStyle name="Migliaia 8 4 2 2 3" xfId="6587"/>
    <cellStyle name="Migliaia 8 4 2 3" xfId="5290"/>
    <cellStyle name="Migliaia 8 4 2 4" xfId="6214"/>
    <cellStyle name="Migliaia 8 4 3" xfId="2604"/>
    <cellStyle name="Migliaia 8 4 3 2" xfId="5664"/>
    <cellStyle name="Migliaia 8 4 3 3" xfId="6586"/>
    <cellStyle name="Migliaia 8 4 4" xfId="5289"/>
    <cellStyle name="Migliaia 8 4 5" xfId="6213"/>
    <cellStyle name="Migliaia 8 5" xfId="965"/>
    <cellStyle name="Migliaia 8 5 2" xfId="5291"/>
    <cellStyle name="Migliaia 8 5 3" xfId="6215"/>
    <cellStyle name="Migliaia 8 6" xfId="4858"/>
    <cellStyle name="Migliaia 8 7" xfId="6208"/>
    <cellStyle name="Migliaia 9" xfId="966"/>
    <cellStyle name="Migliaia 9 2" xfId="967"/>
    <cellStyle name="Migliaia 9 2 2" xfId="2606"/>
    <cellStyle name="Migliaia 9 2 2 2" xfId="5666"/>
    <cellStyle name="Migliaia 9 2 2 3" xfId="6588"/>
    <cellStyle name="Migliaia 9 2 3" xfId="4923"/>
    <cellStyle name="Migliaia 9 2 4" xfId="6217"/>
    <cellStyle name="Migliaia 9 3" xfId="968"/>
    <cellStyle name="Migliaia 9 3 2" xfId="969"/>
    <cellStyle name="Migliaia 9 3 2 2" xfId="5293"/>
    <cellStyle name="Migliaia 9 3 2 3" xfId="6219"/>
    <cellStyle name="Migliaia 9 3 3" xfId="970"/>
    <cellStyle name="Migliaia 9 3 3 2" xfId="2608"/>
    <cellStyle name="Migliaia 9 3 3 2 2" xfId="5668"/>
    <cellStyle name="Migliaia 9 3 3 2 3" xfId="6590"/>
    <cellStyle name="Migliaia 9 3 3 3" xfId="5294"/>
    <cellStyle name="Migliaia 9 3 3 4" xfId="6220"/>
    <cellStyle name="Migliaia 9 3 4" xfId="2607"/>
    <cellStyle name="Migliaia 9 3 4 2" xfId="5667"/>
    <cellStyle name="Migliaia 9 3 4 3" xfId="6589"/>
    <cellStyle name="Migliaia 9 3 5" xfId="5292"/>
    <cellStyle name="Migliaia 9 3 6" xfId="6218"/>
    <cellStyle name="Migliaia 9 4" xfId="971"/>
    <cellStyle name="Migliaia 9 4 2" xfId="972"/>
    <cellStyle name="Migliaia 9 4 2 2" xfId="2610"/>
    <cellStyle name="Migliaia 9 4 2 2 2" xfId="5670"/>
    <cellStyle name="Migliaia 9 4 2 2 3" xfId="6592"/>
    <cellStyle name="Migliaia 9 4 2 3" xfId="5296"/>
    <cellStyle name="Migliaia 9 4 2 4" xfId="6222"/>
    <cellStyle name="Migliaia 9 4 3" xfId="2609"/>
    <cellStyle name="Migliaia 9 4 3 2" xfId="5669"/>
    <cellStyle name="Migliaia 9 4 3 3" xfId="6591"/>
    <cellStyle name="Migliaia 9 4 4" xfId="5295"/>
    <cellStyle name="Migliaia 9 4 5" xfId="6221"/>
    <cellStyle name="Migliaia 9 5" xfId="973"/>
    <cellStyle name="Migliaia 9 5 2" xfId="5297"/>
    <cellStyle name="Migliaia 9 5 3" xfId="6223"/>
    <cellStyle name="Migliaia 9 6" xfId="4859"/>
    <cellStyle name="Migliaia 9 7" xfId="6216"/>
    <cellStyle name="Neutral" xfId="3332" builtinId="28" customBuiltin="1"/>
    <cellStyle name="Neutral 2" xfId="3446"/>
    <cellStyle name="Neutrale" xfId="974"/>
    <cellStyle name="Normal" xfId="0" builtinId="0"/>
    <cellStyle name="Normal 10" xfId="975"/>
    <cellStyle name="Normal 10 2" xfId="2611"/>
    <cellStyle name="Normal 10 2 2" xfId="3679"/>
    <cellStyle name="Normal 10 2 2 2" xfId="4311"/>
    <cellStyle name="Normal 10 2 2 2 2" xfId="7479"/>
    <cellStyle name="Normal 10 2 2 2 2 2" xfId="10234"/>
    <cellStyle name="Normal 10 2 2 2 3" xfId="8872"/>
    <cellStyle name="Normal 10 2 2 3" xfId="6855"/>
    <cellStyle name="Normal 10 2 2 3 2" xfId="9610"/>
    <cellStyle name="Normal 10 2 2 4" xfId="8248"/>
    <cellStyle name="Normal 10 2 3" xfId="3680"/>
    <cellStyle name="Normal 10 2 3 2" xfId="4312"/>
    <cellStyle name="Normal 10 2 3 2 2" xfId="7480"/>
    <cellStyle name="Normal 10 2 3 2 2 2" xfId="10235"/>
    <cellStyle name="Normal 10 2 3 2 3" xfId="8873"/>
    <cellStyle name="Normal 10 2 3 3" xfId="6856"/>
    <cellStyle name="Normal 10 2 3 3 2" xfId="9611"/>
    <cellStyle name="Normal 10 2 3 4" xfId="8249"/>
    <cellStyle name="Normal 10 2 4" xfId="4310"/>
    <cellStyle name="Normal 10 2 4 2" xfId="7478"/>
    <cellStyle name="Normal 10 2 4 2 2" xfId="10233"/>
    <cellStyle name="Normal 10 2 4 3" xfId="8871"/>
    <cellStyle name="Normal 10 2 5" xfId="3678"/>
    <cellStyle name="Normal 10 2 5 2" xfId="6854"/>
    <cellStyle name="Normal 10 2 5 2 2" xfId="9609"/>
    <cellStyle name="Normal 10 2 5 3" xfId="8247"/>
    <cellStyle name="Normal 10 3" xfId="3317"/>
    <cellStyle name="Normal 10 3 2" xfId="4313"/>
    <cellStyle name="Normal 10 3 2 2" xfId="7481"/>
    <cellStyle name="Normal 10 3 2 2 2" xfId="10236"/>
    <cellStyle name="Normal 10 3 2 3" xfId="8874"/>
    <cellStyle name="Normal 10 3 3" xfId="3681"/>
    <cellStyle name="Normal 10 3 3 2" xfId="6857"/>
    <cellStyle name="Normal 10 3 3 2 2" xfId="9612"/>
    <cellStyle name="Normal 10 3 3 3" xfId="8250"/>
    <cellStyle name="Normal 10 4" xfId="3682"/>
    <cellStyle name="Normal 10 4 2" xfId="4314"/>
    <cellStyle name="Normal 10 4 2 2" xfId="7482"/>
    <cellStyle name="Normal 10 4 2 2 2" xfId="10237"/>
    <cellStyle name="Normal 10 4 2 3" xfId="8875"/>
    <cellStyle name="Normal 10 4 3" xfId="6858"/>
    <cellStyle name="Normal 10 4 3 2" xfId="9613"/>
    <cellStyle name="Normal 10 4 4" xfId="8251"/>
    <cellStyle name="Normal 10 5" xfId="3683"/>
    <cellStyle name="Normal 10 5 2" xfId="4315"/>
    <cellStyle name="Normal 10 5 2 2" xfId="7483"/>
    <cellStyle name="Normal 10 5 2 2 2" xfId="10238"/>
    <cellStyle name="Normal 10 5 2 3" xfId="8876"/>
    <cellStyle name="Normal 10 5 3" xfId="6859"/>
    <cellStyle name="Normal 10 5 3 2" xfId="9614"/>
    <cellStyle name="Normal 10 5 4" xfId="8252"/>
    <cellStyle name="Normal 10 6" xfId="4309"/>
    <cellStyle name="Normal 10 6 2" xfId="7477"/>
    <cellStyle name="Normal 10 6 2 2" xfId="10232"/>
    <cellStyle name="Normal 10 6 3" xfId="8870"/>
    <cellStyle name="Normal 10 7" xfId="3677"/>
    <cellStyle name="Normal 10 7 2" xfId="6853"/>
    <cellStyle name="Normal 10 7 2 2" xfId="9608"/>
    <cellStyle name="Normal 10 7 3" xfId="8246"/>
    <cellStyle name="Normal 11" xfId="2005"/>
    <cellStyle name="Normal 11 10" xfId="6229"/>
    <cellStyle name="Normal 11 10 2" xfId="9345"/>
    <cellStyle name="Normal 11 11" xfId="7954"/>
    <cellStyle name="Normal 11 2" xfId="3261"/>
    <cellStyle name="Normal 11 2 2" xfId="3310"/>
    <cellStyle name="Normal 11 2 2 2" xfId="4318"/>
    <cellStyle name="Normal 11 2 2 2 2" xfId="7486"/>
    <cellStyle name="Normal 11 2 2 2 2 2" xfId="10241"/>
    <cellStyle name="Normal 11 2 2 2 3" xfId="8879"/>
    <cellStyle name="Normal 11 2 2 3" xfId="3686"/>
    <cellStyle name="Normal 11 2 2 3 2" xfId="6862"/>
    <cellStyle name="Normal 11 2 2 3 2 2" xfId="9617"/>
    <cellStyle name="Normal 11 2 2 3 3" xfId="8255"/>
    <cellStyle name="Normal 11 2 2 4" xfId="6619"/>
    <cellStyle name="Normal 11 2 2 4 2" xfId="9383"/>
    <cellStyle name="Normal 11 2 2 5" xfId="8012"/>
    <cellStyle name="Normal 11 2 3" xfId="3687"/>
    <cellStyle name="Normal 11 2 3 2" xfId="4319"/>
    <cellStyle name="Normal 11 2 3 2 2" xfId="7487"/>
    <cellStyle name="Normal 11 2 3 2 2 2" xfId="10242"/>
    <cellStyle name="Normal 11 2 3 2 3" xfId="8880"/>
    <cellStyle name="Normal 11 2 3 3" xfId="6863"/>
    <cellStyle name="Normal 11 2 3 3 2" xfId="9618"/>
    <cellStyle name="Normal 11 2 3 4" xfId="8256"/>
    <cellStyle name="Normal 11 2 4" xfId="3688"/>
    <cellStyle name="Normal 11 2 4 2" xfId="4320"/>
    <cellStyle name="Normal 11 2 4 2 2" xfId="7488"/>
    <cellStyle name="Normal 11 2 4 2 2 2" xfId="10243"/>
    <cellStyle name="Normal 11 2 4 2 3" xfId="8881"/>
    <cellStyle name="Normal 11 2 4 3" xfId="6864"/>
    <cellStyle name="Normal 11 2 4 3 2" xfId="9619"/>
    <cellStyle name="Normal 11 2 4 4" xfId="8257"/>
    <cellStyle name="Normal 11 2 5" xfId="4317"/>
    <cellStyle name="Normal 11 2 5 2" xfId="7485"/>
    <cellStyle name="Normal 11 2 5 2 2" xfId="10240"/>
    <cellStyle name="Normal 11 2 5 3" xfId="8878"/>
    <cellStyle name="Normal 11 2 6" xfId="3685"/>
    <cellStyle name="Normal 11 2 6 2" xfId="6861"/>
    <cellStyle name="Normal 11 2 6 2 2" xfId="9616"/>
    <cellStyle name="Normal 11 2 6 3" xfId="8254"/>
    <cellStyle name="Normal 11 2 7" xfId="5676"/>
    <cellStyle name="Normal 11 2 7 2" xfId="9326"/>
    <cellStyle name="Normal 11 2 8" xfId="6598"/>
    <cellStyle name="Normal 11 2 8 2" xfId="9362"/>
    <cellStyle name="Normal 11 2 9" xfId="7992"/>
    <cellStyle name="Normal 11 3" xfId="3291"/>
    <cellStyle name="Normal 11 3 2" xfId="3690"/>
    <cellStyle name="Normal 11 3 2 2" xfId="4322"/>
    <cellStyle name="Normal 11 3 2 2 2" xfId="7490"/>
    <cellStyle name="Normal 11 3 2 2 2 2" xfId="10245"/>
    <cellStyle name="Normal 11 3 2 2 3" xfId="8883"/>
    <cellStyle name="Normal 11 3 2 3" xfId="6866"/>
    <cellStyle name="Normal 11 3 2 3 2" xfId="9621"/>
    <cellStyle name="Normal 11 3 2 4" xfId="8259"/>
    <cellStyle name="Normal 11 3 3" xfId="3691"/>
    <cellStyle name="Normal 11 3 3 2" xfId="4323"/>
    <cellStyle name="Normal 11 3 3 2 2" xfId="7491"/>
    <cellStyle name="Normal 11 3 3 2 2 2" xfId="10246"/>
    <cellStyle name="Normal 11 3 3 2 3" xfId="8884"/>
    <cellStyle name="Normal 11 3 3 3" xfId="6867"/>
    <cellStyle name="Normal 11 3 3 3 2" xfId="9622"/>
    <cellStyle name="Normal 11 3 3 4" xfId="8260"/>
    <cellStyle name="Normal 11 3 4" xfId="4321"/>
    <cellStyle name="Normal 11 3 4 2" xfId="7489"/>
    <cellStyle name="Normal 11 3 4 2 2" xfId="10244"/>
    <cellStyle name="Normal 11 3 4 3" xfId="8882"/>
    <cellStyle name="Normal 11 3 5" xfId="3689"/>
    <cellStyle name="Normal 11 3 5 2" xfId="6865"/>
    <cellStyle name="Normal 11 3 5 2 2" xfId="9620"/>
    <cellStyle name="Normal 11 3 5 3" xfId="8258"/>
    <cellStyle name="Normal 11 3 6" xfId="6609"/>
    <cellStyle name="Normal 11 3 6 2" xfId="9373"/>
    <cellStyle name="Normal 11 3 7" xfId="8002"/>
    <cellStyle name="Normal 11 4" xfId="3692"/>
    <cellStyle name="Normal 11 4 2" xfId="4324"/>
    <cellStyle name="Normal 11 4 2 2" xfId="7492"/>
    <cellStyle name="Normal 11 4 2 2 2" xfId="10247"/>
    <cellStyle name="Normal 11 4 2 3" xfId="8885"/>
    <cellStyle name="Normal 11 4 3" xfId="6868"/>
    <cellStyle name="Normal 11 4 3 2" xfId="9623"/>
    <cellStyle name="Normal 11 4 4" xfId="10654"/>
    <cellStyle name="Normal 11 4 4 2" xfId="10688"/>
    <cellStyle name="Normal 11 4 5" xfId="8261"/>
    <cellStyle name="Normal 11 5" xfId="3693"/>
    <cellStyle name="Normal 11 5 2" xfId="4325"/>
    <cellStyle name="Normal 11 5 2 2" xfId="7493"/>
    <cellStyle name="Normal 11 5 2 2 2" xfId="10248"/>
    <cellStyle name="Normal 11 5 2 3" xfId="8886"/>
    <cellStyle name="Normal 11 5 3" xfId="6869"/>
    <cellStyle name="Normal 11 5 3 2" xfId="9624"/>
    <cellStyle name="Normal 11 5 4" xfId="8262"/>
    <cellStyle name="Normal 11 6" xfId="3694"/>
    <cellStyle name="Normal 11 6 2" xfId="4326"/>
    <cellStyle name="Normal 11 6 2 2" xfId="7494"/>
    <cellStyle name="Normal 11 6 2 2 2" xfId="10249"/>
    <cellStyle name="Normal 11 6 2 3" xfId="8887"/>
    <cellStyle name="Normal 11 6 3" xfId="6870"/>
    <cellStyle name="Normal 11 6 3 2" xfId="9625"/>
    <cellStyle name="Normal 11 6 4" xfId="8263"/>
    <cellStyle name="Normal 11 7" xfId="4316"/>
    <cellStyle name="Normal 11 7 2" xfId="7484"/>
    <cellStyle name="Normal 11 7 2 2" xfId="10239"/>
    <cellStyle name="Normal 11 7 3" xfId="8877"/>
    <cellStyle name="Normal 11 8" xfId="3684"/>
    <cellStyle name="Normal 11 8 2" xfId="6860"/>
    <cellStyle name="Normal 11 8 2 2" xfId="9615"/>
    <cellStyle name="Normal 11 8 3" xfId="8253"/>
    <cellStyle name="Normal 11 9" xfId="5307"/>
    <cellStyle name="Normal 11 9 2" xfId="9312"/>
    <cellStyle name="Normal 12" xfId="2007"/>
    <cellStyle name="Normal 12 2" xfId="3696"/>
    <cellStyle name="Normal 12 2 2" xfId="3697"/>
    <cellStyle name="Normal 12 2 2 2" xfId="4329"/>
    <cellStyle name="Normal 12 2 2 2 2" xfId="7497"/>
    <cellStyle name="Normal 12 2 2 2 2 2" xfId="10252"/>
    <cellStyle name="Normal 12 2 2 2 3" xfId="8890"/>
    <cellStyle name="Normal 12 2 2 3" xfId="6873"/>
    <cellStyle name="Normal 12 2 2 3 2" xfId="9628"/>
    <cellStyle name="Normal 12 2 2 4" xfId="8266"/>
    <cellStyle name="Normal 12 2 3" xfId="3698"/>
    <cellStyle name="Normal 12 2 3 2" xfId="4330"/>
    <cellStyle name="Normal 12 2 3 2 2" xfId="7498"/>
    <cellStyle name="Normal 12 2 3 2 2 2" xfId="10253"/>
    <cellStyle name="Normal 12 2 3 2 3" xfId="8891"/>
    <cellStyle name="Normal 12 2 3 3" xfId="6874"/>
    <cellStyle name="Normal 12 2 3 3 2" xfId="9629"/>
    <cellStyle name="Normal 12 2 3 4" xfId="8267"/>
    <cellStyle name="Normal 12 2 4" xfId="4328"/>
    <cellStyle name="Normal 12 2 4 2" xfId="7496"/>
    <cellStyle name="Normal 12 2 4 2 2" xfId="10251"/>
    <cellStyle name="Normal 12 2 4 3" xfId="8889"/>
    <cellStyle name="Normal 12 2 5" xfId="6872"/>
    <cellStyle name="Normal 12 2 5 2" xfId="9627"/>
    <cellStyle name="Normal 12 2 6" xfId="8265"/>
    <cellStyle name="Normal 12 3" xfId="3699"/>
    <cellStyle name="Normal 12 3 2" xfId="4331"/>
    <cellStyle name="Normal 12 3 2 2" xfId="7499"/>
    <cellStyle name="Normal 12 3 2 2 2" xfId="10254"/>
    <cellStyle name="Normal 12 3 2 3" xfId="8892"/>
    <cellStyle name="Normal 12 3 3" xfId="6875"/>
    <cellStyle name="Normal 12 3 3 2" xfId="9630"/>
    <cellStyle name="Normal 12 3 4" xfId="8268"/>
    <cellStyle name="Normal 12 4" xfId="3700"/>
    <cellStyle name="Normal 12 4 2" xfId="4332"/>
    <cellStyle name="Normal 12 4 2 2" xfId="7500"/>
    <cellStyle name="Normal 12 4 2 2 2" xfId="10255"/>
    <cellStyle name="Normal 12 4 2 3" xfId="8893"/>
    <cellStyle name="Normal 12 4 3" xfId="6876"/>
    <cellStyle name="Normal 12 4 3 2" xfId="9631"/>
    <cellStyle name="Normal 12 4 4" xfId="8269"/>
    <cellStyle name="Normal 12 5" xfId="3701"/>
    <cellStyle name="Normal 12 5 2" xfId="4333"/>
    <cellStyle name="Normal 12 5 2 2" xfId="7501"/>
    <cellStyle name="Normal 12 5 2 2 2" xfId="10256"/>
    <cellStyle name="Normal 12 5 2 3" xfId="8894"/>
    <cellStyle name="Normal 12 5 3" xfId="6877"/>
    <cellStyle name="Normal 12 5 3 2" xfId="9632"/>
    <cellStyle name="Normal 12 5 4" xfId="8270"/>
    <cellStyle name="Normal 12 6" xfId="4327"/>
    <cellStyle name="Normal 12 6 2" xfId="7495"/>
    <cellStyle name="Normal 12 6 2 2" xfId="10250"/>
    <cellStyle name="Normal 12 6 3" xfId="8888"/>
    <cellStyle name="Normal 12 7" xfId="3695"/>
    <cellStyle name="Normal 12 7 2" xfId="6871"/>
    <cellStyle name="Normal 12 7 2 2" xfId="9626"/>
    <cellStyle name="Normal 12 7 3" xfId="8264"/>
    <cellStyle name="Normal 13" xfId="3312"/>
    <cellStyle name="Normal 13 10" xfId="8014"/>
    <cellStyle name="Normal 13 2" xfId="3703"/>
    <cellStyle name="Normal 13 2 2" xfId="3704"/>
    <cellStyle name="Normal 13 2 2 2" xfId="4336"/>
    <cellStyle name="Normal 13 2 2 2 2" xfId="7504"/>
    <cellStyle name="Normal 13 2 2 2 2 2" xfId="10259"/>
    <cellStyle name="Normal 13 2 2 2 3" xfId="8897"/>
    <cellStyle name="Normal 13 2 2 3" xfId="6880"/>
    <cellStyle name="Normal 13 2 2 3 2" xfId="9635"/>
    <cellStyle name="Normal 13 2 2 4" xfId="8273"/>
    <cellStyle name="Normal 13 2 3" xfId="3705"/>
    <cellStyle name="Normal 13 2 3 2" xfId="4337"/>
    <cellStyle name="Normal 13 2 3 2 2" xfId="7505"/>
    <cellStyle name="Normal 13 2 3 2 2 2" xfId="10260"/>
    <cellStyle name="Normal 13 2 3 2 3" xfId="8898"/>
    <cellStyle name="Normal 13 2 3 3" xfId="6881"/>
    <cellStyle name="Normal 13 2 3 3 2" xfId="9636"/>
    <cellStyle name="Normal 13 2 3 4" xfId="8274"/>
    <cellStyle name="Normal 13 2 4" xfId="4335"/>
    <cellStyle name="Normal 13 2 4 2" xfId="7503"/>
    <cellStyle name="Normal 13 2 4 2 2" xfId="10258"/>
    <cellStyle name="Normal 13 2 4 3" xfId="8896"/>
    <cellStyle name="Normal 13 2 5" xfId="6879"/>
    <cellStyle name="Normal 13 2 5 2" xfId="9634"/>
    <cellStyle name="Normal 13 2 6" xfId="8272"/>
    <cellStyle name="Normal 13 3" xfId="3706"/>
    <cellStyle name="Normal 13 3 2" xfId="4338"/>
    <cellStyle name="Normal 13 3 2 2" xfId="7506"/>
    <cellStyle name="Normal 13 3 2 2 2" xfId="10261"/>
    <cellStyle name="Normal 13 3 2 3" xfId="8899"/>
    <cellStyle name="Normal 13 3 3" xfId="6882"/>
    <cellStyle name="Normal 13 3 3 2" xfId="9637"/>
    <cellStyle name="Normal 13 3 4" xfId="8275"/>
    <cellStyle name="Normal 13 4" xfId="3707"/>
    <cellStyle name="Normal 13 4 2" xfId="4339"/>
    <cellStyle name="Normal 13 4 2 2" xfId="7507"/>
    <cellStyle name="Normal 13 4 2 2 2" xfId="10262"/>
    <cellStyle name="Normal 13 4 2 3" xfId="8900"/>
    <cellStyle name="Normal 13 4 3" xfId="6883"/>
    <cellStyle name="Normal 13 4 3 2" xfId="9638"/>
    <cellStyle name="Normal 13 4 4" xfId="8276"/>
    <cellStyle name="Normal 13 5" xfId="3708"/>
    <cellStyle name="Normal 13 5 2" xfId="4340"/>
    <cellStyle name="Normal 13 5 2 2" xfId="7508"/>
    <cellStyle name="Normal 13 5 2 2 2" xfId="10263"/>
    <cellStyle name="Normal 13 5 2 3" xfId="8901"/>
    <cellStyle name="Normal 13 5 3" xfId="6884"/>
    <cellStyle name="Normal 13 5 3 2" xfId="9639"/>
    <cellStyle name="Normal 13 5 4" xfId="8277"/>
    <cellStyle name="Normal 13 6" xfId="4334"/>
    <cellStyle name="Normal 13 6 2" xfId="7502"/>
    <cellStyle name="Normal 13 6 2 2" xfId="10257"/>
    <cellStyle name="Normal 13 6 3" xfId="8895"/>
    <cellStyle name="Normal 13 7" xfId="3702"/>
    <cellStyle name="Normal 13 7 2" xfId="6878"/>
    <cellStyle name="Normal 13 7 2 2" xfId="9633"/>
    <cellStyle name="Normal 13 7 3" xfId="8271"/>
    <cellStyle name="Normal 13 8" xfId="4925"/>
    <cellStyle name="Normal 13 9" xfId="6621"/>
    <cellStyle name="Normal 13 9 2" xfId="9385"/>
    <cellStyle name="Normal 14" xfId="3362"/>
    <cellStyle name="Normal 14 2" xfId="3709"/>
    <cellStyle name="Normal 14 3" xfId="6646"/>
    <cellStyle name="Normal 14 3 2" xfId="9410"/>
    <cellStyle name="Normal 14 4" xfId="10651"/>
    <cellStyle name="Normal 14 4 2" xfId="10687"/>
    <cellStyle name="Normal 14 5" xfId="8039"/>
    <cellStyle name="Normal 15" xfId="3710"/>
    <cellStyle name="Normal 15 2" xfId="3711"/>
    <cellStyle name="Normal 15 2 2" xfId="3712"/>
    <cellStyle name="Normal 15 2 2 2" xfId="3713"/>
    <cellStyle name="Normal 15 2 2 2 2" xfId="4343"/>
    <cellStyle name="Normal 15 2 2 2 2 2" xfId="7511"/>
    <cellStyle name="Normal 15 2 2 2 2 2 2" xfId="10266"/>
    <cellStyle name="Normal 15 2 2 2 2 3" xfId="8904"/>
    <cellStyle name="Normal 15 2 2 2 3" xfId="6887"/>
    <cellStyle name="Normal 15 2 2 2 3 2" xfId="9642"/>
    <cellStyle name="Normal 15 2 2 2 4" xfId="8280"/>
    <cellStyle name="Normal 15 2 2 3" xfId="3714"/>
    <cellStyle name="Normal 15 2 2 3 2" xfId="4344"/>
    <cellStyle name="Normal 15 2 2 3 2 2" xfId="7512"/>
    <cellStyle name="Normal 15 2 2 3 2 2 2" xfId="10267"/>
    <cellStyle name="Normal 15 2 2 3 2 3" xfId="8905"/>
    <cellStyle name="Normal 15 2 2 3 3" xfId="6888"/>
    <cellStyle name="Normal 15 2 2 3 3 2" xfId="9643"/>
    <cellStyle name="Normal 15 2 2 3 4" xfId="8281"/>
    <cellStyle name="Normal 15 2 2 4" xfId="3715"/>
    <cellStyle name="Normal 15 2 2 4 2" xfId="4345"/>
    <cellStyle name="Normal 15 2 2 4 2 2" xfId="7513"/>
    <cellStyle name="Normal 15 2 2 4 2 2 2" xfId="10268"/>
    <cellStyle name="Normal 15 2 2 4 2 3" xfId="8906"/>
    <cellStyle name="Normal 15 2 2 4 3" xfId="6889"/>
    <cellStyle name="Normal 15 2 2 4 3 2" xfId="9644"/>
    <cellStyle name="Normal 15 2 2 4 4" xfId="8282"/>
    <cellStyle name="Normal 15 2 2 5" xfId="4342"/>
    <cellStyle name="Normal 15 2 2 5 2" xfId="7510"/>
    <cellStyle name="Normal 15 2 2 5 2 2" xfId="10265"/>
    <cellStyle name="Normal 15 2 2 5 3" xfId="8903"/>
    <cellStyle name="Normal 15 2 2 6" xfId="6886"/>
    <cellStyle name="Normal 15 2 2 6 2" xfId="9641"/>
    <cellStyle name="Normal 15 2 2 7" xfId="8279"/>
    <cellStyle name="Normal 15 2 3" xfId="3716"/>
    <cellStyle name="Normal 15 2 3 2" xfId="3717"/>
    <cellStyle name="Normal 15 2 3 2 2" xfId="4347"/>
    <cellStyle name="Normal 15 2 3 2 2 2" xfId="7515"/>
    <cellStyle name="Normal 15 2 3 2 2 2 2" xfId="10270"/>
    <cellStyle name="Normal 15 2 3 2 2 3" xfId="8908"/>
    <cellStyle name="Normal 15 2 3 2 3" xfId="6891"/>
    <cellStyle name="Normal 15 2 3 2 3 2" xfId="9646"/>
    <cellStyle name="Normal 15 2 3 2 4" xfId="8284"/>
    <cellStyle name="Normal 15 2 3 3" xfId="3718"/>
    <cellStyle name="Normal 15 2 3 3 2" xfId="4348"/>
    <cellStyle name="Normal 15 2 3 3 2 2" xfId="7516"/>
    <cellStyle name="Normal 15 2 3 3 2 2 2" xfId="10271"/>
    <cellStyle name="Normal 15 2 3 3 2 3" xfId="8909"/>
    <cellStyle name="Normal 15 2 3 3 3" xfId="6892"/>
    <cellStyle name="Normal 15 2 3 3 3 2" xfId="9647"/>
    <cellStyle name="Normal 15 2 3 3 4" xfId="8285"/>
    <cellStyle name="Normal 15 2 3 4" xfId="3719"/>
    <cellStyle name="Normal 15 2 3 4 2" xfId="4349"/>
    <cellStyle name="Normal 15 2 3 4 2 2" xfId="7517"/>
    <cellStyle name="Normal 15 2 3 4 2 2 2" xfId="10272"/>
    <cellStyle name="Normal 15 2 3 4 2 3" xfId="8910"/>
    <cellStyle name="Normal 15 2 3 4 3" xfId="6893"/>
    <cellStyle name="Normal 15 2 3 4 3 2" xfId="9648"/>
    <cellStyle name="Normal 15 2 3 4 4" xfId="8286"/>
    <cellStyle name="Normal 15 2 3 5" xfId="4346"/>
    <cellStyle name="Normal 15 2 3 5 2" xfId="7514"/>
    <cellStyle name="Normal 15 2 3 5 2 2" xfId="10269"/>
    <cellStyle name="Normal 15 2 3 5 3" xfId="8907"/>
    <cellStyle name="Normal 15 2 3 6" xfId="6890"/>
    <cellStyle name="Normal 15 2 3 6 2" xfId="9645"/>
    <cellStyle name="Normal 15 2 3 7" xfId="8283"/>
    <cellStyle name="Normal 15 3" xfId="3720"/>
    <cellStyle name="Normal 15 4" xfId="3721"/>
    <cellStyle name="Normal 15 4 2" xfId="4350"/>
    <cellStyle name="Normal 15 4 2 2" xfId="7518"/>
    <cellStyle name="Normal 15 4 2 2 2" xfId="10273"/>
    <cellStyle name="Normal 15 4 2 3" xfId="8911"/>
    <cellStyle name="Normal 15 4 3" xfId="6894"/>
    <cellStyle name="Normal 15 4 3 2" xfId="9649"/>
    <cellStyle name="Normal 15 4 4" xfId="8287"/>
    <cellStyle name="Normal 15 5" xfId="3722"/>
    <cellStyle name="Normal 15 5 2" xfId="4351"/>
    <cellStyle name="Normal 15 5 2 2" xfId="7519"/>
    <cellStyle name="Normal 15 5 2 2 2" xfId="10274"/>
    <cellStyle name="Normal 15 5 2 3" xfId="8912"/>
    <cellStyle name="Normal 15 5 3" xfId="6895"/>
    <cellStyle name="Normal 15 5 3 2" xfId="9650"/>
    <cellStyle name="Normal 15 5 4" xfId="8288"/>
    <cellStyle name="Normal 15 6" xfId="4341"/>
    <cellStyle name="Normal 15 6 2" xfId="7509"/>
    <cellStyle name="Normal 15 6 2 2" xfId="10264"/>
    <cellStyle name="Normal 15 6 3" xfId="8902"/>
    <cellStyle name="Normal 15 7" xfId="6885"/>
    <cellStyle name="Normal 15 7 2" xfId="9640"/>
    <cellStyle name="Normal 15 8" xfId="8278"/>
    <cellStyle name="Normal 15 9" xfId="10689"/>
    <cellStyle name="Normal 15_Trends fuels" xfId="3723"/>
    <cellStyle name="Normal 16" xfId="3724"/>
    <cellStyle name="Normal 16 2" xfId="3725"/>
    <cellStyle name="Normal 16 2 2" xfId="4353"/>
    <cellStyle name="Normal 16 2 2 2" xfId="7521"/>
    <cellStyle name="Normal 16 2 2 2 2" xfId="10276"/>
    <cellStyle name="Normal 16 2 2 3" xfId="8914"/>
    <cellStyle name="Normal 16 2 3" xfId="6897"/>
    <cellStyle name="Normal 16 2 3 2" xfId="9652"/>
    <cellStyle name="Normal 16 2 4" xfId="8290"/>
    <cellStyle name="Normal 16 3" xfId="3726"/>
    <cellStyle name="Normal 16 3 2" xfId="4354"/>
    <cellStyle name="Normal 16 3 2 2" xfId="7522"/>
    <cellStyle name="Normal 16 3 2 2 2" xfId="10277"/>
    <cellStyle name="Normal 16 3 2 3" xfId="8915"/>
    <cellStyle name="Normal 16 3 3" xfId="6898"/>
    <cellStyle name="Normal 16 3 3 2" xfId="9653"/>
    <cellStyle name="Normal 16 3 4" xfId="10656"/>
    <cellStyle name="Normal 16 3 5" xfId="8291"/>
    <cellStyle name="Normal 16 4" xfId="3727"/>
    <cellStyle name="Normal 16 4 2" xfId="4355"/>
    <cellStyle name="Normal 16 4 2 2" xfId="7523"/>
    <cellStyle name="Normal 16 4 2 2 2" xfId="10278"/>
    <cellStyle name="Normal 16 4 2 3" xfId="8916"/>
    <cellStyle name="Normal 16 4 3" xfId="6899"/>
    <cellStyle name="Normal 16 4 3 2" xfId="9654"/>
    <cellStyle name="Normal 16 4 4" xfId="8292"/>
    <cellStyle name="Normal 16 5" xfId="4352"/>
    <cellStyle name="Normal 16 5 2" xfId="7520"/>
    <cellStyle name="Normal 16 5 2 2" xfId="10275"/>
    <cellStyle name="Normal 16 5 3" xfId="8913"/>
    <cellStyle name="Normal 16 6" xfId="6896"/>
    <cellStyle name="Normal 16 6 2" xfId="9651"/>
    <cellStyle name="Normal 16 7" xfId="8289"/>
    <cellStyle name="Normal 17" xfId="3728"/>
    <cellStyle name="Normal 17 2" xfId="3729"/>
    <cellStyle name="Normal 17 2 2" xfId="4357"/>
    <cellStyle name="Normal 17 2 2 2" xfId="7525"/>
    <cellStyle name="Normal 17 2 2 2 2" xfId="10280"/>
    <cellStyle name="Normal 17 2 2 3" xfId="8918"/>
    <cellStyle name="Normal 17 2 3" xfId="6901"/>
    <cellStyle name="Normal 17 2 3 2" xfId="9656"/>
    <cellStyle name="Normal 17 2 4" xfId="8294"/>
    <cellStyle name="Normal 17 3" xfId="3730"/>
    <cellStyle name="Normal 17 3 2" xfId="4358"/>
    <cellStyle name="Normal 17 3 2 2" xfId="7526"/>
    <cellStyle name="Normal 17 3 2 2 2" xfId="10281"/>
    <cellStyle name="Normal 17 3 2 3" xfId="8919"/>
    <cellStyle name="Normal 17 3 3" xfId="6902"/>
    <cellStyle name="Normal 17 3 3 2" xfId="9657"/>
    <cellStyle name="Normal 17 3 4" xfId="8295"/>
    <cellStyle name="Normal 17 4" xfId="3731"/>
    <cellStyle name="Normal 17 4 2" xfId="4359"/>
    <cellStyle name="Normal 17 4 2 2" xfId="7527"/>
    <cellStyle name="Normal 17 4 2 2 2" xfId="10282"/>
    <cellStyle name="Normal 17 4 2 3" xfId="8920"/>
    <cellStyle name="Normal 17 4 3" xfId="6903"/>
    <cellStyle name="Normal 17 4 3 2" xfId="9658"/>
    <cellStyle name="Normal 17 4 4" xfId="8296"/>
    <cellStyle name="Normal 17 5" xfId="4356"/>
    <cellStyle name="Normal 17 5 2" xfId="7524"/>
    <cellStyle name="Normal 17 5 2 2" xfId="10279"/>
    <cellStyle name="Normal 17 5 3" xfId="8917"/>
    <cellStyle name="Normal 17 6" xfId="6900"/>
    <cellStyle name="Normal 17 6 2" xfId="9655"/>
    <cellStyle name="Normal 17 7" xfId="8293"/>
    <cellStyle name="Normal 18" xfId="3732"/>
    <cellStyle name="Normal 18 2" xfId="3733"/>
    <cellStyle name="Normal 18 2 2" xfId="4361"/>
    <cellStyle name="Normal 18 2 2 2" xfId="7529"/>
    <cellStyle name="Normal 18 2 2 2 2" xfId="10284"/>
    <cellStyle name="Normal 18 2 2 3" xfId="8922"/>
    <cellStyle name="Normal 18 2 3" xfId="6905"/>
    <cellStyle name="Normal 18 2 3 2" xfId="9660"/>
    <cellStyle name="Normal 18 2 4" xfId="8298"/>
    <cellStyle name="Normal 18 3" xfId="3734"/>
    <cellStyle name="Normal 18 3 2" xfId="4362"/>
    <cellStyle name="Normal 18 3 2 2" xfId="7530"/>
    <cellStyle name="Normal 18 3 2 2 2" xfId="10285"/>
    <cellStyle name="Normal 18 3 2 3" xfId="8923"/>
    <cellStyle name="Normal 18 3 3" xfId="6906"/>
    <cellStyle name="Normal 18 3 3 2" xfId="9661"/>
    <cellStyle name="Normal 18 3 4" xfId="8299"/>
    <cellStyle name="Normal 18 4" xfId="3735"/>
    <cellStyle name="Normal 18 4 2" xfId="4363"/>
    <cellStyle name="Normal 18 4 2 2" xfId="7531"/>
    <cellStyle name="Normal 18 4 2 2 2" xfId="10286"/>
    <cellStyle name="Normal 18 4 2 3" xfId="8924"/>
    <cellStyle name="Normal 18 4 3" xfId="6907"/>
    <cellStyle name="Normal 18 4 3 2" xfId="9662"/>
    <cellStyle name="Normal 18 4 4" xfId="8300"/>
    <cellStyle name="Normal 18 5" xfId="4360"/>
    <cellStyle name="Normal 18 5 2" xfId="7528"/>
    <cellStyle name="Normal 18 5 2 2" xfId="10283"/>
    <cellStyle name="Normal 18 5 3" xfId="8921"/>
    <cellStyle name="Normal 18 6" xfId="6904"/>
    <cellStyle name="Normal 18 6 2" xfId="9659"/>
    <cellStyle name="Normal 18 7" xfId="8297"/>
    <cellStyle name="Normal 19" xfId="3736"/>
    <cellStyle name="Normal 19 2" xfId="3737"/>
    <cellStyle name="Normal 19 2 2" xfId="4364"/>
    <cellStyle name="Normal 19 2 2 2" xfId="7532"/>
    <cellStyle name="Normal 19 2 2 2 2" xfId="10287"/>
    <cellStyle name="Normal 19 2 2 3" xfId="8925"/>
    <cellStyle name="Normal 19 2 3" xfId="6908"/>
    <cellStyle name="Normal 19 2 3 2" xfId="9663"/>
    <cellStyle name="Normal 19 2 4" xfId="8301"/>
    <cellStyle name="Normal 2" xfId="976"/>
    <cellStyle name="Normal 2 10" xfId="3738"/>
    <cellStyle name="Normal 2 11" xfId="3739"/>
    <cellStyle name="Normal 2 11 2" xfId="3740"/>
    <cellStyle name="Normal 2 11 2 2" xfId="4366"/>
    <cellStyle name="Normal 2 11 2 2 2" xfId="7534"/>
    <cellStyle name="Normal 2 11 2 2 2 2" xfId="10289"/>
    <cellStyle name="Normal 2 11 2 2 3" xfId="8927"/>
    <cellStyle name="Normal 2 11 2 3" xfId="6910"/>
    <cellStyle name="Normal 2 11 2 3 2" xfId="9665"/>
    <cellStyle name="Normal 2 11 2 4" xfId="8303"/>
    <cellStyle name="Normal 2 11 3" xfId="4365"/>
    <cellStyle name="Normal 2 11 3 2" xfId="7533"/>
    <cellStyle name="Normal 2 11 3 2 2" xfId="10288"/>
    <cellStyle name="Normal 2 11 3 3" xfId="8926"/>
    <cellStyle name="Normal 2 11 4" xfId="6909"/>
    <cellStyle name="Normal 2 11 4 2" xfId="9664"/>
    <cellStyle name="Normal 2 11 5" xfId="8302"/>
    <cellStyle name="Normal 2 12" xfId="3741"/>
    <cellStyle name="Normal 2 12 2" xfId="4367"/>
    <cellStyle name="Normal 2 12 2 2" xfId="7535"/>
    <cellStyle name="Normal 2 12 2 2 2" xfId="10290"/>
    <cellStyle name="Normal 2 12 2 3" xfId="8928"/>
    <cellStyle name="Normal 2 12 3" xfId="6911"/>
    <cellStyle name="Normal 2 12 3 2" xfId="9666"/>
    <cellStyle name="Normal 2 12 4" xfId="8304"/>
    <cellStyle name="Normal 2 13" xfId="3742"/>
    <cellStyle name="Normal 2 13 2" xfId="4368"/>
    <cellStyle name="Normal 2 13 2 2" xfId="7536"/>
    <cellStyle name="Normal 2 13 2 2 2" xfId="10291"/>
    <cellStyle name="Normal 2 13 2 3" xfId="8929"/>
    <cellStyle name="Normal 2 13 3" xfId="6912"/>
    <cellStyle name="Normal 2 13 3 2" xfId="9667"/>
    <cellStyle name="Normal 2 13 4" xfId="8305"/>
    <cellStyle name="Normal 2 14" xfId="3512"/>
    <cellStyle name="Normal 2 14 2" xfId="4153"/>
    <cellStyle name="Normal 2 14 2 2" xfId="7321"/>
    <cellStyle name="Normal 2 14 2 2 2" xfId="10076"/>
    <cellStyle name="Normal 2 14 2 3" xfId="8714"/>
    <cellStyle name="Normal 2 14 3" xfId="6710"/>
    <cellStyle name="Normal 2 14 3 2" xfId="9465"/>
    <cellStyle name="Normal 2 14 4" xfId="8098"/>
    <cellStyle name="Normal 2 15" xfId="3372"/>
    <cellStyle name="Normal 2 2" xfId="977"/>
    <cellStyle name="Normal 2 2 2" xfId="978"/>
    <cellStyle name="Normal 2 2 2 2" xfId="979"/>
    <cellStyle name="Normal 2 2 2 2 2" xfId="3743"/>
    <cellStyle name="Normal 2 2 2 2 2 2" xfId="4369"/>
    <cellStyle name="Normal 2 2 2 2 2 2 2" xfId="7537"/>
    <cellStyle name="Normal 2 2 2 2 2 2 2 2" xfId="10292"/>
    <cellStyle name="Normal 2 2 2 2 2 2 3" xfId="8930"/>
    <cellStyle name="Normal 2 2 2 2 2 3" xfId="6913"/>
    <cellStyle name="Normal 2 2 2 2 2 3 2" xfId="9668"/>
    <cellStyle name="Normal 2 2 2 2 2 4" xfId="8306"/>
    <cellStyle name="Normal 2 2 2 2 3" xfId="4132"/>
    <cellStyle name="Normal 2 2 2 2 3 2" xfId="7300"/>
    <cellStyle name="Normal 2 2 2 2 3 2 2" xfId="10055"/>
    <cellStyle name="Normal 2 2 2 2 3 3" xfId="8693"/>
    <cellStyle name="Normal 2 2 2 2 4" xfId="3481"/>
    <cellStyle name="Normal 2 2 2 2 4 2" xfId="6689"/>
    <cellStyle name="Normal 2 2 2 2 4 2 2" xfId="9444"/>
    <cellStyle name="Normal 2 2 2 2 4 3" xfId="8077"/>
    <cellStyle name="Normal 2 2 2 3" xfId="2613"/>
    <cellStyle name="Normal 2 2 2 3 2" xfId="3744"/>
    <cellStyle name="Normal 2 2 2 3 2 2" xfId="4370"/>
    <cellStyle name="Normal 2 2 2 3 2 2 2" xfId="7538"/>
    <cellStyle name="Normal 2 2 2 3 2 2 2 2" xfId="10293"/>
    <cellStyle name="Normal 2 2 2 3 2 2 3" xfId="8931"/>
    <cellStyle name="Normal 2 2 2 3 2 3" xfId="6914"/>
    <cellStyle name="Normal 2 2 2 3 2 3 2" xfId="9669"/>
    <cellStyle name="Normal 2 2 2 3 2 4" xfId="8307"/>
    <cellStyle name="Normal 2 2 2 3 3" xfId="4148"/>
    <cellStyle name="Normal 2 2 2 3 3 2" xfId="7316"/>
    <cellStyle name="Normal 2 2 2 3 3 2 2" xfId="10071"/>
    <cellStyle name="Normal 2 2 2 3 3 3" xfId="8709"/>
    <cellStyle name="Normal 2 2 2 3 4" xfId="3497"/>
    <cellStyle name="Normal 2 2 2 3 4 2" xfId="6705"/>
    <cellStyle name="Normal 2 2 2 3 4 2 2" xfId="9460"/>
    <cellStyle name="Normal 2 2 2 3 4 3" xfId="8093"/>
    <cellStyle name="Normal 2 2 2 4" xfId="3326"/>
    <cellStyle name="Normal 2 2 2 4 2" xfId="4371"/>
    <cellStyle name="Normal 2 2 2 4 2 2" xfId="7539"/>
    <cellStyle name="Normal 2 2 2 4 2 2 2" xfId="10294"/>
    <cellStyle name="Normal 2 2 2 4 2 3" xfId="8932"/>
    <cellStyle name="Normal 2 2 2 4 3" xfId="3745"/>
    <cellStyle name="Normal 2 2 2 4 3 2" xfId="6915"/>
    <cellStyle name="Normal 2 2 2 4 3 2 2" xfId="9670"/>
    <cellStyle name="Normal 2 2 2 4 3 3" xfId="8308"/>
    <cellStyle name="Normal 2 2 2 4 4" xfId="6630"/>
    <cellStyle name="Normal 2 2 2 4 4 2" xfId="9394"/>
    <cellStyle name="Normal 2 2 2 4 5" xfId="8023"/>
    <cellStyle name="Normal 2 2 2 5" xfId="3517"/>
    <cellStyle name="Normal 2 2 2 5 2" xfId="4158"/>
    <cellStyle name="Normal 2 2 2 5 2 2" xfId="7326"/>
    <cellStyle name="Normal 2 2 2 5 2 2 2" xfId="10081"/>
    <cellStyle name="Normal 2 2 2 5 2 3" xfId="8719"/>
    <cellStyle name="Normal 2 2 2 5 3" xfId="6715"/>
    <cellStyle name="Normal 2 2 2 5 3 2" xfId="9470"/>
    <cellStyle name="Normal 2 2 2 5 4" xfId="8103"/>
    <cellStyle name="Normal 2 2 2 6" xfId="4116"/>
    <cellStyle name="Normal 2 2 2 6 2" xfId="7284"/>
    <cellStyle name="Normal 2 2 2 6 2 2" xfId="10039"/>
    <cellStyle name="Normal 2 2 2 6 3" xfId="8677"/>
    <cellStyle name="Normal 2 2 2 7" xfId="3465"/>
    <cellStyle name="Normal 2 2 2 7 2" xfId="6673"/>
    <cellStyle name="Normal 2 2 2 7 2 2" xfId="9428"/>
    <cellStyle name="Normal 2 2 2 7 3" xfId="8061"/>
    <cellStyle name="Normal 2 2 3" xfId="3319"/>
    <cellStyle name="Normal 2 2 3 2" xfId="3746"/>
    <cellStyle name="Normal 2 2 3 2 2" xfId="4372"/>
    <cellStyle name="Normal 2 2 3 2 2 2" xfId="7540"/>
    <cellStyle name="Normal 2 2 3 2 2 2 2" xfId="10295"/>
    <cellStyle name="Normal 2 2 3 2 2 3" xfId="8933"/>
    <cellStyle name="Normal 2 2 3 2 3" xfId="6916"/>
    <cellStyle name="Normal 2 2 3 2 3 2" xfId="9671"/>
    <cellStyle name="Normal 2 2 3 2 4" xfId="8309"/>
    <cellStyle name="Normal 2 2 3 3" xfId="4124"/>
    <cellStyle name="Normal 2 2 3 3 2" xfId="7292"/>
    <cellStyle name="Normal 2 2 3 3 2 2" xfId="10047"/>
    <cellStyle name="Normal 2 2 3 3 3" xfId="8685"/>
    <cellStyle name="Normal 2 2 3 4" xfId="3473"/>
    <cellStyle name="Normal 2 2 3 4 2" xfId="6681"/>
    <cellStyle name="Normal 2 2 3 4 2 2" xfId="9436"/>
    <cellStyle name="Normal 2 2 3 4 3" xfId="8069"/>
    <cellStyle name="Normal 2 2 3 5" xfId="6626"/>
    <cellStyle name="Normal 2 2 3 5 2" xfId="9390"/>
    <cellStyle name="Normal 2 2 3 6" xfId="8019"/>
    <cellStyle name="Normal 2 2 4" xfId="3489"/>
    <cellStyle name="Normal 2 2 4 2" xfId="3747"/>
    <cellStyle name="Normal 2 2 4 2 2" xfId="4373"/>
    <cellStyle name="Normal 2 2 4 2 2 2" xfId="7541"/>
    <cellStyle name="Normal 2 2 4 2 2 2 2" xfId="10296"/>
    <cellStyle name="Normal 2 2 4 2 2 3" xfId="8934"/>
    <cellStyle name="Normal 2 2 4 2 3" xfId="6917"/>
    <cellStyle name="Normal 2 2 4 2 3 2" xfId="9672"/>
    <cellStyle name="Normal 2 2 4 2 4" xfId="8310"/>
    <cellStyle name="Normal 2 2 4 3" xfId="4140"/>
    <cellStyle name="Normal 2 2 4 3 2" xfId="7308"/>
    <cellStyle name="Normal 2 2 4 3 2 2" xfId="10063"/>
    <cellStyle name="Normal 2 2 4 3 3" xfId="8701"/>
    <cellStyle name="Normal 2 2 4 4" xfId="6697"/>
    <cellStyle name="Normal 2 2 4 4 2" xfId="9452"/>
    <cellStyle name="Normal 2 2 4 5" xfId="8085"/>
    <cellStyle name="Normal 2 2 5" xfId="3748"/>
    <cellStyle name="Normal 2 2 5 2" xfId="4374"/>
    <cellStyle name="Normal 2 2 5 2 2" xfId="7542"/>
    <cellStyle name="Normal 2 2 5 2 2 2" xfId="10297"/>
    <cellStyle name="Normal 2 2 5 2 3" xfId="8935"/>
    <cellStyle name="Normal 2 2 5 3" xfId="6918"/>
    <cellStyle name="Normal 2 2 5 3 2" xfId="9673"/>
    <cellStyle name="Normal 2 2 5 4" xfId="8311"/>
    <cellStyle name="Normal 2 2 6" xfId="3749"/>
    <cellStyle name="Normal 2 2 6 2" xfId="4375"/>
    <cellStyle name="Normal 2 2 6 2 2" xfId="7543"/>
    <cellStyle name="Normal 2 2 6 2 2 2" xfId="10298"/>
    <cellStyle name="Normal 2 2 6 2 3" xfId="8936"/>
    <cellStyle name="Normal 2 2 6 3" xfId="6919"/>
    <cellStyle name="Normal 2 2 6 3 2" xfId="9674"/>
    <cellStyle name="Normal 2 2 6 4" xfId="8312"/>
    <cellStyle name="Normal 2 2 7" xfId="3506"/>
    <cellStyle name="Normal 2 2 8" xfId="4108"/>
    <cellStyle name="Normal 2 2 8 2" xfId="7276"/>
    <cellStyle name="Normal 2 2 8 2 2" xfId="10031"/>
    <cellStyle name="Normal 2 2 8 3" xfId="8669"/>
    <cellStyle name="Normal 2 2 9" xfId="3447"/>
    <cellStyle name="Normal 2 2 9 2" xfId="6664"/>
    <cellStyle name="Normal 2 2 9 2 2" xfId="9420"/>
    <cellStyle name="Normal 2 2 9 3" xfId="8051"/>
    <cellStyle name="Normal 2 3" xfId="980"/>
    <cellStyle name="Normal 2 3 2" xfId="3751"/>
    <cellStyle name="Normal 2 3 2 2" xfId="3752"/>
    <cellStyle name="Normal 2 3 2 2 2" xfId="4378"/>
    <cellStyle name="Normal 2 3 2 2 2 2" xfId="7546"/>
    <cellStyle name="Normal 2 3 2 2 2 2 2" xfId="10301"/>
    <cellStyle name="Normal 2 3 2 2 2 3" xfId="8939"/>
    <cellStyle name="Normal 2 3 2 2 3" xfId="6922"/>
    <cellStyle name="Normal 2 3 2 2 3 2" xfId="9677"/>
    <cellStyle name="Normal 2 3 2 2 4" xfId="8315"/>
    <cellStyle name="Normal 2 3 2 3" xfId="3753"/>
    <cellStyle name="Normal 2 3 2 3 2" xfId="4379"/>
    <cellStyle name="Normal 2 3 2 3 2 2" xfId="7547"/>
    <cellStyle name="Normal 2 3 2 3 2 2 2" xfId="10302"/>
    <cellStyle name="Normal 2 3 2 3 2 3" xfId="8940"/>
    <cellStyle name="Normal 2 3 2 3 3" xfId="6923"/>
    <cellStyle name="Normal 2 3 2 3 3 2" xfId="9678"/>
    <cellStyle name="Normal 2 3 2 3 4" xfId="8316"/>
    <cellStyle name="Normal 2 3 2 4" xfId="4377"/>
    <cellStyle name="Normal 2 3 2 4 2" xfId="7545"/>
    <cellStyle name="Normal 2 3 2 4 2 2" xfId="10300"/>
    <cellStyle name="Normal 2 3 2 4 3" xfId="8938"/>
    <cellStyle name="Normal 2 3 2 5" xfId="6921"/>
    <cellStyle name="Normal 2 3 2 5 2" xfId="9676"/>
    <cellStyle name="Normal 2 3 2 6" xfId="8314"/>
    <cellStyle name="Normal 2 3 3" xfId="3754"/>
    <cellStyle name="Normal 2 3 3 2" xfId="4380"/>
    <cellStyle name="Normal 2 3 3 2 2" xfId="7548"/>
    <cellStyle name="Normal 2 3 3 2 2 2" xfId="10303"/>
    <cellStyle name="Normal 2 3 3 2 3" xfId="8941"/>
    <cellStyle name="Normal 2 3 3 3" xfId="6924"/>
    <cellStyle name="Normal 2 3 3 3 2" xfId="9679"/>
    <cellStyle name="Normal 2 3 3 4" xfId="8317"/>
    <cellStyle name="Normal 2 3 4" xfId="3755"/>
    <cellStyle name="Normal 2 3 4 2" xfId="4381"/>
    <cellStyle name="Normal 2 3 4 2 2" xfId="7549"/>
    <cellStyle name="Normal 2 3 4 2 2 2" xfId="10304"/>
    <cellStyle name="Normal 2 3 4 2 3" xfId="8942"/>
    <cellStyle name="Normal 2 3 4 3" xfId="6925"/>
    <cellStyle name="Normal 2 3 4 3 2" xfId="9680"/>
    <cellStyle name="Normal 2 3 4 4" xfId="8318"/>
    <cellStyle name="Normal 2 3 5" xfId="3756"/>
    <cellStyle name="Normal 2 3 5 2" xfId="4382"/>
    <cellStyle name="Normal 2 3 5 2 2" xfId="7550"/>
    <cellStyle name="Normal 2 3 5 2 2 2" xfId="10305"/>
    <cellStyle name="Normal 2 3 5 2 3" xfId="8943"/>
    <cellStyle name="Normal 2 3 5 3" xfId="6926"/>
    <cellStyle name="Normal 2 3 5 3 2" xfId="9681"/>
    <cellStyle name="Normal 2 3 5 4" xfId="8319"/>
    <cellStyle name="Normal 2 3 6" xfId="3757"/>
    <cellStyle name="Normal 2 3 6 2" xfId="4383"/>
    <cellStyle name="Normal 2 3 6 2 2" xfId="7551"/>
    <cellStyle name="Normal 2 3 6 2 2 2" xfId="10306"/>
    <cellStyle name="Normal 2 3 6 2 3" xfId="8944"/>
    <cellStyle name="Normal 2 3 6 3" xfId="6927"/>
    <cellStyle name="Normal 2 3 6 3 2" xfId="9682"/>
    <cellStyle name="Normal 2 3 6 4" xfId="8320"/>
    <cellStyle name="Normal 2 3 7" xfId="3750"/>
    <cellStyle name="Normal 2 3 7 2" xfId="4376"/>
    <cellStyle name="Normal 2 3 7 2 2" xfId="7544"/>
    <cellStyle name="Normal 2 3 7 2 2 2" xfId="10299"/>
    <cellStyle name="Normal 2 3 7 2 3" xfId="8937"/>
    <cellStyle name="Normal 2 3 7 3" xfId="6920"/>
    <cellStyle name="Normal 2 3 7 3 2" xfId="9675"/>
    <cellStyle name="Normal 2 3 7 4" xfId="8313"/>
    <cellStyle name="Normal 2 3 8" xfId="3378"/>
    <cellStyle name="Normal 2 3 9" xfId="10691"/>
    <cellStyle name="Normal 2 4" xfId="981"/>
    <cellStyle name="Normal 2 4 2" xfId="2614"/>
    <cellStyle name="Normal 2 4 2 2" xfId="3760"/>
    <cellStyle name="Normal 2 4 2 2 2" xfId="4386"/>
    <cellStyle name="Normal 2 4 2 2 2 2" xfId="7554"/>
    <cellStyle name="Normal 2 4 2 2 2 2 2" xfId="10309"/>
    <cellStyle name="Normal 2 4 2 2 2 3" xfId="8947"/>
    <cellStyle name="Normal 2 4 2 2 3" xfId="6930"/>
    <cellStyle name="Normal 2 4 2 2 3 2" xfId="9685"/>
    <cellStyle name="Normal 2 4 2 2 4" xfId="8323"/>
    <cellStyle name="Normal 2 4 2 3" xfId="3761"/>
    <cellStyle name="Normal 2 4 2 3 2" xfId="4387"/>
    <cellStyle name="Normal 2 4 2 3 2 2" xfId="7555"/>
    <cellStyle name="Normal 2 4 2 3 2 2 2" xfId="10310"/>
    <cellStyle name="Normal 2 4 2 3 2 3" xfId="8948"/>
    <cellStyle name="Normal 2 4 2 3 3" xfId="6931"/>
    <cellStyle name="Normal 2 4 2 3 3 2" xfId="9686"/>
    <cellStyle name="Normal 2 4 2 3 4" xfId="8324"/>
    <cellStyle name="Normal 2 4 2 4" xfId="4385"/>
    <cellStyle name="Normal 2 4 2 4 2" xfId="7553"/>
    <cellStyle name="Normal 2 4 2 4 2 2" xfId="10308"/>
    <cellStyle name="Normal 2 4 2 4 3" xfId="8946"/>
    <cellStyle name="Normal 2 4 2 5" xfId="3759"/>
    <cellStyle name="Normal 2 4 2 5 2" xfId="6929"/>
    <cellStyle name="Normal 2 4 2 5 2 2" xfId="9684"/>
    <cellStyle name="Normal 2 4 2 5 3" xfId="8322"/>
    <cellStyle name="Normal 2 4 3" xfId="3762"/>
    <cellStyle name="Normal 2 4 3 2" xfId="4388"/>
    <cellStyle name="Normal 2 4 3 2 2" xfId="7556"/>
    <cellStyle name="Normal 2 4 3 2 2 2" xfId="10311"/>
    <cellStyle name="Normal 2 4 3 2 3" xfId="8949"/>
    <cellStyle name="Normal 2 4 3 3" xfId="6932"/>
    <cellStyle name="Normal 2 4 3 3 2" xfId="9687"/>
    <cellStyle name="Normal 2 4 3 4" xfId="8325"/>
    <cellStyle name="Normal 2 4 4" xfId="3763"/>
    <cellStyle name="Normal 2 4 4 2" xfId="4389"/>
    <cellStyle name="Normal 2 4 4 2 2" xfId="7557"/>
    <cellStyle name="Normal 2 4 4 2 2 2" xfId="10312"/>
    <cellStyle name="Normal 2 4 4 2 3" xfId="8950"/>
    <cellStyle name="Normal 2 4 4 3" xfId="6933"/>
    <cellStyle name="Normal 2 4 4 3 2" xfId="9688"/>
    <cellStyle name="Normal 2 4 4 4" xfId="8326"/>
    <cellStyle name="Normal 2 4 5" xfId="3764"/>
    <cellStyle name="Normal 2 4 5 2" xfId="4390"/>
    <cellStyle name="Normal 2 4 5 2 2" xfId="7558"/>
    <cellStyle name="Normal 2 4 5 2 2 2" xfId="10313"/>
    <cellStyle name="Normal 2 4 5 2 3" xfId="8951"/>
    <cellStyle name="Normal 2 4 5 3" xfId="6934"/>
    <cellStyle name="Normal 2 4 5 3 2" xfId="9689"/>
    <cellStyle name="Normal 2 4 5 4" xfId="8327"/>
    <cellStyle name="Normal 2 4 6" xfId="3765"/>
    <cellStyle name="Normal 2 4 6 2" xfId="4391"/>
    <cellStyle name="Normal 2 4 6 2 2" xfId="7559"/>
    <cellStyle name="Normal 2 4 6 2 2 2" xfId="10314"/>
    <cellStyle name="Normal 2 4 6 2 3" xfId="8952"/>
    <cellStyle name="Normal 2 4 6 3" xfId="6935"/>
    <cellStyle name="Normal 2 4 6 3 2" xfId="9690"/>
    <cellStyle name="Normal 2 4 6 4" xfId="8328"/>
    <cellStyle name="Normal 2 4 7" xfId="3758"/>
    <cellStyle name="Normal 2 4 7 2" xfId="4384"/>
    <cellStyle name="Normal 2 4 7 2 2" xfId="7552"/>
    <cellStyle name="Normal 2 4 7 2 2 2" xfId="10307"/>
    <cellStyle name="Normal 2 4 7 2 3" xfId="8945"/>
    <cellStyle name="Normal 2 4 7 3" xfId="6928"/>
    <cellStyle name="Normal 2 4 7 3 2" xfId="9683"/>
    <cellStyle name="Normal 2 4 7 4" xfId="8321"/>
    <cellStyle name="Normal 2 4 8" xfId="3379"/>
    <cellStyle name="Normal 2 5" xfId="2612"/>
    <cellStyle name="Normal 2 5 2" xfId="3767"/>
    <cellStyle name="Normal 2 5 2 2" xfId="3768"/>
    <cellStyle name="Normal 2 5 2 2 2" xfId="4394"/>
    <cellStyle name="Normal 2 5 2 2 2 2" xfId="7562"/>
    <cellStyle name="Normal 2 5 2 2 2 2 2" xfId="10317"/>
    <cellStyle name="Normal 2 5 2 2 2 3" xfId="8955"/>
    <cellStyle name="Normal 2 5 2 2 3" xfId="6938"/>
    <cellStyle name="Normal 2 5 2 2 3 2" xfId="9693"/>
    <cellStyle name="Normal 2 5 2 2 4" xfId="8331"/>
    <cellStyle name="Normal 2 5 2 3" xfId="3769"/>
    <cellStyle name="Normal 2 5 2 3 2" xfId="4395"/>
    <cellStyle name="Normal 2 5 2 3 2 2" xfId="7563"/>
    <cellStyle name="Normal 2 5 2 3 2 2 2" xfId="10318"/>
    <cellStyle name="Normal 2 5 2 3 2 3" xfId="8956"/>
    <cellStyle name="Normal 2 5 2 3 3" xfId="6939"/>
    <cellStyle name="Normal 2 5 2 3 3 2" xfId="9694"/>
    <cellStyle name="Normal 2 5 2 3 4" xfId="8332"/>
    <cellStyle name="Normal 2 5 2 4" xfId="4393"/>
    <cellStyle name="Normal 2 5 2 4 2" xfId="7561"/>
    <cellStyle name="Normal 2 5 2 4 2 2" xfId="10316"/>
    <cellStyle name="Normal 2 5 2 4 3" xfId="8954"/>
    <cellStyle name="Normal 2 5 2 5" xfId="6937"/>
    <cellStyle name="Normal 2 5 2 5 2" xfId="9692"/>
    <cellStyle name="Normal 2 5 2 6" xfId="8330"/>
    <cellStyle name="Normal 2 5 3" xfId="3770"/>
    <cellStyle name="Normal 2 5 3 2" xfId="4396"/>
    <cellStyle name="Normal 2 5 3 2 2" xfId="7564"/>
    <cellStyle name="Normal 2 5 3 2 2 2" xfId="10319"/>
    <cellStyle name="Normal 2 5 3 2 3" xfId="8957"/>
    <cellStyle name="Normal 2 5 3 3" xfId="6940"/>
    <cellStyle name="Normal 2 5 3 3 2" xfId="9695"/>
    <cellStyle name="Normal 2 5 3 4" xfId="8333"/>
    <cellStyle name="Normal 2 5 4" xfId="3771"/>
    <cellStyle name="Normal 2 5 4 2" xfId="4397"/>
    <cellStyle name="Normal 2 5 4 2 2" xfId="7565"/>
    <cellStyle name="Normal 2 5 4 2 2 2" xfId="10320"/>
    <cellStyle name="Normal 2 5 4 2 3" xfId="8958"/>
    <cellStyle name="Normal 2 5 4 3" xfId="6941"/>
    <cellStyle name="Normal 2 5 4 3 2" xfId="9696"/>
    <cellStyle name="Normal 2 5 4 4" xfId="8334"/>
    <cellStyle name="Normal 2 5 5" xfId="3772"/>
    <cellStyle name="Normal 2 5 5 2" xfId="4398"/>
    <cellStyle name="Normal 2 5 5 2 2" xfId="7566"/>
    <cellStyle name="Normal 2 5 5 2 2 2" xfId="10321"/>
    <cellStyle name="Normal 2 5 5 2 3" xfId="8959"/>
    <cellStyle name="Normal 2 5 5 3" xfId="6942"/>
    <cellStyle name="Normal 2 5 5 3 2" xfId="9697"/>
    <cellStyle name="Normal 2 5 5 4" xfId="8335"/>
    <cellStyle name="Normal 2 5 6" xfId="3766"/>
    <cellStyle name="Normal 2 5 6 2" xfId="4392"/>
    <cellStyle name="Normal 2 5 6 2 2" xfId="7560"/>
    <cellStyle name="Normal 2 5 6 2 2 2" xfId="10315"/>
    <cellStyle name="Normal 2 5 6 2 3" xfId="8953"/>
    <cellStyle name="Normal 2 5 6 3" xfId="6936"/>
    <cellStyle name="Normal 2 5 6 3 2" xfId="9691"/>
    <cellStyle name="Normal 2 5 6 4" xfId="8329"/>
    <cellStyle name="Normal 2 5 7" xfId="3380"/>
    <cellStyle name="Normal 2 6" xfId="3389"/>
    <cellStyle name="Normal 2 6 2" xfId="3774"/>
    <cellStyle name="Normal 2 6 2 2" xfId="3775"/>
    <cellStyle name="Normal 2 6 2 2 2" xfId="4401"/>
    <cellStyle name="Normal 2 6 2 2 2 2" xfId="7569"/>
    <cellStyle name="Normal 2 6 2 2 2 2 2" xfId="10324"/>
    <cellStyle name="Normal 2 6 2 2 2 3" xfId="8962"/>
    <cellStyle name="Normal 2 6 2 2 3" xfId="6945"/>
    <cellStyle name="Normal 2 6 2 2 3 2" xfId="9700"/>
    <cellStyle name="Normal 2 6 2 2 4" xfId="8338"/>
    <cellStyle name="Normal 2 6 2 3" xfId="3776"/>
    <cellStyle name="Normal 2 6 2 3 2" xfId="4402"/>
    <cellStyle name="Normal 2 6 2 3 2 2" xfId="7570"/>
    <cellStyle name="Normal 2 6 2 3 2 2 2" xfId="10325"/>
    <cellStyle name="Normal 2 6 2 3 2 3" xfId="8963"/>
    <cellStyle name="Normal 2 6 2 3 3" xfId="6946"/>
    <cellStyle name="Normal 2 6 2 3 3 2" xfId="9701"/>
    <cellStyle name="Normal 2 6 2 3 4" xfId="8339"/>
    <cellStyle name="Normal 2 6 2 4" xfId="4400"/>
    <cellStyle name="Normal 2 6 2 4 2" xfId="7568"/>
    <cellStyle name="Normal 2 6 2 4 2 2" xfId="10323"/>
    <cellStyle name="Normal 2 6 2 4 3" xfId="8961"/>
    <cellStyle name="Normal 2 6 2 5" xfId="6944"/>
    <cellStyle name="Normal 2 6 2 5 2" xfId="9699"/>
    <cellStyle name="Normal 2 6 2 6" xfId="8337"/>
    <cellStyle name="Normal 2 6 3" xfId="3777"/>
    <cellStyle name="Normal 2 6 3 2" xfId="4403"/>
    <cellStyle name="Normal 2 6 3 2 2" xfId="7571"/>
    <cellStyle name="Normal 2 6 3 2 2 2" xfId="10326"/>
    <cellStyle name="Normal 2 6 3 2 3" xfId="8964"/>
    <cellStyle name="Normal 2 6 3 3" xfId="6947"/>
    <cellStyle name="Normal 2 6 3 3 2" xfId="9702"/>
    <cellStyle name="Normal 2 6 3 4" xfId="8340"/>
    <cellStyle name="Normal 2 6 4" xfId="3778"/>
    <cellStyle name="Normal 2 6 4 2" xfId="4404"/>
    <cellStyle name="Normal 2 6 4 2 2" xfId="7572"/>
    <cellStyle name="Normal 2 6 4 2 2 2" xfId="10327"/>
    <cellStyle name="Normal 2 6 4 2 3" xfId="8965"/>
    <cellStyle name="Normal 2 6 4 3" xfId="6948"/>
    <cellStyle name="Normal 2 6 4 3 2" xfId="9703"/>
    <cellStyle name="Normal 2 6 4 4" xfId="8341"/>
    <cellStyle name="Normal 2 6 5" xfId="3779"/>
    <cellStyle name="Normal 2 6 5 2" xfId="4405"/>
    <cellStyle name="Normal 2 6 5 2 2" xfId="7573"/>
    <cellStyle name="Normal 2 6 5 2 2 2" xfId="10328"/>
    <cellStyle name="Normal 2 6 5 2 3" xfId="8966"/>
    <cellStyle name="Normal 2 6 5 3" xfId="6949"/>
    <cellStyle name="Normal 2 6 5 3 2" xfId="9704"/>
    <cellStyle name="Normal 2 6 5 4" xfId="8342"/>
    <cellStyle name="Normal 2 6 6" xfId="3773"/>
    <cellStyle name="Normal 2 6 6 2" xfId="4399"/>
    <cellStyle name="Normal 2 6 6 2 2" xfId="7567"/>
    <cellStyle name="Normal 2 6 6 2 2 2" xfId="10322"/>
    <cellStyle name="Normal 2 6 6 2 3" xfId="8960"/>
    <cellStyle name="Normal 2 6 6 3" xfId="6943"/>
    <cellStyle name="Normal 2 6 6 3 2" xfId="9698"/>
    <cellStyle name="Normal 2 6 6 4" xfId="8336"/>
    <cellStyle name="Normal 2 7" xfId="3780"/>
    <cellStyle name="Normal 2 7 2" xfId="3781"/>
    <cellStyle name="Normal 2 7 2 2" xfId="3782"/>
    <cellStyle name="Normal 2 7 2 2 2" xfId="4408"/>
    <cellStyle name="Normal 2 7 2 2 2 2" xfId="7576"/>
    <cellStyle name="Normal 2 7 2 2 2 2 2" xfId="10331"/>
    <cellStyle name="Normal 2 7 2 2 2 3" xfId="8969"/>
    <cellStyle name="Normal 2 7 2 2 3" xfId="6952"/>
    <cellStyle name="Normal 2 7 2 2 3 2" xfId="9707"/>
    <cellStyle name="Normal 2 7 2 2 4" xfId="8345"/>
    <cellStyle name="Normal 2 7 2 3" xfId="3783"/>
    <cellStyle name="Normal 2 7 2 3 2" xfId="4409"/>
    <cellStyle name="Normal 2 7 2 3 2 2" xfId="7577"/>
    <cellStyle name="Normal 2 7 2 3 2 2 2" xfId="10332"/>
    <cellStyle name="Normal 2 7 2 3 2 3" xfId="8970"/>
    <cellStyle name="Normal 2 7 2 3 3" xfId="6953"/>
    <cellStyle name="Normal 2 7 2 3 3 2" xfId="9708"/>
    <cellStyle name="Normal 2 7 2 3 4" xfId="8346"/>
    <cellStyle name="Normal 2 7 2 4" xfId="4407"/>
    <cellStyle name="Normal 2 7 2 4 2" xfId="7575"/>
    <cellStyle name="Normal 2 7 2 4 2 2" xfId="10330"/>
    <cellStyle name="Normal 2 7 2 4 3" xfId="8968"/>
    <cellStyle name="Normal 2 7 2 5" xfId="6951"/>
    <cellStyle name="Normal 2 7 2 5 2" xfId="9706"/>
    <cellStyle name="Normal 2 7 2 6" xfId="8344"/>
    <cellStyle name="Normal 2 7 3" xfId="3784"/>
    <cellStyle name="Normal 2 7 3 2" xfId="4410"/>
    <cellStyle name="Normal 2 7 3 2 2" xfId="7578"/>
    <cellStyle name="Normal 2 7 3 2 2 2" xfId="10333"/>
    <cellStyle name="Normal 2 7 3 2 3" xfId="8971"/>
    <cellStyle name="Normal 2 7 3 3" xfId="6954"/>
    <cellStyle name="Normal 2 7 3 3 2" xfId="9709"/>
    <cellStyle name="Normal 2 7 3 4" xfId="8347"/>
    <cellStyle name="Normal 2 7 4" xfId="3785"/>
    <cellStyle name="Normal 2 7 4 2" xfId="4411"/>
    <cellStyle name="Normal 2 7 4 2 2" xfId="7579"/>
    <cellStyle name="Normal 2 7 4 2 2 2" xfId="10334"/>
    <cellStyle name="Normal 2 7 4 2 3" xfId="8972"/>
    <cellStyle name="Normal 2 7 4 3" xfId="6955"/>
    <cellStyle name="Normal 2 7 4 3 2" xfId="9710"/>
    <cellStyle name="Normal 2 7 4 4" xfId="8348"/>
    <cellStyle name="Normal 2 7 5" xfId="3786"/>
    <cellStyle name="Normal 2 7 5 2" xfId="4412"/>
    <cellStyle name="Normal 2 7 5 2 2" xfId="7580"/>
    <cellStyle name="Normal 2 7 5 2 2 2" xfId="10335"/>
    <cellStyle name="Normal 2 7 5 2 3" xfId="8973"/>
    <cellStyle name="Normal 2 7 5 3" xfId="6956"/>
    <cellStyle name="Normal 2 7 5 3 2" xfId="9711"/>
    <cellStyle name="Normal 2 7 5 4" xfId="8349"/>
    <cellStyle name="Normal 2 7 6" xfId="4406"/>
    <cellStyle name="Normal 2 7 6 2" xfId="7574"/>
    <cellStyle name="Normal 2 7 6 2 2" xfId="10329"/>
    <cellStyle name="Normal 2 7 6 3" xfId="8967"/>
    <cellStyle name="Normal 2 7 7" xfId="6950"/>
    <cellStyle name="Normal 2 7 7 2" xfId="9705"/>
    <cellStyle name="Normal 2 7 8" xfId="8343"/>
    <cellStyle name="Normal 2 8" xfId="3787"/>
    <cellStyle name="Normal 2 8 2" xfId="3788"/>
    <cellStyle name="Normal 2 8 2 2" xfId="3789"/>
    <cellStyle name="Normal 2 8 2 2 2" xfId="4415"/>
    <cellStyle name="Normal 2 8 2 2 2 2" xfId="7583"/>
    <cellStyle name="Normal 2 8 2 2 2 2 2" xfId="10338"/>
    <cellStyle name="Normal 2 8 2 2 2 3" xfId="8976"/>
    <cellStyle name="Normal 2 8 2 2 3" xfId="6959"/>
    <cellStyle name="Normal 2 8 2 2 3 2" xfId="9714"/>
    <cellStyle name="Normal 2 8 2 2 4" xfId="8352"/>
    <cellStyle name="Normal 2 8 2 3" xfId="3790"/>
    <cellStyle name="Normal 2 8 2 3 2" xfId="4416"/>
    <cellStyle name="Normal 2 8 2 3 2 2" xfId="7584"/>
    <cellStyle name="Normal 2 8 2 3 2 2 2" xfId="10339"/>
    <cellStyle name="Normal 2 8 2 3 2 3" xfId="8977"/>
    <cellStyle name="Normal 2 8 2 3 3" xfId="6960"/>
    <cellStyle name="Normal 2 8 2 3 3 2" xfId="9715"/>
    <cellStyle name="Normal 2 8 2 3 4" xfId="8353"/>
    <cellStyle name="Normal 2 8 2 4" xfId="4414"/>
    <cellStyle name="Normal 2 8 2 4 2" xfId="7582"/>
    <cellStyle name="Normal 2 8 2 4 2 2" xfId="10337"/>
    <cellStyle name="Normal 2 8 2 4 3" xfId="8975"/>
    <cellStyle name="Normal 2 8 2 5" xfId="6958"/>
    <cellStyle name="Normal 2 8 2 5 2" xfId="9713"/>
    <cellStyle name="Normal 2 8 2 6" xfId="8351"/>
    <cellStyle name="Normal 2 8 3" xfId="3791"/>
    <cellStyle name="Normal 2 8 3 2" xfId="4417"/>
    <cellStyle name="Normal 2 8 3 2 2" xfId="7585"/>
    <cellStyle name="Normal 2 8 3 2 2 2" xfId="10340"/>
    <cellStyle name="Normal 2 8 3 2 3" xfId="8978"/>
    <cellStyle name="Normal 2 8 3 3" xfId="6961"/>
    <cellStyle name="Normal 2 8 3 3 2" xfId="9716"/>
    <cellStyle name="Normal 2 8 3 4" xfId="8354"/>
    <cellStyle name="Normal 2 8 4" xfId="3792"/>
    <cellStyle name="Normal 2 8 4 2" xfId="4418"/>
    <cellStyle name="Normal 2 8 4 2 2" xfId="7586"/>
    <cellStyle name="Normal 2 8 4 2 2 2" xfId="10341"/>
    <cellStyle name="Normal 2 8 4 2 3" xfId="8979"/>
    <cellStyle name="Normal 2 8 4 3" xfId="6962"/>
    <cellStyle name="Normal 2 8 4 3 2" xfId="9717"/>
    <cellStyle name="Normal 2 8 4 4" xfId="8355"/>
    <cellStyle name="Normal 2 8 5" xfId="3793"/>
    <cellStyle name="Normal 2 8 5 2" xfId="4419"/>
    <cellStyle name="Normal 2 8 5 2 2" xfId="7587"/>
    <cellStyle name="Normal 2 8 5 2 2 2" xfId="10342"/>
    <cellStyle name="Normal 2 8 5 2 3" xfId="8980"/>
    <cellStyle name="Normal 2 8 5 3" xfId="6963"/>
    <cellStyle name="Normal 2 8 5 3 2" xfId="9718"/>
    <cellStyle name="Normal 2 8 5 4" xfId="8356"/>
    <cellStyle name="Normal 2 8 6" xfId="4413"/>
    <cellStyle name="Normal 2 8 6 2" xfId="7581"/>
    <cellStyle name="Normal 2 8 6 2 2" xfId="10336"/>
    <cellStyle name="Normal 2 8 6 3" xfId="8974"/>
    <cellStyle name="Normal 2 8 7" xfId="6957"/>
    <cellStyle name="Normal 2 8 7 2" xfId="9712"/>
    <cellStyle name="Normal 2 8 8" xfId="8350"/>
    <cellStyle name="Normal 2 9" xfId="3794"/>
    <cellStyle name="Normal 2 9 2" xfId="3795"/>
    <cellStyle name="Normal 2 9 2 2" xfId="3796"/>
    <cellStyle name="Normal 2 9 2 2 2" xfId="4422"/>
    <cellStyle name="Normal 2 9 2 2 2 2" xfId="7590"/>
    <cellStyle name="Normal 2 9 2 2 2 2 2" xfId="10345"/>
    <cellStyle name="Normal 2 9 2 2 2 3" xfId="8983"/>
    <cellStyle name="Normal 2 9 2 2 3" xfId="6966"/>
    <cellStyle name="Normal 2 9 2 2 3 2" xfId="9721"/>
    <cellStyle name="Normal 2 9 2 2 4" xfId="8359"/>
    <cellStyle name="Normal 2 9 2 3" xfId="3797"/>
    <cellStyle name="Normal 2 9 2 3 2" xfId="4423"/>
    <cellStyle name="Normal 2 9 2 3 2 2" xfId="7591"/>
    <cellStyle name="Normal 2 9 2 3 2 2 2" xfId="10346"/>
    <cellStyle name="Normal 2 9 2 3 2 3" xfId="8984"/>
    <cellStyle name="Normal 2 9 2 3 3" xfId="6967"/>
    <cellStyle name="Normal 2 9 2 3 3 2" xfId="9722"/>
    <cellStyle name="Normal 2 9 2 3 4" xfId="8360"/>
    <cellStyle name="Normal 2 9 2 4" xfId="4421"/>
    <cellStyle name="Normal 2 9 2 4 2" xfId="7589"/>
    <cellStyle name="Normal 2 9 2 4 2 2" xfId="10344"/>
    <cellStyle name="Normal 2 9 2 4 3" xfId="8982"/>
    <cellStyle name="Normal 2 9 2 5" xfId="6965"/>
    <cellStyle name="Normal 2 9 2 5 2" xfId="9720"/>
    <cellStyle name="Normal 2 9 2 6" xfId="8358"/>
    <cellStyle name="Normal 2 9 3" xfId="3798"/>
    <cellStyle name="Normal 2 9 3 2" xfId="4424"/>
    <cellStyle name="Normal 2 9 3 2 2" xfId="7592"/>
    <cellStyle name="Normal 2 9 3 2 2 2" xfId="10347"/>
    <cellStyle name="Normal 2 9 3 2 3" xfId="8985"/>
    <cellStyle name="Normal 2 9 3 3" xfId="6968"/>
    <cellStyle name="Normal 2 9 3 3 2" xfId="9723"/>
    <cellStyle name="Normal 2 9 3 4" xfId="8361"/>
    <cellStyle name="Normal 2 9 4" xfId="3799"/>
    <cellStyle name="Normal 2 9 4 2" xfId="4425"/>
    <cellStyle name="Normal 2 9 4 2 2" xfId="7593"/>
    <cellStyle name="Normal 2 9 4 2 2 2" xfId="10348"/>
    <cellStyle name="Normal 2 9 4 2 3" xfId="8986"/>
    <cellStyle name="Normal 2 9 4 3" xfId="6969"/>
    <cellStyle name="Normal 2 9 4 3 2" xfId="9724"/>
    <cellStyle name="Normal 2 9 4 4" xfId="8362"/>
    <cellStyle name="Normal 2 9 5" xfId="4420"/>
    <cellStyle name="Normal 2 9 5 2" xfId="7588"/>
    <cellStyle name="Normal 2 9 5 2 2" xfId="10343"/>
    <cellStyle name="Normal 2 9 5 3" xfId="8981"/>
    <cellStyle name="Normal 2 9 6" xfId="6964"/>
    <cellStyle name="Normal 2 9 6 2" xfId="9719"/>
    <cellStyle name="Normal 2 9 7" xfId="8357"/>
    <cellStyle name="Normal 20" xfId="3800"/>
    <cellStyle name="Normal 20 2" xfId="4426"/>
    <cellStyle name="Normal 20 2 2" xfId="7594"/>
    <cellStyle name="Normal 20 2 2 2" xfId="10349"/>
    <cellStyle name="Normal 20 2 3" xfId="8987"/>
    <cellStyle name="Normal 20 3" xfId="6970"/>
    <cellStyle name="Normal 20 3 2" xfId="9725"/>
    <cellStyle name="Normal 20 4" xfId="8363"/>
    <cellStyle name="Normal 21" xfId="3801"/>
    <cellStyle name="Normal 21 2" xfId="4427"/>
    <cellStyle name="Normal 21 2 2" xfId="7595"/>
    <cellStyle name="Normal 21 2 2 2" xfId="10350"/>
    <cellStyle name="Normal 21 2 3" xfId="8988"/>
    <cellStyle name="Normal 21 3" xfId="6971"/>
    <cellStyle name="Normal 21 3 2" xfId="9726"/>
    <cellStyle name="Normal 21 4" xfId="8364"/>
    <cellStyle name="Normal 22" xfId="3802"/>
    <cellStyle name="Normal 22 2" xfId="4428"/>
    <cellStyle name="Normal 22 2 2" xfId="7596"/>
    <cellStyle name="Normal 22 2 2 2" xfId="10351"/>
    <cellStyle name="Normal 22 2 3" xfId="8989"/>
    <cellStyle name="Normal 22 3" xfId="6972"/>
    <cellStyle name="Normal 22 3 2" xfId="9727"/>
    <cellStyle name="Normal 22 4" xfId="8365"/>
    <cellStyle name="Normal 23" xfId="3515"/>
    <cellStyle name="Normal 23 2" xfId="4156"/>
    <cellStyle name="Normal 23 2 2" xfId="7324"/>
    <cellStyle name="Normal 23 2 2 2" xfId="10079"/>
    <cellStyle name="Normal 23 2 3" xfId="8717"/>
    <cellStyle name="Normal 23 3" xfId="6713"/>
    <cellStyle name="Normal 23 3 2" xfId="9468"/>
    <cellStyle name="Normal 23 4" xfId="10652"/>
    <cellStyle name="Normal 23 5" xfId="8101"/>
    <cellStyle name="Normal 24" xfId="4728"/>
    <cellStyle name="Normal 25" xfId="4731"/>
    <cellStyle name="Normal 26" xfId="4732"/>
    <cellStyle name="Normal 27" xfId="4733"/>
    <cellStyle name="Normal 28" xfId="4734"/>
    <cellStyle name="Normal 29" xfId="4735"/>
    <cellStyle name="Normal 3" xfId="982"/>
    <cellStyle name="Normal 3 10" xfId="3804"/>
    <cellStyle name="Normal 3 10 2" xfId="3805"/>
    <cellStyle name="Normal 3 10 2 2" xfId="4431"/>
    <cellStyle name="Normal 3 10 2 2 2" xfId="7599"/>
    <cellStyle name="Normal 3 10 2 2 2 2" xfId="10354"/>
    <cellStyle name="Normal 3 10 2 2 3" xfId="8992"/>
    <cellStyle name="Normal 3 10 2 3" xfId="6975"/>
    <cellStyle name="Normal 3 10 2 3 2" xfId="9730"/>
    <cellStyle name="Normal 3 10 2 4" xfId="8368"/>
    <cellStyle name="Normal 3 10 3" xfId="4430"/>
    <cellStyle name="Normal 3 10 3 2" xfId="7598"/>
    <cellStyle name="Normal 3 10 3 2 2" xfId="10353"/>
    <cellStyle name="Normal 3 10 3 3" xfId="8991"/>
    <cellStyle name="Normal 3 10 4" xfId="6974"/>
    <cellStyle name="Normal 3 10 4 2" xfId="9729"/>
    <cellStyle name="Normal 3 10 5" xfId="8367"/>
    <cellStyle name="Normal 3 11" xfId="3806"/>
    <cellStyle name="Normal 3 11 2" xfId="4432"/>
    <cellStyle name="Normal 3 11 2 2" xfId="7600"/>
    <cellStyle name="Normal 3 11 2 2 2" xfId="10355"/>
    <cellStyle name="Normal 3 11 2 3" xfId="8993"/>
    <cellStyle name="Normal 3 11 3" xfId="6976"/>
    <cellStyle name="Normal 3 11 3 2" xfId="9731"/>
    <cellStyle name="Normal 3 11 4" xfId="8369"/>
    <cellStyle name="Normal 3 12" xfId="3807"/>
    <cellStyle name="Normal 3 12 2" xfId="4433"/>
    <cellStyle name="Normal 3 12 2 2" xfId="7601"/>
    <cellStyle name="Normal 3 12 2 2 2" xfId="10356"/>
    <cellStyle name="Normal 3 12 2 3" xfId="8994"/>
    <cellStyle name="Normal 3 12 3" xfId="6977"/>
    <cellStyle name="Normal 3 12 3 2" xfId="9732"/>
    <cellStyle name="Normal 3 12 4" xfId="8370"/>
    <cellStyle name="Normal 3 13" xfId="3808"/>
    <cellStyle name="Normal 3 13 2" xfId="4434"/>
    <cellStyle name="Normal 3 13 2 2" xfId="7602"/>
    <cellStyle name="Normal 3 13 2 2 2" xfId="10357"/>
    <cellStyle name="Normal 3 13 2 3" xfId="8995"/>
    <cellStyle name="Normal 3 13 3" xfId="6978"/>
    <cellStyle name="Normal 3 13 3 2" xfId="9733"/>
    <cellStyle name="Normal 3 13 4" xfId="8371"/>
    <cellStyle name="Normal 3 14" xfId="3803"/>
    <cellStyle name="Normal 3 14 2" xfId="4429"/>
    <cellStyle name="Normal 3 14 2 2" xfId="7597"/>
    <cellStyle name="Normal 3 14 2 2 2" xfId="10352"/>
    <cellStyle name="Normal 3 14 2 3" xfId="8990"/>
    <cellStyle name="Normal 3 14 3" xfId="6973"/>
    <cellStyle name="Normal 3 14 3 2" xfId="9728"/>
    <cellStyle name="Normal 3 14 4" xfId="8366"/>
    <cellStyle name="Normal 3 15" xfId="3381"/>
    <cellStyle name="Normal 3 2" xfId="983"/>
    <cellStyle name="Normal 3 2 10" xfId="6224"/>
    <cellStyle name="Normal 3 2 10 2" xfId="9340"/>
    <cellStyle name="Normal 3 2 11" xfId="7915"/>
    <cellStyle name="Normal 3 2 2" xfId="984"/>
    <cellStyle name="Normal 3 2 2 2" xfId="2616"/>
    <cellStyle name="Normal 3 2 2 2 2" xfId="4437"/>
    <cellStyle name="Normal 3 2 2 2 2 2" xfId="7605"/>
    <cellStyle name="Normal 3 2 2 2 2 2 2" xfId="10360"/>
    <cellStyle name="Normal 3 2 2 2 2 3" xfId="8998"/>
    <cellStyle name="Normal 3 2 2 2 3" xfId="3811"/>
    <cellStyle name="Normal 3 2 2 2 3 2" xfId="6981"/>
    <cellStyle name="Normal 3 2 2 2 3 2 2" xfId="9736"/>
    <cellStyle name="Normal 3 2 2 2 3 3" xfId="8374"/>
    <cellStyle name="Normal 3 2 2 3" xfId="3328"/>
    <cellStyle name="Normal 3 2 2 3 2" xfId="4438"/>
    <cellStyle name="Normal 3 2 2 3 2 2" xfId="7606"/>
    <cellStyle name="Normal 3 2 2 3 2 2 2" xfId="10361"/>
    <cellStyle name="Normal 3 2 2 3 2 3" xfId="8999"/>
    <cellStyle name="Normal 3 2 2 3 3" xfId="3812"/>
    <cellStyle name="Normal 3 2 2 3 3 2" xfId="6982"/>
    <cellStyle name="Normal 3 2 2 3 3 2 2" xfId="9737"/>
    <cellStyle name="Normal 3 2 2 3 3 3" xfId="8375"/>
    <cellStyle name="Normal 3 2 2 3 4" xfId="6632"/>
    <cellStyle name="Normal 3 2 2 3 4 2" xfId="9396"/>
    <cellStyle name="Normal 3 2 2 3 5" xfId="8025"/>
    <cellStyle name="Normal 3 2 2 4" xfId="3813"/>
    <cellStyle name="Normal 3 2 2 4 2" xfId="4439"/>
    <cellStyle name="Normal 3 2 2 4 2 2" xfId="7607"/>
    <cellStyle name="Normal 3 2 2 4 2 2 2" xfId="10362"/>
    <cellStyle name="Normal 3 2 2 4 2 3" xfId="9000"/>
    <cellStyle name="Normal 3 2 2 4 3" xfId="6983"/>
    <cellStyle name="Normal 3 2 2 4 3 2" xfId="9738"/>
    <cellStyle name="Normal 3 2 2 4 4" xfId="8376"/>
    <cellStyle name="Normal 3 2 2 5" xfId="4436"/>
    <cellStyle name="Normal 3 2 2 5 2" xfId="7604"/>
    <cellStyle name="Normal 3 2 2 5 2 2" xfId="10359"/>
    <cellStyle name="Normal 3 2 2 5 3" xfId="8997"/>
    <cellStyle name="Normal 3 2 2 6" xfId="3810"/>
    <cellStyle name="Normal 3 2 2 6 2" xfId="6980"/>
    <cellStyle name="Normal 3 2 2 6 2 2" xfId="9735"/>
    <cellStyle name="Normal 3 2 2 6 3" xfId="8373"/>
    <cellStyle name="Normal 3 2 3" xfId="2615"/>
    <cellStyle name="Normal 3 2 3 2" xfId="3305"/>
    <cellStyle name="Normal 3 2 3 2 2" xfId="4440"/>
    <cellStyle name="Normal 3 2 3 2 2 2" xfId="7608"/>
    <cellStyle name="Normal 3 2 3 2 2 2 2" xfId="10363"/>
    <cellStyle name="Normal 3 2 3 2 2 3" xfId="9001"/>
    <cellStyle name="Normal 3 2 3 2 3" xfId="6614"/>
    <cellStyle name="Normal 3 2 3 2 3 2" xfId="9378"/>
    <cellStyle name="Normal 3 2 3 2 4" xfId="8007"/>
    <cellStyle name="Normal 3 2 3 3" xfId="3814"/>
    <cellStyle name="Normal 3 2 3 3 2" xfId="6984"/>
    <cellStyle name="Normal 3 2 3 3 2 2" xfId="9739"/>
    <cellStyle name="Normal 3 2 3 3 3" xfId="8377"/>
    <cellStyle name="Normal 3 2 3 4" xfId="5671"/>
    <cellStyle name="Normal 3 2 3 4 2" xfId="9321"/>
    <cellStyle name="Normal 3 2 3 5" xfId="6593"/>
    <cellStyle name="Normal 3 2 3 5 2" xfId="9357"/>
    <cellStyle name="Normal 3 2 3 6" xfId="7969"/>
    <cellStyle name="Normal 3 2 4" xfId="3321"/>
    <cellStyle name="Normal 3 2 4 2" xfId="4441"/>
    <cellStyle name="Normal 3 2 4 2 2" xfId="7609"/>
    <cellStyle name="Normal 3 2 4 2 2 2" xfId="10364"/>
    <cellStyle name="Normal 3 2 4 2 3" xfId="9002"/>
    <cellStyle name="Normal 3 2 4 3" xfId="3815"/>
    <cellStyle name="Normal 3 2 4 3 2" xfId="6985"/>
    <cellStyle name="Normal 3 2 4 3 2 2" xfId="9740"/>
    <cellStyle name="Normal 3 2 4 3 3" xfId="8378"/>
    <cellStyle name="Normal 3 2 4 4" xfId="6628"/>
    <cellStyle name="Normal 3 2 4 4 2" xfId="9392"/>
    <cellStyle name="Normal 3 2 4 5" xfId="8021"/>
    <cellStyle name="Normal 3 2 5" xfId="3286"/>
    <cellStyle name="Normal 3 2 5 2" xfId="4442"/>
    <cellStyle name="Normal 3 2 5 2 2" xfId="7610"/>
    <cellStyle name="Normal 3 2 5 2 2 2" xfId="10365"/>
    <cellStyle name="Normal 3 2 5 2 3" xfId="9003"/>
    <cellStyle name="Normal 3 2 5 3" xfId="3816"/>
    <cellStyle name="Normal 3 2 5 3 2" xfId="6986"/>
    <cellStyle name="Normal 3 2 5 3 2 2" xfId="9741"/>
    <cellStyle name="Normal 3 2 5 3 3" xfId="8379"/>
    <cellStyle name="Normal 3 2 5 4" xfId="6604"/>
    <cellStyle name="Normal 3 2 5 4 2" xfId="9368"/>
    <cellStyle name="Normal 3 2 5 5" xfId="7997"/>
    <cellStyle name="Normal 3 2 6" xfId="3817"/>
    <cellStyle name="Normal 3 2 6 2" xfId="4443"/>
    <cellStyle name="Normal 3 2 6 2 2" xfId="7611"/>
    <cellStyle name="Normal 3 2 6 2 2 2" xfId="10366"/>
    <cellStyle name="Normal 3 2 6 2 3" xfId="9004"/>
    <cellStyle name="Normal 3 2 6 3" xfId="6987"/>
    <cellStyle name="Normal 3 2 6 3 2" xfId="9742"/>
    <cellStyle name="Normal 3 2 6 4" xfId="8380"/>
    <cellStyle name="Normal 3 2 7" xfId="3809"/>
    <cellStyle name="Normal 3 2 7 2" xfId="4435"/>
    <cellStyle name="Normal 3 2 7 2 2" xfId="7603"/>
    <cellStyle name="Normal 3 2 7 2 2 2" xfId="10358"/>
    <cellStyle name="Normal 3 2 7 2 3" xfId="8996"/>
    <cellStyle name="Normal 3 2 7 3" xfId="6979"/>
    <cellStyle name="Normal 3 2 7 3 2" xfId="9734"/>
    <cellStyle name="Normal 3 2 7 4" xfId="8372"/>
    <cellStyle name="Normal 3 2 8" xfId="3505"/>
    <cellStyle name="Normal 3 2 9" xfId="5299"/>
    <cellStyle name="Normal 3 2 9 2" xfId="9307"/>
    <cellStyle name="Normal 3 3" xfId="985"/>
    <cellStyle name="Normal 3 3 10" xfId="6225"/>
    <cellStyle name="Normal 3 3 10 2" xfId="9341"/>
    <cellStyle name="Normal 3 3 11" xfId="7916"/>
    <cellStyle name="Normal 3 3 2" xfId="2617"/>
    <cellStyle name="Normal 3 3 2 2" xfId="3306"/>
    <cellStyle name="Normal 3 3 2 2 2" xfId="4446"/>
    <cellStyle name="Normal 3 3 2 2 2 2" xfId="7614"/>
    <cellStyle name="Normal 3 3 2 2 2 2 2" xfId="10369"/>
    <cellStyle name="Normal 3 3 2 2 2 3" xfId="9007"/>
    <cellStyle name="Normal 3 3 2 2 3" xfId="3820"/>
    <cellStyle name="Normal 3 3 2 2 3 2" xfId="6990"/>
    <cellStyle name="Normal 3 3 2 2 3 2 2" xfId="9745"/>
    <cellStyle name="Normal 3 3 2 2 3 3" xfId="8383"/>
    <cellStyle name="Normal 3 3 2 2 4" xfId="6615"/>
    <cellStyle name="Normal 3 3 2 2 4 2" xfId="9379"/>
    <cellStyle name="Normal 3 3 2 2 5" xfId="8008"/>
    <cellStyle name="Normal 3 3 2 3" xfId="3821"/>
    <cellStyle name="Normal 3 3 2 3 2" xfId="4447"/>
    <cellStyle name="Normal 3 3 2 3 2 2" xfId="7615"/>
    <cellStyle name="Normal 3 3 2 3 2 2 2" xfId="10370"/>
    <cellStyle name="Normal 3 3 2 3 2 3" xfId="9008"/>
    <cellStyle name="Normal 3 3 2 3 3" xfId="6991"/>
    <cellStyle name="Normal 3 3 2 3 3 2" xfId="9746"/>
    <cellStyle name="Normal 3 3 2 3 4" xfId="8384"/>
    <cellStyle name="Normal 3 3 2 4" xfId="4445"/>
    <cellStyle name="Normal 3 3 2 4 2" xfId="7613"/>
    <cellStyle name="Normal 3 3 2 4 2 2" xfId="10368"/>
    <cellStyle name="Normal 3 3 2 4 3" xfId="9006"/>
    <cellStyle name="Normal 3 3 2 5" xfId="3819"/>
    <cellStyle name="Normal 3 3 2 5 2" xfId="6989"/>
    <cellStyle name="Normal 3 3 2 5 2 2" xfId="9744"/>
    <cellStyle name="Normal 3 3 2 5 3" xfId="8382"/>
    <cellStyle name="Normal 3 3 2 6" xfId="5672"/>
    <cellStyle name="Normal 3 3 2 6 2" xfId="9322"/>
    <cellStyle name="Normal 3 3 2 7" xfId="6594"/>
    <cellStyle name="Normal 3 3 2 7 2" xfId="9358"/>
    <cellStyle name="Normal 3 3 2 8" xfId="7970"/>
    <cellStyle name="Normal 3 3 3" xfId="3327"/>
    <cellStyle name="Normal 3 3 3 2" xfId="4448"/>
    <cellStyle name="Normal 3 3 3 2 2" xfId="7616"/>
    <cellStyle name="Normal 3 3 3 2 2 2" xfId="10371"/>
    <cellStyle name="Normal 3 3 3 2 3" xfId="9009"/>
    <cellStyle name="Normal 3 3 3 3" xfId="3822"/>
    <cellStyle name="Normal 3 3 3 3 2" xfId="6992"/>
    <cellStyle name="Normal 3 3 3 3 2 2" xfId="9747"/>
    <cellStyle name="Normal 3 3 3 3 3" xfId="8385"/>
    <cellStyle name="Normal 3 3 3 4" xfId="6631"/>
    <cellStyle name="Normal 3 3 3 4 2" xfId="9395"/>
    <cellStyle name="Normal 3 3 3 5" xfId="8024"/>
    <cellStyle name="Normal 3 3 4" xfId="3287"/>
    <cellStyle name="Normal 3 3 4 2" xfId="4449"/>
    <cellStyle name="Normal 3 3 4 2 2" xfId="7617"/>
    <cellStyle name="Normal 3 3 4 2 2 2" xfId="10372"/>
    <cellStyle name="Normal 3 3 4 2 3" xfId="9010"/>
    <cellStyle name="Normal 3 3 4 3" xfId="3823"/>
    <cellStyle name="Normal 3 3 4 3 2" xfId="6993"/>
    <cellStyle name="Normal 3 3 4 3 2 2" xfId="9748"/>
    <cellStyle name="Normal 3 3 4 3 3" xfId="8386"/>
    <cellStyle name="Normal 3 3 4 4" xfId="6605"/>
    <cellStyle name="Normal 3 3 4 4 2" xfId="9369"/>
    <cellStyle name="Normal 3 3 4 5" xfId="7998"/>
    <cellStyle name="Normal 3 3 5" xfId="3824"/>
    <cellStyle name="Normal 3 3 5 2" xfId="4450"/>
    <cellStyle name="Normal 3 3 5 2 2" xfId="7618"/>
    <cellStyle name="Normal 3 3 5 2 2 2" xfId="10373"/>
    <cellStyle name="Normal 3 3 5 2 3" xfId="9011"/>
    <cellStyle name="Normal 3 3 5 3" xfId="6994"/>
    <cellStyle name="Normal 3 3 5 3 2" xfId="9749"/>
    <cellStyle name="Normal 3 3 5 4" xfId="8387"/>
    <cellStyle name="Normal 3 3 6" xfId="3825"/>
    <cellStyle name="Normal 3 3 6 2" xfId="4451"/>
    <cellStyle name="Normal 3 3 6 2 2" xfId="7619"/>
    <cellStyle name="Normal 3 3 6 2 2 2" xfId="10374"/>
    <cellStyle name="Normal 3 3 6 2 3" xfId="9012"/>
    <cellStyle name="Normal 3 3 6 3" xfId="6995"/>
    <cellStyle name="Normal 3 3 6 3 2" xfId="9750"/>
    <cellStyle name="Normal 3 3 6 4" xfId="8388"/>
    <cellStyle name="Normal 3 3 7" xfId="4444"/>
    <cellStyle name="Normal 3 3 7 2" xfId="7612"/>
    <cellStyle name="Normal 3 3 7 2 2" xfId="10367"/>
    <cellStyle name="Normal 3 3 7 3" xfId="9005"/>
    <cellStyle name="Normal 3 3 8" xfId="3818"/>
    <cellStyle name="Normal 3 3 8 2" xfId="6988"/>
    <cellStyle name="Normal 3 3 8 2 2" xfId="9743"/>
    <cellStyle name="Normal 3 3 8 3" xfId="8381"/>
    <cellStyle name="Normal 3 3 9" xfId="5300"/>
    <cellStyle name="Normal 3 3 9 2" xfId="9308"/>
    <cellStyle name="Normal 3 4" xfId="3320"/>
    <cellStyle name="Normal 3 4 10" xfId="6627"/>
    <cellStyle name="Normal 3 4 10 2" xfId="9391"/>
    <cellStyle name="Normal 3 4 11" xfId="8020"/>
    <cellStyle name="Normal 3 4 12" xfId="10690"/>
    <cellStyle name="Normal 3 4 2" xfId="3827"/>
    <cellStyle name="Normal 3 4 2 2" xfId="3828"/>
    <cellStyle name="Normal 3 4 2 2 2" xfId="4454"/>
    <cellStyle name="Normal 3 4 2 2 2 2" xfId="7622"/>
    <cellStyle name="Normal 3 4 2 2 2 2 2" xfId="10377"/>
    <cellStyle name="Normal 3 4 2 2 2 3" xfId="9015"/>
    <cellStyle name="Normal 3 4 2 2 3" xfId="6998"/>
    <cellStyle name="Normal 3 4 2 2 3 2" xfId="9753"/>
    <cellStyle name="Normal 3 4 2 2 4" xfId="8391"/>
    <cellStyle name="Normal 3 4 2 3" xfId="3829"/>
    <cellStyle name="Normal 3 4 2 3 2" xfId="4455"/>
    <cellStyle name="Normal 3 4 2 3 2 2" xfId="7623"/>
    <cellStyle name="Normal 3 4 2 3 2 2 2" xfId="10378"/>
    <cellStyle name="Normal 3 4 2 3 2 3" xfId="9016"/>
    <cellStyle name="Normal 3 4 2 3 3" xfId="6999"/>
    <cellStyle name="Normal 3 4 2 3 3 2" xfId="9754"/>
    <cellStyle name="Normal 3 4 2 3 4" xfId="8392"/>
    <cellStyle name="Normal 3 4 2 4" xfId="4453"/>
    <cellStyle name="Normal 3 4 2 4 2" xfId="7621"/>
    <cellStyle name="Normal 3 4 2 4 2 2" xfId="10376"/>
    <cellStyle name="Normal 3 4 2 4 3" xfId="9014"/>
    <cellStyle name="Normal 3 4 2 5" xfId="6997"/>
    <cellStyle name="Normal 3 4 2 5 2" xfId="9752"/>
    <cellStyle name="Normal 3 4 2 6" xfId="8390"/>
    <cellStyle name="Normal 3 4 3" xfId="3830"/>
    <cellStyle name="Normal 3 4 3 2" xfId="4456"/>
    <cellStyle name="Normal 3 4 3 2 2" xfId="7624"/>
    <cellStyle name="Normal 3 4 3 2 2 2" xfId="10379"/>
    <cellStyle name="Normal 3 4 3 2 3" xfId="9017"/>
    <cellStyle name="Normal 3 4 3 3" xfId="7000"/>
    <cellStyle name="Normal 3 4 3 3 2" xfId="9755"/>
    <cellStyle name="Normal 3 4 3 4" xfId="8393"/>
    <cellStyle name="Normal 3 4 4" xfId="3831"/>
    <cellStyle name="Normal 3 4 4 2" xfId="4457"/>
    <cellStyle name="Normal 3 4 4 2 2" xfId="7625"/>
    <cellStyle name="Normal 3 4 4 2 2 2" xfId="10380"/>
    <cellStyle name="Normal 3 4 4 2 3" xfId="9018"/>
    <cellStyle name="Normal 3 4 4 3" xfId="7001"/>
    <cellStyle name="Normal 3 4 4 3 2" xfId="9756"/>
    <cellStyle name="Normal 3 4 4 4" xfId="8394"/>
    <cellStyle name="Normal 3 4 5" xfId="3832"/>
    <cellStyle name="Normal 3 4 5 2" xfId="4458"/>
    <cellStyle name="Normal 3 4 5 2 2" xfId="7626"/>
    <cellStyle name="Normal 3 4 5 2 2 2" xfId="10381"/>
    <cellStyle name="Normal 3 4 5 2 3" xfId="9019"/>
    <cellStyle name="Normal 3 4 5 3" xfId="7002"/>
    <cellStyle name="Normal 3 4 5 3 2" xfId="9757"/>
    <cellStyle name="Normal 3 4 5 4" xfId="8395"/>
    <cellStyle name="Normal 3 4 6" xfId="3833"/>
    <cellStyle name="Normal 3 4 6 2" xfId="4459"/>
    <cellStyle name="Normal 3 4 6 2 2" xfId="7627"/>
    <cellStyle name="Normal 3 4 6 2 2 2" xfId="10382"/>
    <cellStyle name="Normal 3 4 6 2 3" xfId="9020"/>
    <cellStyle name="Normal 3 4 6 3" xfId="7003"/>
    <cellStyle name="Normal 3 4 6 3 2" xfId="9758"/>
    <cellStyle name="Normal 3 4 6 4" xfId="8396"/>
    <cellStyle name="Normal 3 4 7" xfId="4452"/>
    <cellStyle name="Normal 3 4 7 2" xfId="7620"/>
    <cellStyle name="Normal 3 4 7 2 2" xfId="10375"/>
    <cellStyle name="Normal 3 4 7 3" xfId="9013"/>
    <cellStyle name="Normal 3 4 8" xfId="3826"/>
    <cellStyle name="Normal 3 4 8 2" xfId="6996"/>
    <cellStyle name="Normal 3 4 8 2 2" xfId="9751"/>
    <cellStyle name="Normal 3 4 8 3" xfId="8389"/>
    <cellStyle name="Normal 3 4 9" xfId="5298"/>
    <cellStyle name="Normal 3 5" xfId="3834"/>
    <cellStyle name="Normal 3 5 2" xfId="3835"/>
    <cellStyle name="Normal 3 5 2 2" xfId="3836"/>
    <cellStyle name="Normal 3 5 2 2 2" xfId="4462"/>
    <cellStyle name="Normal 3 5 2 2 2 2" xfId="7630"/>
    <cellStyle name="Normal 3 5 2 2 2 2 2" xfId="10385"/>
    <cellStyle name="Normal 3 5 2 2 2 3" xfId="9023"/>
    <cellStyle name="Normal 3 5 2 2 3" xfId="7006"/>
    <cellStyle name="Normal 3 5 2 2 3 2" xfId="9761"/>
    <cellStyle name="Normal 3 5 2 2 4" xfId="8399"/>
    <cellStyle name="Normal 3 5 2 3" xfId="3837"/>
    <cellStyle name="Normal 3 5 2 3 2" xfId="4463"/>
    <cellStyle name="Normal 3 5 2 3 2 2" xfId="7631"/>
    <cellStyle name="Normal 3 5 2 3 2 2 2" xfId="10386"/>
    <cellStyle name="Normal 3 5 2 3 2 3" xfId="9024"/>
    <cellStyle name="Normal 3 5 2 3 3" xfId="7007"/>
    <cellStyle name="Normal 3 5 2 3 3 2" xfId="9762"/>
    <cellStyle name="Normal 3 5 2 3 4" xfId="8400"/>
    <cellStyle name="Normal 3 5 2 4" xfId="4461"/>
    <cellStyle name="Normal 3 5 2 4 2" xfId="7629"/>
    <cellStyle name="Normal 3 5 2 4 2 2" xfId="10384"/>
    <cellStyle name="Normal 3 5 2 4 3" xfId="9022"/>
    <cellStyle name="Normal 3 5 2 5" xfId="7005"/>
    <cellStyle name="Normal 3 5 2 5 2" xfId="9760"/>
    <cellStyle name="Normal 3 5 2 6" xfId="8398"/>
    <cellStyle name="Normal 3 5 3" xfId="3838"/>
    <cellStyle name="Normal 3 5 3 2" xfId="4464"/>
    <cellStyle name="Normal 3 5 3 2 2" xfId="7632"/>
    <cellStyle name="Normal 3 5 3 2 2 2" xfId="10387"/>
    <cellStyle name="Normal 3 5 3 2 3" xfId="9025"/>
    <cellStyle name="Normal 3 5 3 3" xfId="7008"/>
    <cellStyle name="Normal 3 5 3 3 2" xfId="9763"/>
    <cellStyle name="Normal 3 5 3 4" xfId="8401"/>
    <cellStyle name="Normal 3 5 4" xfId="3839"/>
    <cellStyle name="Normal 3 5 4 2" xfId="4465"/>
    <cellStyle name="Normal 3 5 4 2 2" xfId="7633"/>
    <cellStyle name="Normal 3 5 4 2 2 2" xfId="10388"/>
    <cellStyle name="Normal 3 5 4 2 3" xfId="9026"/>
    <cellStyle name="Normal 3 5 4 3" xfId="7009"/>
    <cellStyle name="Normal 3 5 4 3 2" xfId="9764"/>
    <cellStyle name="Normal 3 5 4 4" xfId="8402"/>
    <cellStyle name="Normal 3 5 5" xfId="3840"/>
    <cellStyle name="Normal 3 5 5 2" xfId="4466"/>
    <cellStyle name="Normal 3 5 5 2 2" xfId="7634"/>
    <cellStyle name="Normal 3 5 5 2 2 2" xfId="10389"/>
    <cellStyle name="Normal 3 5 5 2 3" xfId="9027"/>
    <cellStyle name="Normal 3 5 5 3" xfId="7010"/>
    <cellStyle name="Normal 3 5 5 3 2" xfId="9765"/>
    <cellStyle name="Normal 3 5 5 4" xfId="8403"/>
    <cellStyle name="Normal 3 5 6" xfId="4460"/>
    <cellStyle name="Normal 3 5 6 2" xfId="7628"/>
    <cellStyle name="Normal 3 5 6 2 2" xfId="10383"/>
    <cellStyle name="Normal 3 5 6 3" xfId="9021"/>
    <cellStyle name="Normal 3 5 7" xfId="7004"/>
    <cellStyle name="Normal 3 5 7 2" xfId="9759"/>
    <cellStyle name="Normal 3 5 8" xfId="8397"/>
    <cellStyle name="Normal 3 6" xfId="3841"/>
    <cellStyle name="Normal 3 6 2" xfId="3842"/>
    <cellStyle name="Normal 3 6 2 2" xfId="3843"/>
    <cellStyle name="Normal 3 6 2 2 2" xfId="4469"/>
    <cellStyle name="Normal 3 6 2 2 2 2" xfId="7637"/>
    <cellStyle name="Normal 3 6 2 2 2 2 2" xfId="10392"/>
    <cellStyle name="Normal 3 6 2 2 2 3" xfId="9030"/>
    <cellStyle name="Normal 3 6 2 2 3" xfId="7013"/>
    <cellStyle name="Normal 3 6 2 2 3 2" xfId="9768"/>
    <cellStyle name="Normal 3 6 2 2 4" xfId="8406"/>
    <cellStyle name="Normal 3 6 2 3" xfId="3844"/>
    <cellStyle name="Normal 3 6 2 3 2" xfId="4470"/>
    <cellStyle name="Normal 3 6 2 3 2 2" xfId="7638"/>
    <cellStyle name="Normal 3 6 2 3 2 2 2" xfId="10393"/>
    <cellStyle name="Normal 3 6 2 3 2 3" xfId="9031"/>
    <cellStyle name="Normal 3 6 2 3 3" xfId="7014"/>
    <cellStyle name="Normal 3 6 2 3 3 2" xfId="9769"/>
    <cellStyle name="Normal 3 6 2 3 4" xfId="8407"/>
    <cellStyle name="Normal 3 6 2 4" xfId="4468"/>
    <cellStyle name="Normal 3 6 2 4 2" xfId="7636"/>
    <cellStyle name="Normal 3 6 2 4 2 2" xfId="10391"/>
    <cellStyle name="Normal 3 6 2 4 3" xfId="9029"/>
    <cellStyle name="Normal 3 6 2 5" xfId="7012"/>
    <cellStyle name="Normal 3 6 2 5 2" xfId="9767"/>
    <cellStyle name="Normal 3 6 2 6" xfId="8405"/>
    <cellStyle name="Normal 3 6 3" xfId="3845"/>
    <cellStyle name="Normal 3 6 3 2" xfId="4471"/>
    <cellStyle name="Normal 3 6 3 2 2" xfId="7639"/>
    <cellStyle name="Normal 3 6 3 2 2 2" xfId="10394"/>
    <cellStyle name="Normal 3 6 3 2 3" xfId="9032"/>
    <cellStyle name="Normal 3 6 3 3" xfId="7015"/>
    <cellStyle name="Normal 3 6 3 3 2" xfId="9770"/>
    <cellStyle name="Normal 3 6 3 4" xfId="8408"/>
    <cellStyle name="Normal 3 6 4" xfId="3846"/>
    <cellStyle name="Normal 3 6 4 2" xfId="4472"/>
    <cellStyle name="Normal 3 6 4 2 2" xfId="7640"/>
    <cellStyle name="Normal 3 6 4 2 2 2" xfId="10395"/>
    <cellStyle name="Normal 3 6 4 2 3" xfId="9033"/>
    <cellStyle name="Normal 3 6 4 3" xfId="7016"/>
    <cellStyle name="Normal 3 6 4 3 2" xfId="9771"/>
    <cellStyle name="Normal 3 6 4 4" xfId="8409"/>
    <cellStyle name="Normal 3 6 5" xfId="3847"/>
    <cellStyle name="Normal 3 6 5 2" xfId="4473"/>
    <cellStyle name="Normal 3 6 5 2 2" xfId="7641"/>
    <cellStyle name="Normal 3 6 5 2 2 2" xfId="10396"/>
    <cellStyle name="Normal 3 6 5 2 3" xfId="9034"/>
    <cellStyle name="Normal 3 6 5 3" xfId="7017"/>
    <cellStyle name="Normal 3 6 5 3 2" xfId="9772"/>
    <cellStyle name="Normal 3 6 5 4" xfId="8410"/>
    <cellStyle name="Normal 3 6 6" xfId="4467"/>
    <cellStyle name="Normal 3 6 6 2" xfId="7635"/>
    <cellStyle name="Normal 3 6 6 2 2" xfId="10390"/>
    <cellStyle name="Normal 3 6 6 3" xfId="9028"/>
    <cellStyle name="Normal 3 6 7" xfId="7011"/>
    <cellStyle name="Normal 3 6 7 2" xfId="9766"/>
    <cellStyle name="Normal 3 6 8" xfId="8404"/>
    <cellStyle name="Normal 3 7" xfId="3848"/>
    <cellStyle name="Normal 3 7 2" xfId="3849"/>
    <cellStyle name="Normal 3 7 2 2" xfId="3850"/>
    <cellStyle name="Normal 3 7 2 2 2" xfId="4476"/>
    <cellStyle name="Normal 3 7 2 2 2 2" xfId="7644"/>
    <cellStyle name="Normal 3 7 2 2 2 2 2" xfId="10399"/>
    <cellStyle name="Normal 3 7 2 2 2 3" xfId="9037"/>
    <cellStyle name="Normal 3 7 2 2 3" xfId="7020"/>
    <cellStyle name="Normal 3 7 2 2 3 2" xfId="9775"/>
    <cellStyle name="Normal 3 7 2 2 4" xfId="8413"/>
    <cellStyle name="Normal 3 7 2 3" xfId="3851"/>
    <cellStyle name="Normal 3 7 2 3 2" xfId="4477"/>
    <cellStyle name="Normal 3 7 2 3 2 2" xfId="7645"/>
    <cellStyle name="Normal 3 7 2 3 2 2 2" xfId="10400"/>
    <cellStyle name="Normal 3 7 2 3 2 3" xfId="9038"/>
    <cellStyle name="Normal 3 7 2 3 3" xfId="7021"/>
    <cellStyle name="Normal 3 7 2 3 3 2" xfId="9776"/>
    <cellStyle name="Normal 3 7 2 3 4" xfId="8414"/>
    <cellStyle name="Normal 3 7 2 4" xfId="4475"/>
    <cellStyle name="Normal 3 7 2 4 2" xfId="7643"/>
    <cellStyle name="Normal 3 7 2 4 2 2" xfId="10398"/>
    <cellStyle name="Normal 3 7 2 4 3" xfId="9036"/>
    <cellStyle name="Normal 3 7 2 5" xfId="7019"/>
    <cellStyle name="Normal 3 7 2 5 2" xfId="9774"/>
    <cellStyle name="Normal 3 7 2 6" xfId="8412"/>
    <cellStyle name="Normal 3 7 3" xfId="3852"/>
    <cellStyle name="Normal 3 7 3 2" xfId="4478"/>
    <cellStyle name="Normal 3 7 3 2 2" xfId="7646"/>
    <cellStyle name="Normal 3 7 3 2 2 2" xfId="10401"/>
    <cellStyle name="Normal 3 7 3 2 3" xfId="9039"/>
    <cellStyle name="Normal 3 7 3 3" xfId="7022"/>
    <cellStyle name="Normal 3 7 3 3 2" xfId="9777"/>
    <cellStyle name="Normal 3 7 3 4" xfId="8415"/>
    <cellStyle name="Normal 3 7 4" xfId="3853"/>
    <cellStyle name="Normal 3 7 4 2" xfId="4479"/>
    <cellStyle name="Normal 3 7 4 2 2" xfId="7647"/>
    <cellStyle name="Normal 3 7 4 2 2 2" xfId="10402"/>
    <cellStyle name="Normal 3 7 4 2 3" xfId="9040"/>
    <cellStyle name="Normal 3 7 4 3" xfId="7023"/>
    <cellStyle name="Normal 3 7 4 3 2" xfId="9778"/>
    <cellStyle name="Normal 3 7 4 4" xfId="8416"/>
    <cellStyle name="Normal 3 7 5" xfId="3854"/>
    <cellStyle name="Normal 3 7 5 2" xfId="4480"/>
    <cellStyle name="Normal 3 7 5 2 2" xfId="7648"/>
    <cellStyle name="Normal 3 7 5 2 2 2" xfId="10403"/>
    <cellStyle name="Normal 3 7 5 2 3" xfId="9041"/>
    <cellStyle name="Normal 3 7 5 3" xfId="7024"/>
    <cellStyle name="Normal 3 7 5 3 2" xfId="9779"/>
    <cellStyle name="Normal 3 7 5 4" xfId="8417"/>
    <cellStyle name="Normal 3 7 6" xfId="4474"/>
    <cellStyle name="Normal 3 7 6 2" xfId="7642"/>
    <cellStyle name="Normal 3 7 6 2 2" xfId="10397"/>
    <cellStyle name="Normal 3 7 6 3" xfId="9035"/>
    <cellStyle name="Normal 3 7 7" xfId="7018"/>
    <cellStyle name="Normal 3 7 7 2" xfId="9773"/>
    <cellStyle name="Normal 3 7 8" xfId="8411"/>
    <cellStyle name="Normal 3 8" xfId="3855"/>
    <cellStyle name="Normal 3 8 2" xfId="3856"/>
    <cellStyle name="Normal 3 8 2 2" xfId="3857"/>
    <cellStyle name="Normal 3 8 2 2 2" xfId="4483"/>
    <cellStyle name="Normal 3 8 2 2 2 2" xfId="7651"/>
    <cellStyle name="Normal 3 8 2 2 2 2 2" xfId="10406"/>
    <cellStyle name="Normal 3 8 2 2 2 3" xfId="9044"/>
    <cellStyle name="Normal 3 8 2 2 3" xfId="7027"/>
    <cellStyle name="Normal 3 8 2 2 3 2" xfId="9782"/>
    <cellStyle name="Normal 3 8 2 2 4" xfId="8420"/>
    <cellStyle name="Normal 3 8 2 3" xfId="3858"/>
    <cellStyle name="Normal 3 8 2 3 2" xfId="4484"/>
    <cellStyle name="Normal 3 8 2 3 2 2" xfId="7652"/>
    <cellStyle name="Normal 3 8 2 3 2 2 2" xfId="10407"/>
    <cellStyle name="Normal 3 8 2 3 2 3" xfId="9045"/>
    <cellStyle name="Normal 3 8 2 3 3" xfId="7028"/>
    <cellStyle name="Normal 3 8 2 3 3 2" xfId="9783"/>
    <cellStyle name="Normal 3 8 2 3 4" xfId="8421"/>
    <cellStyle name="Normal 3 8 2 4" xfId="4482"/>
    <cellStyle name="Normal 3 8 2 4 2" xfId="7650"/>
    <cellStyle name="Normal 3 8 2 4 2 2" xfId="10405"/>
    <cellStyle name="Normal 3 8 2 4 3" xfId="9043"/>
    <cellStyle name="Normal 3 8 2 5" xfId="7026"/>
    <cellStyle name="Normal 3 8 2 5 2" xfId="9781"/>
    <cellStyle name="Normal 3 8 2 6" xfId="8419"/>
    <cellStyle name="Normal 3 8 3" xfId="3859"/>
    <cellStyle name="Normal 3 8 3 2" xfId="4485"/>
    <cellStyle name="Normal 3 8 3 2 2" xfId="7653"/>
    <cellStyle name="Normal 3 8 3 2 2 2" xfId="10408"/>
    <cellStyle name="Normal 3 8 3 2 3" xfId="9046"/>
    <cellStyle name="Normal 3 8 3 3" xfId="7029"/>
    <cellStyle name="Normal 3 8 3 3 2" xfId="9784"/>
    <cellStyle name="Normal 3 8 3 4" xfId="8422"/>
    <cellStyle name="Normal 3 8 4" xfId="3860"/>
    <cellStyle name="Normal 3 8 4 2" xfId="4486"/>
    <cellStyle name="Normal 3 8 4 2 2" xfId="7654"/>
    <cellStyle name="Normal 3 8 4 2 2 2" xfId="10409"/>
    <cellStyle name="Normal 3 8 4 2 3" xfId="9047"/>
    <cellStyle name="Normal 3 8 4 3" xfId="7030"/>
    <cellStyle name="Normal 3 8 4 3 2" xfId="9785"/>
    <cellStyle name="Normal 3 8 4 4" xfId="8423"/>
    <cellStyle name="Normal 3 8 5" xfId="3861"/>
    <cellStyle name="Normal 3 8 5 2" xfId="4487"/>
    <cellStyle name="Normal 3 8 5 2 2" xfId="7655"/>
    <cellStyle name="Normal 3 8 5 2 2 2" xfId="10410"/>
    <cellStyle name="Normal 3 8 5 2 3" xfId="9048"/>
    <cellStyle name="Normal 3 8 5 3" xfId="7031"/>
    <cellStyle name="Normal 3 8 5 3 2" xfId="9786"/>
    <cellStyle name="Normal 3 8 5 4" xfId="8424"/>
    <cellStyle name="Normal 3 8 6" xfId="4481"/>
    <cellStyle name="Normal 3 8 6 2" xfId="7649"/>
    <cellStyle name="Normal 3 8 6 2 2" xfId="10404"/>
    <cellStyle name="Normal 3 8 6 3" xfId="9042"/>
    <cellStyle name="Normal 3 8 7" xfId="7025"/>
    <cellStyle name="Normal 3 8 7 2" xfId="9780"/>
    <cellStyle name="Normal 3 8 8" xfId="8418"/>
    <cellStyle name="Normal 3 9" xfId="3862"/>
    <cellStyle name="Normal 3 9 2" xfId="3863"/>
    <cellStyle name="Normal 3 9 2 2" xfId="4489"/>
    <cellStyle name="Normal 3 9 2 2 2" xfId="7657"/>
    <cellStyle name="Normal 3 9 2 2 2 2" xfId="10412"/>
    <cellStyle name="Normal 3 9 2 2 3" xfId="9050"/>
    <cellStyle name="Normal 3 9 2 3" xfId="7033"/>
    <cellStyle name="Normal 3 9 2 3 2" xfId="9788"/>
    <cellStyle name="Normal 3 9 2 4" xfId="8426"/>
    <cellStyle name="Normal 3 9 3" xfId="3864"/>
    <cellStyle name="Normal 3 9 3 2" xfId="4490"/>
    <cellStyle name="Normal 3 9 3 2 2" xfId="7658"/>
    <cellStyle name="Normal 3 9 3 2 2 2" xfId="10413"/>
    <cellStyle name="Normal 3 9 3 2 3" xfId="9051"/>
    <cellStyle name="Normal 3 9 3 3" xfId="7034"/>
    <cellStyle name="Normal 3 9 3 3 2" xfId="9789"/>
    <cellStyle name="Normal 3 9 3 4" xfId="8427"/>
    <cellStyle name="Normal 3 9 4" xfId="4488"/>
    <cellStyle name="Normal 3 9 4 2" xfId="7656"/>
    <cellStyle name="Normal 3 9 4 2 2" xfId="10411"/>
    <cellStyle name="Normal 3 9 4 3" xfId="9049"/>
    <cellStyle name="Normal 3 9 5" xfId="7032"/>
    <cellStyle name="Normal 3 9 5 2" xfId="9787"/>
    <cellStyle name="Normal 3 9 6" xfId="8425"/>
    <cellStyle name="Normal 30" xfId="4736"/>
    <cellStyle name="Normal 31" xfId="4737"/>
    <cellStyle name="Normal 32" xfId="4738"/>
    <cellStyle name="Normal 33" xfId="3371"/>
    <cellStyle name="Normal 34" xfId="4739"/>
    <cellStyle name="Normal 34 2" xfId="9290"/>
    <cellStyle name="Normal 35" xfId="10657"/>
    <cellStyle name="Normal 36" xfId="10692"/>
    <cellStyle name="Normal 37" xfId="10694"/>
    <cellStyle name="Normal 4" xfId="986"/>
    <cellStyle name="Normal 4 2" xfId="987"/>
    <cellStyle name="Normal 4 2 2" xfId="2618"/>
    <cellStyle name="Normal 4 2 3" xfId="3448"/>
    <cellStyle name="Normal 4 3" xfId="3460"/>
    <cellStyle name="Normal 4 3 2" xfId="3476"/>
    <cellStyle name="Normal 4 3 2 2" xfId="4127"/>
    <cellStyle name="Normal 4 3 2 2 2" xfId="7295"/>
    <cellStyle name="Normal 4 3 2 2 2 2" xfId="10050"/>
    <cellStyle name="Normal 4 3 2 2 3" xfId="8688"/>
    <cellStyle name="Normal 4 3 2 3" xfId="6684"/>
    <cellStyle name="Normal 4 3 2 3 2" xfId="9439"/>
    <cellStyle name="Normal 4 3 2 4" xfId="8072"/>
    <cellStyle name="Normal 4 3 3" xfId="3492"/>
    <cellStyle name="Normal 4 3 3 2" xfId="4143"/>
    <cellStyle name="Normal 4 3 3 2 2" xfId="7311"/>
    <cellStyle name="Normal 4 3 3 2 2 2" xfId="10066"/>
    <cellStyle name="Normal 4 3 3 2 3" xfId="8704"/>
    <cellStyle name="Normal 4 3 3 3" xfId="6700"/>
    <cellStyle name="Normal 4 3 3 3 2" xfId="9455"/>
    <cellStyle name="Normal 4 3 3 4" xfId="8088"/>
    <cellStyle name="Normal 4 3 4" xfId="3518"/>
    <cellStyle name="Normal 4 3 5" xfId="4111"/>
    <cellStyle name="Normal 4 3 5 2" xfId="7279"/>
    <cellStyle name="Normal 4 3 5 2 2" xfId="10034"/>
    <cellStyle name="Normal 4 3 5 3" xfId="8672"/>
    <cellStyle name="Normal 4 3 6" xfId="5301"/>
    <cellStyle name="Normal 4 3 7" xfId="6668"/>
    <cellStyle name="Normal 4 3 7 2" xfId="9423"/>
    <cellStyle name="Normal 4 3 8" xfId="8056"/>
    <cellStyle name="Normal 4 4" xfId="3468"/>
    <cellStyle name="Normal 4 4 2" xfId="4119"/>
    <cellStyle name="Normal 4 4 2 2" xfId="7287"/>
    <cellStyle name="Normal 4 4 2 2 2" xfId="10042"/>
    <cellStyle name="Normal 4 4 2 3" xfId="8680"/>
    <cellStyle name="Normal 4 4 3" xfId="6676"/>
    <cellStyle name="Normal 4 4 3 2" xfId="9431"/>
    <cellStyle name="Normal 4 4 4" xfId="8064"/>
    <cellStyle name="Normal 4 5" xfId="3484"/>
    <cellStyle name="Normal 4 5 2" xfId="4135"/>
    <cellStyle name="Normal 4 5 2 2" xfId="7303"/>
    <cellStyle name="Normal 4 5 2 2 2" xfId="10058"/>
    <cellStyle name="Normal 4 5 2 3" xfId="8696"/>
    <cellStyle name="Normal 4 5 3" xfId="6692"/>
    <cellStyle name="Normal 4 5 3 2" xfId="9447"/>
    <cellStyle name="Normal 4 5 4" xfId="8080"/>
    <cellStyle name="Normal 4 6" xfId="3510"/>
    <cellStyle name="Normal 4 7" xfId="4103"/>
    <cellStyle name="Normal 4 7 2" xfId="7271"/>
    <cellStyle name="Normal 4 7 2 2" xfId="10026"/>
    <cellStyle name="Normal 4 7 3" xfId="8664"/>
    <cellStyle name="Normal 4 8" xfId="3384"/>
    <cellStyle name="Normal 4 8 2" xfId="6652"/>
    <cellStyle name="Normal 4 8 2 2" xfId="9415"/>
    <cellStyle name="Normal 4 8 3" xfId="8044"/>
    <cellStyle name="Normal 5" xfId="988"/>
    <cellStyle name="Normal 5 10" xfId="3866"/>
    <cellStyle name="Normal 5 10 2" xfId="4492"/>
    <cellStyle name="Normal 5 10 2 2" xfId="7660"/>
    <cellStyle name="Normal 5 10 2 2 2" xfId="10415"/>
    <cellStyle name="Normal 5 10 2 3" xfId="9053"/>
    <cellStyle name="Normal 5 10 3" xfId="7036"/>
    <cellStyle name="Normal 5 10 3 2" xfId="9791"/>
    <cellStyle name="Normal 5 10 4" xfId="8429"/>
    <cellStyle name="Normal 5 11" xfId="3867"/>
    <cellStyle name="Normal 5 11 2" xfId="4493"/>
    <cellStyle name="Normal 5 11 2 2" xfId="7661"/>
    <cellStyle name="Normal 5 11 2 2 2" xfId="10416"/>
    <cellStyle name="Normal 5 11 2 3" xfId="9054"/>
    <cellStyle name="Normal 5 11 3" xfId="7037"/>
    <cellStyle name="Normal 5 11 3 2" xfId="9792"/>
    <cellStyle name="Normal 5 11 4" xfId="8430"/>
    <cellStyle name="Normal 5 12" xfId="3868"/>
    <cellStyle name="Normal 5 12 2" xfId="4494"/>
    <cellStyle name="Normal 5 12 2 2" xfId="7662"/>
    <cellStyle name="Normal 5 12 2 2 2" xfId="10417"/>
    <cellStyle name="Normal 5 12 2 3" xfId="9055"/>
    <cellStyle name="Normal 5 12 3" xfId="7038"/>
    <cellStyle name="Normal 5 12 3 2" xfId="9793"/>
    <cellStyle name="Normal 5 12 4" xfId="8431"/>
    <cellStyle name="Normal 5 13" xfId="3865"/>
    <cellStyle name="Normal 5 13 2" xfId="4491"/>
    <cellStyle name="Normal 5 13 2 2" xfId="7659"/>
    <cellStyle name="Normal 5 13 2 2 2" xfId="10414"/>
    <cellStyle name="Normal 5 13 2 3" xfId="9052"/>
    <cellStyle name="Normal 5 13 3" xfId="7035"/>
    <cellStyle name="Normal 5 13 3 2" xfId="9790"/>
    <cellStyle name="Normal 5 13 4" xfId="8428"/>
    <cellStyle name="Normal 5 14" xfId="3502"/>
    <cellStyle name="Normal 5 15" xfId="3449"/>
    <cellStyle name="Normal 5 2" xfId="2070"/>
    <cellStyle name="Normal 5 2 2" xfId="2071"/>
    <cellStyle name="Normal 5 2 2 2" xfId="2072"/>
    <cellStyle name="Normal 5 2 2 2 2" xfId="4497"/>
    <cellStyle name="Normal 5 2 2 2 2 2" xfId="7665"/>
    <cellStyle name="Normal 5 2 2 2 2 2 2" xfId="10420"/>
    <cellStyle name="Normal 5 2 2 2 2 3" xfId="9058"/>
    <cellStyle name="Normal 5 2 2 2 3" xfId="3871"/>
    <cellStyle name="Normal 5 2 2 2 3 2" xfId="7041"/>
    <cellStyle name="Normal 5 2 2 2 3 2 2" xfId="9796"/>
    <cellStyle name="Normal 5 2 2 2 3 3" xfId="8434"/>
    <cellStyle name="Normal 5 2 2 3" xfId="3872"/>
    <cellStyle name="Normal 5 2 2 3 2" xfId="4498"/>
    <cellStyle name="Normal 5 2 2 3 2 2" xfId="7666"/>
    <cellStyle name="Normal 5 2 2 3 2 2 2" xfId="10421"/>
    <cellStyle name="Normal 5 2 2 3 2 3" xfId="9059"/>
    <cellStyle name="Normal 5 2 2 3 3" xfId="7042"/>
    <cellStyle name="Normal 5 2 2 3 3 2" xfId="9797"/>
    <cellStyle name="Normal 5 2 2 3 4" xfId="8435"/>
    <cellStyle name="Normal 5 2 2 4" xfId="4496"/>
    <cellStyle name="Normal 5 2 2 4 2" xfId="7664"/>
    <cellStyle name="Normal 5 2 2 4 2 2" xfId="10419"/>
    <cellStyle name="Normal 5 2 2 4 3" xfId="9057"/>
    <cellStyle name="Normal 5 2 2 5" xfId="3870"/>
    <cellStyle name="Normal 5 2 2 5 2" xfId="7040"/>
    <cellStyle name="Normal 5 2 2 5 2 2" xfId="9795"/>
    <cellStyle name="Normal 5 2 2 5 3" xfId="8433"/>
    <cellStyle name="Normal 5 2 3" xfId="3873"/>
    <cellStyle name="Normal 5 2 3 2" xfId="4499"/>
    <cellStyle name="Normal 5 2 3 2 2" xfId="7667"/>
    <cellStyle name="Normal 5 2 3 2 2 2" xfId="10422"/>
    <cellStyle name="Normal 5 2 3 2 3" xfId="9060"/>
    <cellStyle name="Normal 5 2 3 3" xfId="7043"/>
    <cellStyle name="Normal 5 2 3 3 2" xfId="9798"/>
    <cellStyle name="Normal 5 2 3 4" xfId="8436"/>
    <cellStyle name="Normal 5 2 4" xfId="3874"/>
    <cellStyle name="Normal 5 2 4 2" xfId="4500"/>
    <cellStyle name="Normal 5 2 4 2 2" xfId="7668"/>
    <cellStyle name="Normal 5 2 4 2 2 2" xfId="10423"/>
    <cellStyle name="Normal 5 2 4 2 3" xfId="9061"/>
    <cellStyle name="Normal 5 2 4 3" xfId="7044"/>
    <cellStyle name="Normal 5 2 4 3 2" xfId="9799"/>
    <cellStyle name="Normal 5 2 4 4" xfId="8437"/>
    <cellStyle name="Normal 5 2 5" xfId="3875"/>
    <cellStyle name="Normal 5 2 5 2" xfId="4501"/>
    <cellStyle name="Normal 5 2 5 2 2" xfId="7669"/>
    <cellStyle name="Normal 5 2 5 2 2 2" xfId="10424"/>
    <cellStyle name="Normal 5 2 5 2 3" xfId="9062"/>
    <cellStyle name="Normal 5 2 5 3" xfId="7045"/>
    <cellStyle name="Normal 5 2 5 3 2" xfId="9800"/>
    <cellStyle name="Normal 5 2 5 4" xfId="8438"/>
    <cellStyle name="Normal 5 2 6" xfId="3876"/>
    <cellStyle name="Normal 5 2 6 2" xfId="4502"/>
    <cellStyle name="Normal 5 2 6 2 2" xfId="7670"/>
    <cellStyle name="Normal 5 2 6 2 2 2" xfId="10425"/>
    <cellStyle name="Normal 5 2 6 2 3" xfId="9063"/>
    <cellStyle name="Normal 5 2 6 3" xfId="7046"/>
    <cellStyle name="Normal 5 2 6 3 2" xfId="9801"/>
    <cellStyle name="Normal 5 2 6 4" xfId="8439"/>
    <cellStyle name="Normal 5 2 7" xfId="3869"/>
    <cellStyle name="Normal 5 2 7 2" xfId="4495"/>
    <cellStyle name="Normal 5 2 7 2 2" xfId="7663"/>
    <cellStyle name="Normal 5 2 7 2 2 2" xfId="10418"/>
    <cellStyle name="Normal 5 2 7 2 3" xfId="9056"/>
    <cellStyle name="Normal 5 2 7 3" xfId="7039"/>
    <cellStyle name="Normal 5 2 7 3 2" xfId="9794"/>
    <cellStyle name="Normal 5 2 7 4" xfId="8432"/>
    <cellStyle name="Normal 5 2 8" xfId="3519"/>
    <cellStyle name="Normal 5 3" xfId="3877"/>
    <cellStyle name="Normal 5 3 2" xfId="3878"/>
    <cellStyle name="Normal 5 3 2 2" xfId="3879"/>
    <cellStyle name="Normal 5 3 2 2 2" xfId="4505"/>
    <cellStyle name="Normal 5 3 2 2 2 2" xfId="7673"/>
    <cellStyle name="Normal 5 3 2 2 2 2 2" xfId="10428"/>
    <cellStyle name="Normal 5 3 2 2 2 3" xfId="9066"/>
    <cellStyle name="Normal 5 3 2 2 3" xfId="7049"/>
    <cellStyle name="Normal 5 3 2 2 3 2" xfId="9804"/>
    <cellStyle name="Normal 5 3 2 2 4" xfId="8442"/>
    <cellStyle name="Normal 5 3 2 3" xfId="3880"/>
    <cellStyle name="Normal 5 3 2 3 2" xfId="4506"/>
    <cellStyle name="Normal 5 3 2 3 2 2" xfId="7674"/>
    <cellStyle name="Normal 5 3 2 3 2 2 2" xfId="10429"/>
    <cellStyle name="Normal 5 3 2 3 2 3" xfId="9067"/>
    <cellStyle name="Normal 5 3 2 3 3" xfId="7050"/>
    <cellStyle name="Normal 5 3 2 3 3 2" xfId="9805"/>
    <cellStyle name="Normal 5 3 2 3 4" xfId="8443"/>
    <cellStyle name="Normal 5 3 2 4" xfId="4504"/>
    <cellStyle name="Normal 5 3 2 4 2" xfId="7672"/>
    <cellStyle name="Normal 5 3 2 4 2 2" xfId="10427"/>
    <cellStyle name="Normal 5 3 2 4 3" xfId="9065"/>
    <cellStyle name="Normal 5 3 2 5" xfId="7048"/>
    <cellStyle name="Normal 5 3 2 5 2" xfId="9803"/>
    <cellStyle name="Normal 5 3 2 6" xfId="8441"/>
    <cellStyle name="Normal 5 3 3" xfId="3881"/>
    <cellStyle name="Normal 5 3 3 2" xfId="4507"/>
    <cellStyle name="Normal 5 3 3 2 2" xfId="7675"/>
    <cellStyle name="Normal 5 3 3 2 2 2" xfId="10430"/>
    <cellStyle name="Normal 5 3 3 2 3" xfId="9068"/>
    <cellStyle name="Normal 5 3 3 3" xfId="7051"/>
    <cellStyle name="Normal 5 3 3 3 2" xfId="9806"/>
    <cellStyle name="Normal 5 3 3 4" xfId="8444"/>
    <cellStyle name="Normal 5 3 4" xfId="3882"/>
    <cellStyle name="Normal 5 3 4 2" xfId="4508"/>
    <cellStyle name="Normal 5 3 4 2 2" xfId="7676"/>
    <cellStyle name="Normal 5 3 4 2 2 2" xfId="10431"/>
    <cellStyle name="Normal 5 3 4 2 3" xfId="9069"/>
    <cellStyle name="Normal 5 3 4 3" xfId="7052"/>
    <cellStyle name="Normal 5 3 4 3 2" xfId="9807"/>
    <cellStyle name="Normal 5 3 4 4" xfId="8445"/>
    <cellStyle name="Normal 5 3 5" xfId="3883"/>
    <cellStyle name="Normal 5 3 5 2" xfId="4509"/>
    <cellStyle name="Normal 5 3 5 2 2" xfId="7677"/>
    <cellStyle name="Normal 5 3 5 2 2 2" xfId="10432"/>
    <cellStyle name="Normal 5 3 5 2 3" xfId="9070"/>
    <cellStyle name="Normal 5 3 5 3" xfId="7053"/>
    <cellStyle name="Normal 5 3 5 3 2" xfId="9808"/>
    <cellStyle name="Normal 5 3 5 4" xfId="8446"/>
    <cellStyle name="Normal 5 3 6" xfId="3884"/>
    <cellStyle name="Normal 5 3 6 2" xfId="4510"/>
    <cellStyle name="Normal 5 3 6 2 2" xfId="7678"/>
    <cellStyle name="Normal 5 3 6 2 2 2" xfId="10433"/>
    <cellStyle name="Normal 5 3 6 2 3" xfId="9071"/>
    <cellStyle name="Normal 5 3 6 3" xfId="7054"/>
    <cellStyle name="Normal 5 3 6 3 2" xfId="9809"/>
    <cellStyle name="Normal 5 3 6 4" xfId="8447"/>
    <cellStyle name="Normal 5 3 7" xfId="4503"/>
    <cellStyle name="Normal 5 3 7 2" xfId="7671"/>
    <cellStyle name="Normal 5 3 7 2 2" xfId="10426"/>
    <cellStyle name="Normal 5 3 7 3" xfId="9064"/>
    <cellStyle name="Normal 5 3 8" xfId="7047"/>
    <cellStyle name="Normal 5 3 8 2" xfId="9802"/>
    <cellStyle name="Normal 5 3 9" xfId="8440"/>
    <cellStyle name="Normal 5 4" xfId="3885"/>
    <cellStyle name="Normal 5 4 2" xfId="3886"/>
    <cellStyle name="Normal 5 4 2 2" xfId="3887"/>
    <cellStyle name="Normal 5 4 2 2 2" xfId="4513"/>
    <cellStyle name="Normal 5 4 2 2 2 2" xfId="7681"/>
    <cellStyle name="Normal 5 4 2 2 2 2 2" xfId="10436"/>
    <cellStyle name="Normal 5 4 2 2 2 3" xfId="9074"/>
    <cellStyle name="Normal 5 4 2 2 3" xfId="7057"/>
    <cellStyle name="Normal 5 4 2 2 3 2" xfId="9812"/>
    <cellStyle name="Normal 5 4 2 2 4" xfId="8450"/>
    <cellStyle name="Normal 5 4 2 3" xfId="3888"/>
    <cellStyle name="Normal 5 4 2 3 2" xfId="4514"/>
    <cellStyle name="Normal 5 4 2 3 2 2" xfId="7682"/>
    <cellStyle name="Normal 5 4 2 3 2 2 2" xfId="10437"/>
    <cellStyle name="Normal 5 4 2 3 2 3" xfId="9075"/>
    <cellStyle name="Normal 5 4 2 3 3" xfId="7058"/>
    <cellStyle name="Normal 5 4 2 3 3 2" xfId="9813"/>
    <cellStyle name="Normal 5 4 2 3 4" xfId="8451"/>
    <cellStyle name="Normal 5 4 2 4" xfId="4512"/>
    <cellStyle name="Normal 5 4 2 4 2" xfId="7680"/>
    <cellStyle name="Normal 5 4 2 4 2 2" xfId="10435"/>
    <cellStyle name="Normal 5 4 2 4 3" xfId="9073"/>
    <cellStyle name="Normal 5 4 2 5" xfId="7056"/>
    <cellStyle name="Normal 5 4 2 5 2" xfId="9811"/>
    <cellStyle name="Normal 5 4 2 6" xfId="8449"/>
    <cellStyle name="Normal 5 4 3" xfId="3889"/>
    <cellStyle name="Normal 5 4 3 2" xfId="4515"/>
    <cellStyle name="Normal 5 4 3 2 2" xfId="7683"/>
    <cellStyle name="Normal 5 4 3 2 2 2" xfId="10438"/>
    <cellStyle name="Normal 5 4 3 2 3" xfId="9076"/>
    <cellStyle name="Normal 5 4 3 3" xfId="7059"/>
    <cellStyle name="Normal 5 4 3 3 2" xfId="9814"/>
    <cellStyle name="Normal 5 4 3 4" xfId="8452"/>
    <cellStyle name="Normal 5 4 4" xfId="3890"/>
    <cellStyle name="Normal 5 4 4 2" xfId="4516"/>
    <cellStyle name="Normal 5 4 4 2 2" xfId="7684"/>
    <cellStyle name="Normal 5 4 4 2 2 2" xfId="10439"/>
    <cellStyle name="Normal 5 4 4 2 3" xfId="9077"/>
    <cellStyle name="Normal 5 4 4 3" xfId="7060"/>
    <cellStyle name="Normal 5 4 4 3 2" xfId="9815"/>
    <cellStyle name="Normal 5 4 4 4" xfId="8453"/>
    <cellStyle name="Normal 5 4 5" xfId="3891"/>
    <cellStyle name="Normal 5 4 5 2" xfId="4517"/>
    <cellStyle name="Normal 5 4 5 2 2" xfId="7685"/>
    <cellStyle name="Normal 5 4 5 2 2 2" xfId="10440"/>
    <cellStyle name="Normal 5 4 5 2 3" xfId="9078"/>
    <cellStyle name="Normal 5 4 5 3" xfId="7061"/>
    <cellStyle name="Normal 5 4 5 3 2" xfId="9816"/>
    <cellStyle name="Normal 5 4 5 4" xfId="8454"/>
    <cellStyle name="Normal 5 4 6" xfId="4511"/>
    <cellStyle name="Normal 5 4 6 2" xfId="7679"/>
    <cellStyle name="Normal 5 4 6 2 2" xfId="10434"/>
    <cellStyle name="Normal 5 4 6 3" xfId="9072"/>
    <cellStyle name="Normal 5 4 7" xfId="7055"/>
    <cellStyle name="Normal 5 4 7 2" xfId="9810"/>
    <cellStyle name="Normal 5 4 8" xfId="8448"/>
    <cellStyle name="Normal 5 5" xfId="3892"/>
    <cellStyle name="Normal 5 5 2" xfId="3893"/>
    <cellStyle name="Normal 5 5 2 2" xfId="3894"/>
    <cellStyle name="Normal 5 5 2 2 2" xfId="4520"/>
    <cellStyle name="Normal 5 5 2 2 2 2" xfId="7688"/>
    <cellStyle name="Normal 5 5 2 2 2 2 2" xfId="10443"/>
    <cellStyle name="Normal 5 5 2 2 2 3" xfId="9081"/>
    <cellStyle name="Normal 5 5 2 2 3" xfId="7064"/>
    <cellStyle name="Normal 5 5 2 2 3 2" xfId="9819"/>
    <cellStyle name="Normal 5 5 2 2 4" xfId="8457"/>
    <cellStyle name="Normal 5 5 2 3" xfId="3895"/>
    <cellStyle name="Normal 5 5 2 3 2" xfId="4521"/>
    <cellStyle name="Normal 5 5 2 3 2 2" xfId="7689"/>
    <cellStyle name="Normal 5 5 2 3 2 2 2" xfId="10444"/>
    <cellStyle name="Normal 5 5 2 3 2 3" xfId="9082"/>
    <cellStyle name="Normal 5 5 2 3 3" xfId="7065"/>
    <cellStyle name="Normal 5 5 2 3 3 2" xfId="9820"/>
    <cellStyle name="Normal 5 5 2 3 4" xfId="8458"/>
    <cellStyle name="Normal 5 5 2 4" xfId="4519"/>
    <cellStyle name="Normal 5 5 2 4 2" xfId="7687"/>
    <cellStyle name="Normal 5 5 2 4 2 2" xfId="10442"/>
    <cellStyle name="Normal 5 5 2 4 3" xfId="9080"/>
    <cellStyle name="Normal 5 5 2 5" xfId="7063"/>
    <cellStyle name="Normal 5 5 2 5 2" xfId="9818"/>
    <cellStyle name="Normal 5 5 2 6" xfId="8456"/>
    <cellStyle name="Normal 5 5 3" xfId="3896"/>
    <cellStyle name="Normal 5 5 3 2" xfId="4522"/>
    <cellStyle name="Normal 5 5 3 2 2" xfId="7690"/>
    <cellStyle name="Normal 5 5 3 2 2 2" xfId="10445"/>
    <cellStyle name="Normal 5 5 3 2 3" xfId="9083"/>
    <cellStyle name="Normal 5 5 3 3" xfId="7066"/>
    <cellStyle name="Normal 5 5 3 3 2" xfId="9821"/>
    <cellStyle name="Normal 5 5 3 4" xfId="8459"/>
    <cellStyle name="Normal 5 5 4" xfId="3897"/>
    <cellStyle name="Normal 5 5 4 2" xfId="4523"/>
    <cellStyle name="Normal 5 5 4 2 2" xfId="7691"/>
    <cellStyle name="Normal 5 5 4 2 2 2" xfId="10446"/>
    <cellStyle name="Normal 5 5 4 2 3" xfId="9084"/>
    <cellStyle name="Normal 5 5 4 3" xfId="7067"/>
    <cellStyle name="Normal 5 5 4 3 2" xfId="9822"/>
    <cellStyle name="Normal 5 5 4 4" xfId="8460"/>
    <cellStyle name="Normal 5 5 5" xfId="3898"/>
    <cellStyle name="Normal 5 5 5 2" xfId="4524"/>
    <cellStyle name="Normal 5 5 5 2 2" xfId="7692"/>
    <cellStyle name="Normal 5 5 5 2 2 2" xfId="10447"/>
    <cellStyle name="Normal 5 5 5 2 3" xfId="9085"/>
    <cellStyle name="Normal 5 5 5 3" xfId="7068"/>
    <cellStyle name="Normal 5 5 5 3 2" xfId="9823"/>
    <cellStyle name="Normal 5 5 5 4" xfId="8461"/>
    <cellStyle name="Normal 5 5 6" xfId="4518"/>
    <cellStyle name="Normal 5 5 6 2" xfId="7686"/>
    <cellStyle name="Normal 5 5 6 2 2" xfId="10441"/>
    <cellStyle name="Normal 5 5 6 3" xfId="9079"/>
    <cellStyle name="Normal 5 5 7" xfId="7062"/>
    <cellStyle name="Normal 5 5 7 2" xfId="9817"/>
    <cellStyle name="Normal 5 5 8" xfId="8455"/>
    <cellStyle name="Normal 5 6" xfId="3899"/>
    <cellStyle name="Normal 5 6 2" xfId="3900"/>
    <cellStyle name="Normal 5 6 2 2" xfId="3901"/>
    <cellStyle name="Normal 5 6 2 2 2" xfId="4527"/>
    <cellStyle name="Normal 5 6 2 2 2 2" xfId="7695"/>
    <cellStyle name="Normal 5 6 2 2 2 2 2" xfId="10450"/>
    <cellStyle name="Normal 5 6 2 2 2 3" xfId="9088"/>
    <cellStyle name="Normal 5 6 2 2 3" xfId="7071"/>
    <cellStyle name="Normal 5 6 2 2 3 2" xfId="9826"/>
    <cellStyle name="Normal 5 6 2 2 4" xfId="8464"/>
    <cellStyle name="Normal 5 6 2 3" xfId="3902"/>
    <cellStyle name="Normal 5 6 2 3 2" xfId="4528"/>
    <cellStyle name="Normal 5 6 2 3 2 2" xfId="7696"/>
    <cellStyle name="Normal 5 6 2 3 2 2 2" xfId="10451"/>
    <cellStyle name="Normal 5 6 2 3 2 3" xfId="9089"/>
    <cellStyle name="Normal 5 6 2 3 3" xfId="7072"/>
    <cellStyle name="Normal 5 6 2 3 3 2" xfId="9827"/>
    <cellStyle name="Normal 5 6 2 3 4" xfId="8465"/>
    <cellStyle name="Normal 5 6 2 4" xfId="4526"/>
    <cellStyle name="Normal 5 6 2 4 2" xfId="7694"/>
    <cellStyle name="Normal 5 6 2 4 2 2" xfId="10449"/>
    <cellStyle name="Normal 5 6 2 4 3" xfId="9087"/>
    <cellStyle name="Normal 5 6 2 5" xfId="7070"/>
    <cellStyle name="Normal 5 6 2 5 2" xfId="9825"/>
    <cellStyle name="Normal 5 6 2 6" xfId="8463"/>
    <cellStyle name="Normal 5 6 3" xfId="3903"/>
    <cellStyle name="Normal 5 6 3 2" xfId="4529"/>
    <cellStyle name="Normal 5 6 3 2 2" xfId="7697"/>
    <cellStyle name="Normal 5 6 3 2 2 2" xfId="10452"/>
    <cellStyle name="Normal 5 6 3 2 3" xfId="9090"/>
    <cellStyle name="Normal 5 6 3 3" xfId="7073"/>
    <cellStyle name="Normal 5 6 3 3 2" xfId="9828"/>
    <cellStyle name="Normal 5 6 3 4" xfId="8466"/>
    <cellStyle name="Normal 5 6 4" xfId="3904"/>
    <cellStyle name="Normal 5 6 4 2" xfId="4530"/>
    <cellStyle name="Normal 5 6 4 2 2" xfId="7698"/>
    <cellStyle name="Normal 5 6 4 2 2 2" xfId="10453"/>
    <cellStyle name="Normal 5 6 4 2 3" xfId="9091"/>
    <cellStyle name="Normal 5 6 4 3" xfId="7074"/>
    <cellStyle name="Normal 5 6 4 3 2" xfId="9829"/>
    <cellStyle name="Normal 5 6 4 4" xfId="8467"/>
    <cellStyle name="Normal 5 6 5" xfId="3905"/>
    <cellStyle name="Normal 5 6 5 2" xfId="4531"/>
    <cellStyle name="Normal 5 6 5 2 2" xfId="7699"/>
    <cellStyle name="Normal 5 6 5 2 2 2" xfId="10454"/>
    <cellStyle name="Normal 5 6 5 2 3" xfId="9092"/>
    <cellStyle name="Normal 5 6 5 3" xfId="7075"/>
    <cellStyle name="Normal 5 6 5 3 2" xfId="9830"/>
    <cellStyle name="Normal 5 6 5 4" xfId="8468"/>
    <cellStyle name="Normal 5 6 6" xfId="4525"/>
    <cellStyle name="Normal 5 6 6 2" xfId="7693"/>
    <cellStyle name="Normal 5 6 6 2 2" xfId="10448"/>
    <cellStyle name="Normal 5 6 6 3" xfId="9086"/>
    <cellStyle name="Normal 5 6 7" xfId="7069"/>
    <cellStyle name="Normal 5 6 7 2" xfId="9824"/>
    <cellStyle name="Normal 5 6 8" xfId="8462"/>
    <cellStyle name="Normal 5 7" xfId="3906"/>
    <cellStyle name="Normal 5 7 2" xfId="3907"/>
    <cellStyle name="Normal 5 7 2 2" xfId="3908"/>
    <cellStyle name="Normal 5 7 2 2 2" xfId="4534"/>
    <cellStyle name="Normal 5 7 2 2 2 2" xfId="7702"/>
    <cellStyle name="Normal 5 7 2 2 2 2 2" xfId="10457"/>
    <cellStyle name="Normal 5 7 2 2 2 3" xfId="9095"/>
    <cellStyle name="Normal 5 7 2 2 3" xfId="7078"/>
    <cellStyle name="Normal 5 7 2 2 3 2" xfId="9833"/>
    <cellStyle name="Normal 5 7 2 2 4" xfId="8471"/>
    <cellStyle name="Normal 5 7 2 3" xfId="3909"/>
    <cellStyle name="Normal 5 7 2 3 2" xfId="4535"/>
    <cellStyle name="Normal 5 7 2 3 2 2" xfId="7703"/>
    <cellStyle name="Normal 5 7 2 3 2 2 2" xfId="10458"/>
    <cellStyle name="Normal 5 7 2 3 2 3" xfId="9096"/>
    <cellStyle name="Normal 5 7 2 3 3" xfId="7079"/>
    <cellStyle name="Normal 5 7 2 3 3 2" xfId="9834"/>
    <cellStyle name="Normal 5 7 2 3 4" xfId="8472"/>
    <cellStyle name="Normal 5 7 2 4" xfId="4533"/>
    <cellStyle name="Normal 5 7 2 4 2" xfId="7701"/>
    <cellStyle name="Normal 5 7 2 4 2 2" xfId="10456"/>
    <cellStyle name="Normal 5 7 2 4 3" xfId="9094"/>
    <cellStyle name="Normal 5 7 2 5" xfId="7077"/>
    <cellStyle name="Normal 5 7 2 5 2" xfId="9832"/>
    <cellStyle name="Normal 5 7 2 6" xfId="8470"/>
    <cellStyle name="Normal 5 7 3" xfId="3910"/>
    <cellStyle name="Normal 5 7 3 2" xfId="4536"/>
    <cellStyle name="Normal 5 7 3 2 2" xfId="7704"/>
    <cellStyle name="Normal 5 7 3 2 2 2" xfId="10459"/>
    <cellStyle name="Normal 5 7 3 2 3" xfId="9097"/>
    <cellStyle name="Normal 5 7 3 3" xfId="7080"/>
    <cellStyle name="Normal 5 7 3 3 2" xfId="9835"/>
    <cellStyle name="Normal 5 7 3 4" xfId="8473"/>
    <cellStyle name="Normal 5 7 4" xfId="3911"/>
    <cellStyle name="Normal 5 7 4 2" xfId="4537"/>
    <cellStyle name="Normal 5 7 4 2 2" xfId="7705"/>
    <cellStyle name="Normal 5 7 4 2 2 2" xfId="10460"/>
    <cellStyle name="Normal 5 7 4 2 3" xfId="9098"/>
    <cellStyle name="Normal 5 7 4 3" xfId="7081"/>
    <cellStyle name="Normal 5 7 4 3 2" xfId="9836"/>
    <cellStyle name="Normal 5 7 4 4" xfId="8474"/>
    <cellStyle name="Normal 5 7 5" xfId="3912"/>
    <cellStyle name="Normal 5 7 5 2" xfId="4538"/>
    <cellStyle name="Normal 5 7 5 2 2" xfId="7706"/>
    <cellStyle name="Normal 5 7 5 2 2 2" xfId="10461"/>
    <cellStyle name="Normal 5 7 5 2 3" xfId="9099"/>
    <cellStyle name="Normal 5 7 5 3" xfId="7082"/>
    <cellStyle name="Normal 5 7 5 3 2" xfId="9837"/>
    <cellStyle name="Normal 5 7 5 4" xfId="8475"/>
    <cellStyle name="Normal 5 7 6" xfId="4532"/>
    <cellStyle name="Normal 5 7 6 2" xfId="7700"/>
    <cellStyle name="Normal 5 7 6 2 2" xfId="10455"/>
    <cellStyle name="Normal 5 7 6 3" xfId="9093"/>
    <cellStyle name="Normal 5 7 7" xfId="7076"/>
    <cellStyle name="Normal 5 7 7 2" xfId="9831"/>
    <cellStyle name="Normal 5 7 8" xfId="8469"/>
    <cellStyle name="Normal 5 8" xfId="3913"/>
    <cellStyle name="Normal 5 8 2" xfId="3914"/>
    <cellStyle name="Normal 5 8 2 2" xfId="4540"/>
    <cellStyle name="Normal 5 8 2 2 2" xfId="7708"/>
    <cellStyle name="Normal 5 8 2 2 2 2" xfId="10463"/>
    <cellStyle name="Normal 5 8 2 2 3" xfId="9101"/>
    <cellStyle name="Normal 5 8 2 3" xfId="7084"/>
    <cellStyle name="Normal 5 8 2 3 2" xfId="9839"/>
    <cellStyle name="Normal 5 8 2 4" xfId="8477"/>
    <cellStyle name="Normal 5 8 3" xfId="3915"/>
    <cellStyle name="Normal 5 8 3 2" xfId="4541"/>
    <cellStyle name="Normal 5 8 3 2 2" xfId="7709"/>
    <cellStyle name="Normal 5 8 3 2 2 2" xfId="10464"/>
    <cellStyle name="Normal 5 8 3 2 3" xfId="9102"/>
    <cellStyle name="Normal 5 8 3 3" xfId="7085"/>
    <cellStyle name="Normal 5 8 3 3 2" xfId="9840"/>
    <cellStyle name="Normal 5 8 3 4" xfId="8478"/>
    <cellStyle name="Normal 5 8 4" xfId="4539"/>
    <cellStyle name="Normal 5 8 4 2" xfId="7707"/>
    <cellStyle name="Normal 5 8 4 2 2" xfId="10462"/>
    <cellStyle name="Normal 5 8 4 3" xfId="9100"/>
    <cellStyle name="Normal 5 8 5" xfId="7083"/>
    <cellStyle name="Normal 5 8 5 2" xfId="9838"/>
    <cellStyle name="Normal 5 8 6" xfId="8476"/>
    <cellStyle name="Normal 5 9" xfId="3916"/>
    <cellStyle name="Normal 5 9 2" xfId="3917"/>
    <cellStyle name="Normal 5 9 2 2" xfId="4543"/>
    <cellStyle name="Normal 5 9 2 2 2" xfId="7711"/>
    <cellStyle name="Normal 5 9 2 2 2 2" xfId="10466"/>
    <cellStyle name="Normal 5 9 2 2 3" xfId="9104"/>
    <cellStyle name="Normal 5 9 2 3" xfId="7087"/>
    <cellStyle name="Normal 5 9 2 3 2" xfId="9842"/>
    <cellStyle name="Normal 5 9 2 4" xfId="8480"/>
    <cellStyle name="Normal 5 9 3" xfId="4542"/>
    <cellStyle name="Normal 5 9 3 2" xfId="7710"/>
    <cellStyle name="Normal 5 9 3 2 2" xfId="10465"/>
    <cellStyle name="Normal 5 9 3 3" xfId="9103"/>
    <cellStyle name="Normal 5 9 4" xfId="7086"/>
    <cellStyle name="Normal 5 9 4 2" xfId="9841"/>
    <cellStyle name="Normal 5 9 5" xfId="8479"/>
    <cellStyle name="Normal 6" xfId="989"/>
    <cellStyle name="Normal 6 10" xfId="3919"/>
    <cellStyle name="Normal 6 10 2" xfId="4545"/>
    <cellStyle name="Normal 6 10 2 2" xfId="7713"/>
    <cellStyle name="Normal 6 10 2 2 2" xfId="10468"/>
    <cellStyle name="Normal 6 10 2 3" xfId="9106"/>
    <cellStyle name="Normal 6 10 3" xfId="7089"/>
    <cellStyle name="Normal 6 10 3 2" xfId="9844"/>
    <cellStyle name="Normal 6 10 4" xfId="8482"/>
    <cellStyle name="Normal 6 11" xfId="3920"/>
    <cellStyle name="Normal 6 11 2" xfId="4546"/>
    <cellStyle name="Normal 6 11 2 2" xfId="7714"/>
    <cellStyle name="Normal 6 11 2 2 2" xfId="10469"/>
    <cellStyle name="Normal 6 11 2 3" xfId="9107"/>
    <cellStyle name="Normal 6 11 3" xfId="7090"/>
    <cellStyle name="Normal 6 11 3 2" xfId="9845"/>
    <cellStyle name="Normal 6 11 4" xfId="8483"/>
    <cellStyle name="Normal 6 12" xfId="3921"/>
    <cellStyle name="Normal 6 12 2" xfId="4547"/>
    <cellStyle name="Normal 6 12 2 2" xfId="7715"/>
    <cellStyle name="Normal 6 12 2 2 2" xfId="10470"/>
    <cellStyle name="Normal 6 12 2 3" xfId="9108"/>
    <cellStyle name="Normal 6 12 3" xfId="7091"/>
    <cellStyle name="Normal 6 12 3 2" xfId="9846"/>
    <cellStyle name="Normal 6 12 4" xfId="8484"/>
    <cellStyle name="Normal 6 13" xfId="3918"/>
    <cellStyle name="Normal 6 13 2" xfId="4544"/>
    <cellStyle name="Normal 6 13 2 2" xfId="7712"/>
    <cellStyle name="Normal 6 13 2 2 2" xfId="10467"/>
    <cellStyle name="Normal 6 13 2 3" xfId="9105"/>
    <cellStyle name="Normal 6 13 3" xfId="7088"/>
    <cellStyle name="Normal 6 13 3 2" xfId="9843"/>
    <cellStyle name="Normal 6 13 4" xfId="8481"/>
    <cellStyle name="Normal 6 14" xfId="4104"/>
    <cellStyle name="Normal 6 14 2" xfId="7272"/>
    <cellStyle name="Normal 6 14 2 2" xfId="10027"/>
    <cellStyle name="Normal 6 14 3" xfId="8665"/>
    <cellStyle name="Normal 6 15" xfId="3385"/>
    <cellStyle name="Normal 6 15 2" xfId="6653"/>
    <cellStyle name="Normal 6 15 2 2" xfId="9416"/>
    <cellStyle name="Normal 6 15 3" xfId="8045"/>
    <cellStyle name="Normal 6 16" xfId="6226"/>
    <cellStyle name="Normal 6 16 2" xfId="9342"/>
    <cellStyle name="Normal 6 17" xfId="7917"/>
    <cellStyle name="Normal 6 2" xfId="990"/>
    <cellStyle name="Normal 6 2 2" xfId="2620"/>
    <cellStyle name="Normal 6 2 2 2" xfId="3924"/>
    <cellStyle name="Normal 6 2 2 2 2" xfId="4550"/>
    <cellStyle name="Normal 6 2 2 2 2 2" xfId="7718"/>
    <cellStyle name="Normal 6 2 2 2 2 2 2" xfId="10473"/>
    <cellStyle name="Normal 6 2 2 2 2 3" xfId="9111"/>
    <cellStyle name="Normal 6 2 2 2 3" xfId="7094"/>
    <cellStyle name="Normal 6 2 2 2 3 2" xfId="9849"/>
    <cellStyle name="Normal 6 2 2 2 4" xfId="8487"/>
    <cellStyle name="Normal 6 2 2 3" xfId="3925"/>
    <cellStyle name="Normal 6 2 2 3 2" xfId="4551"/>
    <cellStyle name="Normal 6 2 2 3 2 2" xfId="7719"/>
    <cellStyle name="Normal 6 2 2 3 2 2 2" xfId="10474"/>
    <cellStyle name="Normal 6 2 2 3 2 3" xfId="9112"/>
    <cellStyle name="Normal 6 2 2 3 3" xfId="7095"/>
    <cellStyle name="Normal 6 2 2 3 3 2" xfId="9850"/>
    <cellStyle name="Normal 6 2 2 3 4" xfId="8488"/>
    <cellStyle name="Normal 6 2 2 4" xfId="3923"/>
    <cellStyle name="Normal 6 2 2 4 2" xfId="4549"/>
    <cellStyle name="Normal 6 2 2 4 2 2" xfId="7717"/>
    <cellStyle name="Normal 6 2 2 4 2 2 2" xfId="10472"/>
    <cellStyle name="Normal 6 2 2 4 2 3" xfId="9110"/>
    <cellStyle name="Normal 6 2 2 4 3" xfId="7093"/>
    <cellStyle name="Normal 6 2 2 4 3 2" xfId="9848"/>
    <cellStyle name="Normal 6 2 2 4 4" xfId="8486"/>
    <cellStyle name="Normal 6 2 2 5" xfId="4128"/>
    <cellStyle name="Normal 6 2 2 5 2" xfId="7296"/>
    <cellStyle name="Normal 6 2 2 5 2 2" xfId="10051"/>
    <cellStyle name="Normal 6 2 2 5 3" xfId="8689"/>
    <cellStyle name="Normal 6 2 2 6" xfId="3477"/>
    <cellStyle name="Normal 6 2 2 6 2" xfId="6685"/>
    <cellStyle name="Normal 6 2 2 6 2 2" xfId="9440"/>
    <cellStyle name="Normal 6 2 2 6 3" xfId="8073"/>
    <cellStyle name="Normal 6 2 3" xfId="3329"/>
    <cellStyle name="Normal 6 2 3 2" xfId="3926"/>
    <cellStyle name="Normal 6 2 3 2 2" xfId="4552"/>
    <cellStyle name="Normal 6 2 3 2 2 2" xfId="7720"/>
    <cellStyle name="Normal 6 2 3 2 2 2 2" xfId="10475"/>
    <cellStyle name="Normal 6 2 3 2 2 3" xfId="9113"/>
    <cellStyle name="Normal 6 2 3 2 3" xfId="7096"/>
    <cellStyle name="Normal 6 2 3 2 3 2" xfId="9851"/>
    <cellStyle name="Normal 6 2 3 2 4" xfId="8489"/>
    <cellStyle name="Normal 6 2 3 3" xfId="4144"/>
    <cellStyle name="Normal 6 2 3 3 2" xfId="7312"/>
    <cellStyle name="Normal 6 2 3 3 2 2" xfId="10067"/>
    <cellStyle name="Normal 6 2 3 3 3" xfId="8705"/>
    <cellStyle name="Normal 6 2 3 4" xfId="3493"/>
    <cellStyle name="Normal 6 2 3 4 2" xfId="6701"/>
    <cellStyle name="Normal 6 2 3 4 2 2" xfId="9456"/>
    <cellStyle name="Normal 6 2 3 4 3" xfId="8089"/>
    <cellStyle name="Normal 6 2 3 5" xfId="6633"/>
    <cellStyle name="Normal 6 2 3 5 2" xfId="9397"/>
    <cellStyle name="Normal 6 2 3 6" xfId="8026"/>
    <cellStyle name="Normal 6 2 4" xfId="3927"/>
    <cellStyle name="Normal 6 2 4 2" xfId="4553"/>
    <cellStyle name="Normal 6 2 4 2 2" xfId="7721"/>
    <cellStyle name="Normal 6 2 4 2 2 2" xfId="10476"/>
    <cellStyle name="Normal 6 2 4 2 3" xfId="9114"/>
    <cellStyle name="Normal 6 2 4 3" xfId="7097"/>
    <cellStyle name="Normal 6 2 4 3 2" xfId="9852"/>
    <cellStyle name="Normal 6 2 4 4" xfId="8490"/>
    <cellStyle name="Normal 6 2 5" xfId="3928"/>
    <cellStyle name="Normal 6 2 5 2" xfId="4554"/>
    <cellStyle name="Normal 6 2 5 2 2" xfId="7722"/>
    <cellStyle name="Normal 6 2 5 2 2 2" xfId="10477"/>
    <cellStyle name="Normal 6 2 5 2 3" xfId="9115"/>
    <cellStyle name="Normal 6 2 5 3" xfId="7098"/>
    <cellStyle name="Normal 6 2 5 3 2" xfId="9853"/>
    <cellStyle name="Normal 6 2 5 4" xfId="8491"/>
    <cellStyle name="Normal 6 2 6" xfId="3929"/>
    <cellStyle name="Normal 6 2 6 2" xfId="4555"/>
    <cellStyle name="Normal 6 2 6 2 2" xfId="7723"/>
    <cellStyle name="Normal 6 2 6 2 2 2" xfId="10478"/>
    <cellStyle name="Normal 6 2 6 2 3" xfId="9116"/>
    <cellStyle name="Normal 6 2 6 3" xfId="7099"/>
    <cellStyle name="Normal 6 2 6 3 2" xfId="9854"/>
    <cellStyle name="Normal 6 2 6 4" xfId="8492"/>
    <cellStyle name="Normal 6 2 7" xfId="3922"/>
    <cellStyle name="Normal 6 2 7 2" xfId="4548"/>
    <cellStyle name="Normal 6 2 7 2 2" xfId="7716"/>
    <cellStyle name="Normal 6 2 7 2 2 2" xfId="10471"/>
    <cellStyle name="Normal 6 2 7 2 3" xfId="9109"/>
    <cellStyle name="Normal 6 2 7 3" xfId="7092"/>
    <cellStyle name="Normal 6 2 7 3 2" xfId="9847"/>
    <cellStyle name="Normal 6 2 7 4" xfId="8485"/>
    <cellStyle name="Normal 6 2 8" xfId="4112"/>
    <cellStyle name="Normal 6 2 8 2" xfId="7280"/>
    <cellStyle name="Normal 6 2 8 2 2" xfId="10035"/>
    <cellStyle name="Normal 6 2 8 3" xfId="8673"/>
    <cellStyle name="Normal 6 2 9" xfId="3461"/>
    <cellStyle name="Normal 6 2 9 2" xfId="6669"/>
    <cellStyle name="Normal 6 2 9 2 2" xfId="9424"/>
    <cellStyle name="Normal 6 2 9 3" xfId="8057"/>
    <cellStyle name="Normal 6 3" xfId="2619"/>
    <cellStyle name="Normal 6 3 10" xfId="5673"/>
    <cellStyle name="Normal 6 3 10 2" xfId="9323"/>
    <cellStyle name="Normal 6 3 11" xfId="6595"/>
    <cellStyle name="Normal 6 3 11 2" xfId="9359"/>
    <cellStyle name="Normal 6 3 12" xfId="7971"/>
    <cellStyle name="Normal 6 3 2" xfId="3307"/>
    <cellStyle name="Normal 6 3 2 2" xfId="3932"/>
    <cellStyle name="Normal 6 3 2 2 2" xfId="4558"/>
    <cellStyle name="Normal 6 3 2 2 2 2" xfId="7726"/>
    <cellStyle name="Normal 6 3 2 2 2 2 2" xfId="10481"/>
    <cellStyle name="Normal 6 3 2 2 2 3" xfId="9119"/>
    <cellStyle name="Normal 6 3 2 2 3" xfId="7102"/>
    <cellStyle name="Normal 6 3 2 2 3 2" xfId="9857"/>
    <cellStyle name="Normal 6 3 2 2 4" xfId="8495"/>
    <cellStyle name="Normal 6 3 2 3" xfId="3933"/>
    <cellStyle name="Normal 6 3 2 3 2" xfId="4559"/>
    <cellStyle name="Normal 6 3 2 3 2 2" xfId="7727"/>
    <cellStyle name="Normal 6 3 2 3 2 2 2" xfId="10482"/>
    <cellStyle name="Normal 6 3 2 3 2 3" xfId="9120"/>
    <cellStyle name="Normal 6 3 2 3 3" xfId="7103"/>
    <cellStyle name="Normal 6 3 2 3 3 2" xfId="9858"/>
    <cellStyle name="Normal 6 3 2 3 4" xfId="8496"/>
    <cellStyle name="Normal 6 3 2 4" xfId="4557"/>
    <cellStyle name="Normal 6 3 2 4 2" xfId="7725"/>
    <cellStyle name="Normal 6 3 2 4 2 2" xfId="10480"/>
    <cellStyle name="Normal 6 3 2 4 3" xfId="9118"/>
    <cellStyle name="Normal 6 3 2 5" xfId="3931"/>
    <cellStyle name="Normal 6 3 2 5 2" xfId="7101"/>
    <cellStyle name="Normal 6 3 2 5 2 2" xfId="9856"/>
    <cellStyle name="Normal 6 3 2 5 3" xfId="8494"/>
    <cellStyle name="Normal 6 3 2 6" xfId="6616"/>
    <cellStyle name="Normal 6 3 2 6 2" xfId="9380"/>
    <cellStyle name="Normal 6 3 2 7" xfId="8009"/>
    <cellStyle name="Normal 6 3 3" xfId="3934"/>
    <cellStyle name="Normal 6 3 3 2" xfId="4560"/>
    <cellStyle name="Normal 6 3 3 2 2" xfId="7728"/>
    <cellStyle name="Normal 6 3 3 2 2 2" xfId="10483"/>
    <cellStyle name="Normal 6 3 3 2 3" xfId="9121"/>
    <cellStyle name="Normal 6 3 3 3" xfId="7104"/>
    <cellStyle name="Normal 6 3 3 3 2" xfId="9859"/>
    <cellStyle name="Normal 6 3 3 4" xfId="8497"/>
    <cellStyle name="Normal 6 3 4" xfId="3935"/>
    <cellStyle name="Normal 6 3 4 2" xfId="4561"/>
    <cellStyle name="Normal 6 3 4 2 2" xfId="7729"/>
    <cellStyle name="Normal 6 3 4 2 2 2" xfId="10484"/>
    <cellStyle name="Normal 6 3 4 2 3" xfId="9122"/>
    <cellStyle name="Normal 6 3 4 3" xfId="7105"/>
    <cellStyle name="Normal 6 3 4 3 2" xfId="9860"/>
    <cellStyle name="Normal 6 3 4 4" xfId="8498"/>
    <cellStyle name="Normal 6 3 5" xfId="3936"/>
    <cellStyle name="Normal 6 3 5 2" xfId="4562"/>
    <cellStyle name="Normal 6 3 5 2 2" xfId="7730"/>
    <cellStyle name="Normal 6 3 5 2 2 2" xfId="10485"/>
    <cellStyle name="Normal 6 3 5 2 3" xfId="9123"/>
    <cellStyle name="Normal 6 3 5 3" xfId="7106"/>
    <cellStyle name="Normal 6 3 5 3 2" xfId="9861"/>
    <cellStyle name="Normal 6 3 5 4" xfId="8499"/>
    <cellStyle name="Normal 6 3 6" xfId="3937"/>
    <cellStyle name="Normal 6 3 6 2" xfId="4563"/>
    <cellStyle name="Normal 6 3 6 2 2" xfId="7731"/>
    <cellStyle name="Normal 6 3 6 2 2 2" xfId="10486"/>
    <cellStyle name="Normal 6 3 6 2 3" xfId="9124"/>
    <cellStyle name="Normal 6 3 6 3" xfId="7107"/>
    <cellStyle name="Normal 6 3 6 3 2" xfId="9862"/>
    <cellStyle name="Normal 6 3 6 4" xfId="8500"/>
    <cellStyle name="Normal 6 3 7" xfId="3930"/>
    <cellStyle name="Normal 6 3 7 2" xfId="4556"/>
    <cellStyle name="Normal 6 3 7 2 2" xfId="7724"/>
    <cellStyle name="Normal 6 3 7 2 2 2" xfId="10479"/>
    <cellStyle name="Normal 6 3 7 2 3" xfId="9117"/>
    <cellStyle name="Normal 6 3 7 3" xfId="7100"/>
    <cellStyle name="Normal 6 3 7 3 2" xfId="9855"/>
    <cellStyle name="Normal 6 3 7 4" xfId="8493"/>
    <cellStyle name="Normal 6 3 8" xfId="4120"/>
    <cellStyle name="Normal 6 3 8 2" xfId="7288"/>
    <cellStyle name="Normal 6 3 8 2 2" xfId="10043"/>
    <cellStyle name="Normal 6 3 8 3" xfId="8681"/>
    <cellStyle name="Normal 6 3 9" xfId="3469"/>
    <cellStyle name="Normal 6 3 9 2" xfId="6677"/>
    <cellStyle name="Normal 6 3 9 2 2" xfId="9432"/>
    <cellStyle name="Normal 6 3 9 3" xfId="8065"/>
    <cellStyle name="Normal 6 4" xfId="3322"/>
    <cellStyle name="Normal 6 4 10" xfId="6629"/>
    <cellStyle name="Normal 6 4 10 2" xfId="9393"/>
    <cellStyle name="Normal 6 4 11" xfId="8022"/>
    <cellStyle name="Normal 6 4 2" xfId="3939"/>
    <cellStyle name="Normal 6 4 2 2" xfId="3940"/>
    <cellStyle name="Normal 6 4 2 2 2" xfId="4566"/>
    <cellStyle name="Normal 6 4 2 2 2 2" xfId="7734"/>
    <cellStyle name="Normal 6 4 2 2 2 2 2" xfId="10489"/>
    <cellStyle name="Normal 6 4 2 2 2 3" xfId="9127"/>
    <cellStyle name="Normal 6 4 2 2 3" xfId="7110"/>
    <cellStyle name="Normal 6 4 2 2 3 2" xfId="9865"/>
    <cellStyle name="Normal 6 4 2 2 4" xfId="8503"/>
    <cellStyle name="Normal 6 4 2 3" xfId="3941"/>
    <cellStyle name="Normal 6 4 2 3 2" xfId="4567"/>
    <cellStyle name="Normal 6 4 2 3 2 2" xfId="7735"/>
    <cellStyle name="Normal 6 4 2 3 2 2 2" xfId="10490"/>
    <cellStyle name="Normal 6 4 2 3 2 3" xfId="9128"/>
    <cellStyle name="Normal 6 4 2 3 3" xfId="7111"/>
    <cellStyle name="Normal 6 4 2 3 3 2" xfId="9866"/>
    <cellStyle name="Normal 6 4 2 3 4" xfId="8504"/>
    <cellStyle name="Normal 6 4 2 4" xfId="4565"/>
    <cellStyle name="Normal 6 4 2 4 2" xfId="7733"/>
    <cellStyle name="Normal 6 4 2 4 2 2" xfId="10488"/>
    <cellStyle name="Normal 6 4 2 4 3" xfId="9126"/>
    <cellStyle name="Normal 6 4 2 5" xfId="7109"/>
    <cellStyle name="Normal 6 4 2 5 2" xfId="9864"/>
    <cellStyle name="Normal 6 4 2 6" xfId="8502"/>
    <cellStyle name="Normal 6 4 3" xfId="3942"/>
    <cellStyle name="Normal 6 4 3 2" xfId="4568"/>
    <cellStyle name="Normal 6 4 3 2 2" xfId="7736"/>
    <cellStyle name="Normal 6 4 3 2 2 2" xfId="10491"/>
    <cellStyle name="Normal 6 4 3 2 3" xfId="9129"/>
    <cellStyle name="Normal 6 4 3 3" xfId="7112"/>
    <cellStyle name="Normal 6 4 3 3 2" xfId="9867"/>
    <cellStyle name="Normal 6 4 3 4" xfId="8505"/>
    <cellStyle name="Normal 6 4 4" xfId="3943"/>
    <cellStyle name="Normal 6 4 4 2" xfId="4569"/>
    <cellStyle name="Normal 6 4 4 2 2" xfId="7737"/>
    <cellStyle name="Normal 6 4 4 2 2 2" xfId="10492"/>
    <cellStyle name="Normal 6 4 4 2 3" xfId="9130"/>
    <cellStyle name="Normal 6 4 4 3" xfId="7113"/>
    <cellStyle name="Normal 6 4 4 3 2" xfId="9868"/>
    <cellStyle name="Normal 6 4 4 4" xfId="8506"/>
    <cellStyle name="Normal 6 4 5" xfId="3944"/>
    <cellStyle name="Normal 6 4 5 2" xfId="4570"/>
    <cellStyle name="Normal 6 4 5 2 2" xfId="7738"/>
    <cellStyle name="Normal 6 4 5 2 2 2" xfId="10493"/>
    <cellStyle name="Normal 6 4 5 2 3" xfId="9131"/>
    <cellStyle name="Normal 6 4 5 3" xfId="7114"/>
    <cellStyle name="Normal 6 4 5 3 2" xfId="9869"/>
    <cellStyle name="Normal 6 4 5 4" xfId="8507"/>
    <cellStyle name="Normal 6 4 6" xfId="3938"/>
    <cellStyle name="Normal 6 4 6 2" xfId="4564"/>
    <cellStyle name="Normal 6 4 6 2 2" xfId="7732"/>
    <cellStyle name="Normal 6 4 6 2 2 2" xfId="10487"/>
    <cellStyle name="Normal 6 4 6 2 3" xfId="9125"/>
    <cellStyle name="Normal 6 4 6 3" xfId="7108"/>
    <cellStyle name="Normal 6 4 6 3 2" xfId="9863"/>
    <cellStyle name="Normal 6 4 6 4" xfId="8501"/>
    <cellStyle name="Normal 6 4 7" xfId="4136"/>
    <cellStyle name="Normal 6 4 7 2" xfId="7304"/>
    <cellStyle name="Normal 6 4 7 2 2" xfId="10059"/>
    <cellStyle name="Normal 6 4 7 3" xfId="8697"/>
    <cellStyle name="Normal 6 4 8" xfId="3485"/>
    <cellStyle name="Normal 6 4 8 2" xfId="6693"/>
    <cellStyle name="Normal 6 4 8 2 2" xfId="9448"/>
    <cellStyle name="Normal 6 4 8 3" xfId="8081"/>
    <cellStyle name="Normal 6 4 9" xfId="5302"/>
    <cellStyle name="Normal 6 4 9 2" xfId="9309"/>
    <cellStyle name="Normal 6 5" xfId="3288"/>
    <cellStyle name="Normal 6 5 2" xfId="3946"/>
    <cellStyle name="Normal 6 5 2 2" xfId="3947"/>
    <cellStyle name="Normal 6 5 2 2 2" xfId="4573"/>
    <cellStyle name="Normal 6 5 2 2 2 2" xfId="7741"/>
    <cellStyle name="Normal 6 5 2 2 2 2 2" xfId="10496"/>
    <cellStyle name="Normal 6 5 2 2 2 3" xfId="9134"/>
    <cellStyle name="Normal 6 5 2 2 3" xfId="7117"/>
    <cellStyle name="Normal 6 5 2 2 3 2" xfId="9872"/>
    <cellStyle name="Normal 6 5 2 2 4" xfId="8510"/>
    <cellStyle name="Normal 6 5 2 3" xfId="3948"/>
    <cellStyle name="Normal 6 5 2 3 2" xfId="4574"/>
    <cellStyle name="Normal 6 5 2 3 2 2" xfId="7742"/>
    <cellStyle name="Normal 6 5 2 3 2 2 2" xfId="10497"/>
    <cellStyle name="Normal 6 5 2 3 2 3" xfId="9135"/>
    <cellStyle name="Normal 6 5 2 3 3" xfId="7118"/>
    <cellStyle name="Normal 6 5 2 3 3 2" xfId="9873"/>
    <cellStyle name="Normal 6 5 2 3 4" xfId="8511"/>
    <cellStyle name="Normal 6 5 2 4" xfId="4572"/>
    <cellStyle name="Normal 6 5 2 4 2" xfId="7740"/>
    <cellStyle name="Normal 6 5 2 4 2 2" xfId="10495"/>
    <cellStyle name="Normal 6 5 2 4 3" xfId="9133"/>
    <cellStyle name="Normal 6 5 2 5" xfId="7116"/>
    <cellStyle name="Normal 6 5 2 5 2" xfId="9871"/>
    <cellStyle name="Normal 6 5 2 6" xfId="8509"/>
    <cellStyle name="Normal 6 5 3" xfId="3949"/>
    <cellStyle name="Normal 6 5 3 2" xfId="4575"/>
    <cellStyle name="Normal 6 5 3 2 2" xfId="7743"/>
    <cellStyle name="Normal 6 5 3 2 2 2" xfId="10498"/>
    <cellStyle name="Normal 6 5 3 2 3" xfId="9136"/>
    <cellStyle name="Normal 6 5 3 3" xfId="7119"/>
    <cellStyle name="Normal 6 5 3 3 2" xfId="9874"/>
    <cellStyle name="Normal 6 5 3 4" xfId="8512"/>
    <cellStyle name="Normal 6 5 4" xfId="3950"/>
    <cellStyle name="Normal 6 5 4 2" xfId="4576"/>
    <cellStyle name="Normal 6 5 4 2 2" xfId="7744"/>
    <cellStyle name="Normal 6 5 4 2 2 2" xfId="10499"/>
    <cellStyle name="Normal 6 5 4 2 3" xfId="9137"/>
    <cellStyle name="Normal 6 5 4 3" xfId="7120"/>
    <cellStyle name="Normal 6 5 4 3 2" xfId="9875"/>
    <cellStyle name="Normal 6 5 4 4" xfId="8513"/>
    <cellStyle name="Normal 6 5 5" xfId="3951"/>
    <cellStyle name="Normal 6 5 5 2" xfId="4577"/>
    <cellStyle name="Normal 6 5 5 2 2" xfId="7745"/>
    <cellStyle name="Normal 6 5 5 2 2 2" xfId="10500"/>
    <cellStyle name="Normal 6 5 5 2 3" xfId="9138"/>
    <cellStyle name="Normal 6 5 5 3" xfId="7121"/>
    <cellStyle name="Normal 6 5 5 3 2" xfId="9876"/>
    <cellStyle name="Normal 6 5 5 4" xfId="8514"/>
    <cellStyle name="Normal 6 5 6" xfId="4571"/>
    <cellStyle name="Normal 6 5 6 2" xfId="7739"/>
    <cellStyle name="Normal 6 5 6 2 2" xfId="10494"/>
    <cellStyle name="Normal 6 5 6 3" xfId="9132"/>
    <cellStyle name="Normal 6 5 7" xfId="3945"/>
    <cellStyle name="Normal 6 5 7 2" xfId="7115"/>
    <cellStyle name="Normal 6 5 7 2 2" xfId="9870"/>
    <cellStyle name="Normal 6 5 7 3" xfId="8508"/>
    <cellStyle name="Normal 6 5 8" xfId="6606"/>
    <cellStyle name="Normal 6 5 8 2" xfId="9370"/>
    <cellStyle name="Normal 6 5 9" xfId="7999"/>
    <cellStyle name="Normal 6 6" xfId="3952"/>
    <cellStyle name="Normal 6 6 2" xfId="3953"/>
    <cellStyle name="Normal 6 6 2 2" xfId="3954"/>
    <cellStyle name="Normal 6 6 2 2 2" xfId="4580"/>
    <cellStyle name="Normal 6 6 2 2 2 2" xfId="7748"/>
    <cellStyle name="Normal 6 6 2 2 2 2 2" xfId="10503"/>
    <cellStyle name="Normal 6 6 2 2 2 3" xfId="9141"/>
    <cellStyle name="Normal 6 6 2 2 3" xfId="7124"/>
    <cellStyle name="Normal 6 6 2 2 3 2" xfId="9879"/>
    <cellStyle name="Normal 6 6 2 2 4" xfId="8517"/>
    <cellStyle name="Normal 6 6 2 3" xfId="3955"/>
    <cellStyle name="Normal 6 6 2 3 2" xfId="4581"/>
    <cellStyle name="Normal 6 6 2 3 2 2" xfId="7749"/>
    <cellStyle name="Normal 6 6 2 3 2 2 2" xfId="10504"/>
    <cellStyle name="Normal 6 6 2 3 2 3" xfId="9142"/>
    <cellStyle name="Normal 6 6 2 3 3" xfId="7125"/>
    <cellStyle name="Normal 6 6 2 3 3 2" xfId="9880"/>
    <cellStyle name="Normal 6 6 2 3 4" xfId="8518"/>
    <cellStyle name="Normal 6 6 2 4" xfId="4579"/>
    <cellStyle name="Normal 6 6 2 4 2" xfId="7747"/>
    <cellStyle name="Normal 6 6 2 4 2 2" xfId="10502"/>
    <cellStyle name="Normal 6 6 2 4 3" xfId="9140"/>
    <cellStyle name="Normal 6 6 2 5" xfId="7123"/>
    <cellStyle name="Normal 6 6 2 5 2" xfId="9878"/>
    <cellStyle name="Normal 6 6 2 6" xfId="8516"/>
    <cellStyle name="Normal 6 6 3" xfId="3956"/>
    <cellStyle name="Normal 6 6 3 2" xfId="4582"/>
    <cellStyle name="Normal 6 6 3 2 2" xfId="7750"/>
    <cellStyle name="Normal 6 6 3 2 2 2" xfId="10505"/>
    <cellStyle name="Normal 6 6 3 2 3" xfId="9143"/>
    <cellStyle name="Normal 6 6 3 3" xfId="7126"/>
    <cellStyle name="Normal 6 6 3 3 2" xfId="9881"/>
    <cellStyle name="Normal 6 6 3 4" xfId="8519"/>
    <cellStyle name="Normal 6 6 4" xfId="3957"/>
    <cellStyle name="Normal 6 6 4 2" xfId="4583"/>
    <cellStyle name="Normal 6 6 4 2 2" xfId="7751"/>
    <cellStyle name="Normal 6 6 4 2 2 2" xfId="10506"/>
    <cellStyle name="Normal 6 6 4 2 3" xfId="9144"/>
    <cellStyle name="Normal 6 6 4 3" xfId="7127"/>
    <cellStyle name="Normal 6 6 4 3 2" xfId="9882"/>
    <cellStyle name="Normal 6 6 4 4" xfId="8520"/>
    <cellStyle name="Normal 6 6 5" xfId="3958"/>
    <cellStyle name="Normal 6 6 5 2" xfId="4584"/>
    <cellStyle name="Normal 6 6 5 2 2" xfId="7752"/>
    <cellStyle name="Normal 6 6 5 2 2 2" xfId="10507"/>
    <cellStyle name="Normal 6 6 5 2 3" xfId="9145"/>
    <cellStyle name="Normal 6 6 5 3" xfId="7128"/>
    <cellStyle name="Normal 6 6 5 3 2" xfId="9883"/>
    <cellStyle name="Normal 6 6 5 4" xfId="8521"/>
    <cellStyle name="Normal 6 6 6" xfId="4578"/>
    <cellStyle name="Normal 6 6 6 2" xfId="7746"/>
    <cellStyle name="Normal 6 6 6 2 2" xfId="10501"/>
    <cellStyle name="Normal 6 6 6 3" xfId="9139"/>
    <cellStyle name="Normal 6 6 7" xfId="7122"/>
    <cellStyle name="Normal 6 6 7 2" xfId="9877"/>
    <cellStyle name="Normal 6 6 8" xfId="8515"/>
    <cellStyle name="Normal 6 7" xfId="3959"/>
    <cellStyle name="Normal 6 7 2" xfId="3960"/>
    <cellStyle name="Normal 6 7 2 2" xfId="3961"/>
    <cellStyle name="Normal 6 7 2 2 2" xfId="4587"/>
    <cellStyle name="Normal 6 7 2 2 2 2" xfId="7755"/>
    <cellStyle name="Normal 6 7 2 2 2 2 2" xfId="10510"/>
    <cellStyle name="Normal 6 7 2 2 2 3" xfId="9148"/>
    <cellStyle name="Normal 6 7 2 2 3" xfId="7131"/>
    <cellStyle name="Normal 6 7 2 2 3 2" xfId="9886"/>
    <cellStyle name="Normal 6 7 2 2 4" xfId="8524"/>
    <cellStyle name="Normal 6 7 2 3" xfId="3962"/>
    <cellStyle name="Normal 6 7 2 3 2" xfId="4588"/>
    <cellStyle name="Normal 6 7 2 3 2 2" xfId="7756"/>
    <cellStyle name="Normal 6 7 2 3 2 2 2" xfId="10511"/>
    <cellStyle name="Normal 6 7 2 3 2 3" xfId="9149"/>
    <cellStyle name="Normal 6 7 2 3 3" xfId="7132"/>
    <cellStyle name="Normal 6 7 2 3 3 2" xfId="9887"/>
    <cellStyle name="Normal 6 7 2 3 4" xfId="8525"/>
    <cellStyle name="Normal 6 7 2 4" xfId="4586"/>
    <cellStyle name="Normal 6 7 2 4 2" xfId="7754"/>
    <cellStyle name="Normal 6 7 2 4 2 2" xfId="10509"/>
    <cellStyle name="Normal 6 7 2 4 3" xfId="9147"/>
    <cellStyle name="Normal 6 7 2 5" xfId="7130"/>
    <cellStyle name="Normal 6 7 2 5 2" xfId="9885"/>
    <cellStyle name="Normal 6 7 2 6" xfId="8523"/>
    <cellStyle name="Normal 6 7 3" xfId="3963"/>
    <cellStyle name="Normal 6 7 3 2" xfId="4589"/>
    <cellStyle name="Normal 6 7 3 2 2" xfId="7757"/>
    <cellStyle name="Normal 6 7 3 2 2 2" xfId="10512"/>
    <cellStyle name="Normal 6 7 3 2 3" xfId="9150"/>
    <cellStyle name="Normal 6 7 3 3" xfId="7133"/>
    <cellStyle name="Normal 6 7 3 3 2" xfId="9888"/>
    <cellStyle name="Normal 6 7 3 4" xfId="8526"/>
    <cellStyle name="Normal 6 7 4" xfId="3964"/>
    <cellStyle name="Normal 6 7 4 2" xfId="4590"/>
    <cellStyle name="Normal 6 7 4 2 2" xfId="7758"/>
    <cellStyle name="Normal 6 7 4 2 2 2" xfId="10513"/>
    <cellStyle name="Normal 6 7 4 2 3" xfId="9151"/>
    <cellStyle name="Normal 6 7 4 3" xfId="7134"/>
    <cellStyle name="Normal 6 7 4 3 2" xfId="9889"/>
    <cellStyle name="Normal 6 7 4 4" xfId="8527"/>
    <cellStyle name="Normal 6 7 5" xfId="3965"/>
    <cellStyle name="Normal 6 7 5 2" xfId="4591"/>
    <cellStyle name="Normal 6 7 5 2 2" xfId="7759"/>
    <cellStyle name="Normal 6 7 5 2 2 2" xfId="10514"/>
    <cellStyle name="Normal 6 7 5 2 3" xfId="9152"/>
    <cellStyle name="Normal 6 7 5 3" xfId="7135"/>
    <cellStyle name="Normal 6 7 5 3 2" xfId="9890"/>
    <cellStyle name="Normal 6 7 5 4" xfId="8528"/>
    <cellStyle name="Normal 6 7 6" xfId="4585"/>
    <cellStyle name="Normal 6 7 6 2" xfId="7753"/>
    <cellStyle name="Normal 6 7 6 2 2" xfId="10508"/>
    <cellStyle name="Normal 6 7 6 3" xfId="9146"/>
    <cellStyle name="Normal 6 7 7" xfId="7129"/>
    <cellStyle name="Normal 6 7 7 2" xfId="9884"/>
    <cellStyle name="Normal 6 7 8" xfId="8522"/>
    <cellStyle name="Normal 6 8" xfId="3966"/>
    <cellStyle name="Normal 6 8 2" xfId="3967"/>
    <cellStyle name="Normal 6 8 2 2" xfId="4593"/>
    <cellStyle name="Normal 6 8 2 2 2" xfId="7761"/>
    <cellStyle name="Normal 6 8 2 2 2 2" xfId="10516"/>
    <cellStyle name="Normal 6 8 2 2 3" xfId="9154"/>
    <cellStyle name="Normal 6 8 2 3" xfId="7137"/>
    <cellStyle name="Normal 6 8 2 3 2" xfId="9892"/>
    <cellStyle name="Normal 6 8 2 4" xfId="8530"/>
    <cellStyle name="Normal 6 8 3" xfId="3968"/>
    <cellStyle name="Normal 6 8 3 2" xfId="4594"/>
    <cellStyle name="Normal 6 8 3 2 2" xfId="7762"/>
    <cellStyle name="Normal 6 8 3 2 2 2" xfId="10517"/>
    <cellStyle name="Normal 6 8 3 2 3" xfId="9155"/>
    <cellStyle name="Normal 6 8 3 3" xfId="7138"/>
    <cellStyle name="Normal 6 8 3 3 2" xfId="9893"/>
    <cellStyle name="Normal 6 8 3 4" xfId="8531"/>
    <cellStyle name="Normal 6 8 4" xfId="4592"/>
    <cellStyle name="Normal 6 8 4 2" xfId="7760"/>
    <cellStyle name="Normal 6 8 4 2 2" xfId="10515"/>
    <cellStyle name="Normal 6 8 4 3" xfId="9153"/>
    <cellStyle name="Normal 6 8 5" xfId="7136"/>
    <cellStyle name="Normal 6 8 5 2" xfId="9891"/>
    <cellStyle name="Normal 6 8 6" xfId="8529"/>
    <cellStyle name="Normal 6 9" xfId="3969"/>
    <cellStyle name="Normal 6 9 2" xfId="3970"/>
    <cellStyle name="Normal 6 9 2 2" xfId="4596"/>
    <cellStyle name="Normal 6 9 2 2 2" xfId="7764"/>
    <cellStyle name="Normal 6 9 2 2 2 2" xfId="10519"/>
    <cellStyle name="Normal 6 9 2 2 3" xfId="9157"/>
    <cellStyle name="Normal 6 9 2 3" xfId="7140"/>
    <cellStyle name="Normal 6 9 2 3 2" xfId="9895"/>
    <cellStyle name="Normal 6 9 2 4" xfId="8533"/>
    <cellStyle name="Normal 6 9 3" xfId="4595"/>
    <cellStyle name="Normal 6 9 3 2" xfId="7763"/>
    <cellStyle name="Normal 6 9 3 2 2" xfId="10518"/>
    <cellStyle name="Normal 6 9 3 3" xfId="9156"/>
    <cellStyle name="Normal 6 9 4" xfId="7139"/>
    <cellStyle name="Normal 6 9 4 2" xfId="9894"/>
    <cellStyle name="Normal 6 9 5" xfId="8532"/>
    <cellStyle name="Normal 7" xfId="991"/>
    <cellStyle name="Normal 7 10" xfId="3459"/>
    <cellStyle name="Normal 7 10 2" xfId="6667"/>
    <cellStyle name="Normal 7 10 2 2" xfId="9422"/>
    <cellStyle name="Normal 7 10 3" xfId="8055"/>
    <cellStyle name="Normal 7 2" xfId="992"/>
    <cellStyle name="Normal 7 2 2" xfId="3323"/>
    <cellStyle name="Normal 7 2 2 2" xfId="3973"/>
    <cellStyle name="Normal 7 2 2 3" xfId="4134"/>
    <cellStyle name="Normal 7 2 2 3 2" xfId="7302"/>
    <cellStyle name="Normal 7 2 2 3 2 2" xfId="10057"/>
    <cellStyle name="Normal 7 2 2 3 3" xfId="8695"/>
    <cellStyle name="Normal 7 2 2 4" xfId="3483"/>
    <cellStyle name="Normal 7 2 2 4 2" xfId="6691"/>
    <cellStyle name="Normal 7 2 2 4 2 2" xfId="9446"/>
    <cellStyle name="Normal 7 2 2 4 3" xfId="8079"/>
    <cellStyle name="Normal 7 2 3" xfId="3499"/>
    <cellStyle name="Normal 7 2 3 2" xfId="3974"/>
    <cellStyle name="Normal 7 2 3 2 2" xfId="4598"/>
    <cellStyle name="Normal 7 2 3 2 2 2" xfId="7766"/>
    <cellStyle name="Normal 7 2 3 2 2 2 2" xfId="10521"/>
    <cellStyle name="Normal 7 2 3 2 2 3" xfId="9159"/>
    <cellStyle name="Normal 7 2 3 2 3" xfId="7142"/>
    <cellStyle name="Normal 7 2 3 2 3 2" xfId="9897"/>
    <cellStyle name="Normal 7 2 3 2 4" xfId="8535"/>
    <cellStyle name="Normal 7 2 3 3" xfId="4150"/>
    <cellStyle name="Normal 7 2 3 3 2" xfId="7318"/>
    <cellStyle name="Normal 7 2 3 3 2 2" xfId="10073"/>
    <cellStyle name="Normal 7 2 3 3 3" xfId="8711"/>
    <cellStyle name="Normal 7 2 3 4" xfId="6707"/>
    <cellStyle name="Normal 7 2 3 4 2" xfId="9462"/>
    <cellStyle name="Normal 7 2 3 5" xfId="8095"/>
    <cellStyle name="Normal 7 2 4" xfId="3972"/>
    <cellStyle name="Normal 7 2 5" xfId="4118"/>
    <cellStyle name="Normal 7 2 5 2" xfId="7286"/>
    <cellStyle name="Normal 7 2 5 2 2" xfId="10041"/>
    <cellStyle name="Normal 7 2 5 3" xfId="8679"/>
    <cellStyle name="Normal 7 2 6" xfId="3467"/>
    <cellStyle name="Normal 7 2 6 2" xfId="6675"/>
    <cellStyle name="Normal 7 2 6 2 2" xfId="9430"/>
    <cellStyle name="Normal 7 2 6 3" xfId="8063"/>
    <cellStyle name="Normal 7 3" xfId="3475"/>
    <cellStyle name="Normal 7 3 2" xfId="3976"/>
    <cellStyle name="Normal 7 3 2 2" xfId="4600"/>
    <cellStyle name="Normal 7 3 2 2 2" xfId="7768"/>
    <cellStyle name="Normal 7 3 2 2 2 2" xfId="10523"/>
    <cellStyle name="Normal 7 3 2 2 3" xfId="9161"/>
    <cellStyle name="Normal 7 3 2 3" xfId="7144"/>
    <cellStyle name="Normal 7 3 2 3 2" xfId="9899"/>
    <cellStyle name="Normal 7 3 2 4" xfId="8537"/>
    <cellStyle name="Normal 7 3 3" xfId="3977"/>
    <cellStyle name="Normal 7 3 3 2" xfId="4601"/>
    <cellStyle name="Normal 7 3 3 2 2" xfId="7769"/>
    <cellStyle name="Normal 7 3 3 2 2 2" xfId="10524"/>
    <cellStyle name="Normal 7 3 3 2 3" xfId="9162"/>
    <cellStyle name="Normal 7 3 3 3" xfId="7145"/>
    <cellStyle name="Normal 7 3 3 3 2" xfId="9900"/>
    <cellStyle name="Normal 7 3 3 4" xfId="8538"/>
    <cellStyle name="Normal 7 3 4" xfId="3975"/>
    <cellStyle name="Normal 7 3 4 2" xfId="4599"/>
    <cellStyle name="Normal 7 3 4 2 2" xfId="7767"/>
    <cellStyle name="Normal 7 3 4 2 2 2" xfId="10522"/>
    <cellStyle name="Normal 7 3 4 2 3" xfId="9160"/>
    <cellStyle name="Normal 7 3 4 3" xfId="7143"/>
    <cellStyle name="Normal 7 3 4 3 2" xfId="9898"/>
    <cellStyle name="Normal 7 3 4 4" xfId="8536"/>
    <cellStyle name="Normal 7 3 5" xfId="4126"/>
    <cellStyle name="Normal 7 3 5 2" xfId="7294"/>
    <cellStyle name="Normal 7 3 5 2 2" xfId="10049"/>
    <cellStyle name="Normal 7 3 5 3" xfId="8687"/>
    <cellStyle name="Normal 7 3 6" xfId="6683"/>
    <cellStyle name="Normal 7 3 6 2" xfId="9438"/>
    <cellStyle name="Normal 7 3 7" xfId="8071"/>
    <cellStyle name="Normal 7 4" xfId="3491"/>
    <cellStyle name="Normal 7 4 2" xfId="3979"/>
    <cellStyle name="Normal 7 4 2 2" xfId="4603"/>
    <cellStyle name="Normal 7 4 2 2 2" xfId="7771"/>
    <cellStyle name="Normal 7 4 2 2 2 2" xfId="10526"/>
    <cellStyle name="Normal 7 4 2 2 3" xfId="9164"/>
    <cellStyle name="Normal 7 4 2 3" xfId="7147"/>
    <cellStyle name="Normal 7 4 2 3 2" xfId="9902"/>
    <cellStyle name="Normal 7 4 2 4" xfId="8540"/>
    <cellStyle name="Normal 7 4 3" xfId="3978"/>
    <cellStyle name="Normal 7 4 3 2" xfId="4602"/>
    <cellStyle name="Normal 7 4 3 2 2" xfId="7770"/>
    <cellStyle name="Normal 7 4 3 2 2 2" xfId="10525"/>
    <cellStyle name="Normal 7 4 3 2 3" xfId="9163"/>
    <cellStyle name="Normal 7 4 3 3" xfId="7146"/>
    <cellStyle name="Normal 7 4 3 3 2" xfId="9901"/>
    <cellStyle name="Normal 7 4 3 4" xfId="8539"/>
    <cellStyle name="Normal 7 4 4" xfId="4142"/>
    <cellStyle name="Normal 7 4 4 2" xfId="7310"/>
    <cellStyle name="Normal 7 4 4 2 2" xfId="10065"/>
    <cellStyle name="Normal 7 4 4 3" xfId="8703"/>
    <cellStyle name="Normal 7 4 5" xfId="6699"/>
    <cellStyle name="Normal 7 4 5 2" xfId="9454"/>
    <cellStyle name="Normal 7 4 6" xfId="8087"/>
    <cellStyle name="Normal 7 5" xfId="3980"/>
    <cellStyle name="Normal 7 5 2" xfId="4604"/>
    <cellStyle name="Normal 7 5 2 2" xfId="7772"/>
    <cellStyle name="Normal 7 5 2 2 2" xfId="10527"/>
    <cellStyle name="Normal 7 5 2 3" xfId="9165"/>
    <cellStyle name="Normal 7 5 3" xfId="7148"/>
    <cellStyle name="Normal 7 5 3 2" xfId="9903"/>
    <cellStyle name="Normal 7 5 4" xfId="8541"/>
    <cellStyle name="Normal 7 6" xfId="3981"/>
    <cellStyle name="Normal 7 6 2" xfId="4605"/>
    <cellStyle name="Normal 7 6 2 2" xfId="7773"/>
    <cellStyle name="Normal 7 6 2 2 2" xfId="10528"/>
    <cellStyle name="Normal 7 6 2 3" xfId="9166"/>
    <cellStyle name="Normal 7 6 3" xfId="7149"/>
    <cellStyle name="Normal 7 6 3 2" xfId="9904"/>
    <cellStyle name="Normal 7 6 4" xfId="8542"/>
    <cellStyle name="Normal 7 7" xfId="3982"/>
    <cellStyle name="Normal 7 7 2" xfId="4606"/>
    <cellStyle name="Normal 7 7 2 2" xfId="7774"/>
    <cellStyle name="Normal 7 7 2 2 2" xfId="10529"/>
    <cellStyle name="Normal 7 7 2 3" xfId="9167"/>
    <cellStyle name="Normal 7 7 3" xfId="7150"/>
    <cellStyle name="Normal 7 7 3 2" xfId="9905"/>
    <cellStyle name="Normal 7 7 4" xfId="8543"/>
    <cellStyle name="Normal 7 8" xfId="3971"/>
    <cellStyle name="Normal 7 8 2" xfId="4597"/>
    <cellStyle name="Normal 7 8 2 2" xfId="7765"/>
    <cellStyle name="Normal 7 8 2 2 2" xfId="10520"/>
    <cellStyle name="Normal 7 8 2 3" xfId="9158"/>
    <cellStyle name="Normal 7 8 3" xfId="7141"/>
    <cellStyle name="Normal 7 8 3 2" xfId="9896"/>
    <cellStyle name="Normal 7 8 4" xfId="8534"/>
    <cellStyle name="Normal 7 9" xfId="4110"/>
    <cellStyle name="Normal 7 9 2" xfId="7278"/>
    <cellStyle name="Normal 7 9 2 2" xfId="10033"/>
    <cellStyle name="Normal 7 9 3" xfId="8671"/>
    <cellStyle name="Normal 8" xfId="993"/>
    <cellStyle name="Normal 8 2" xfId="994"/>
    <cellStyle name="Normal 8 2 2" xfId="2621"/>
    <cellStyle name="Normal 8 2 2 2" xfId="3308"/>
    <cellStyle name="Normal 8 2 2 2 2" xfId="4609"/>
    <cellStyle name="Normal 8 2 2 2 2 2" xfId="7777"/>
    <cellStyle name="Normal 8 2 2 2 2 2 2" xfId="10532"/>
    <cellStyle name="Normal 8 2 2 2 2 3" xfId="9170"/>
    <cellStyle name="Normal 8 2 2 2 3" xfId="6617"/>
    <cellStyle name="Normal 8 2 2 2 3 2" xfId="9381"/>
    <cellStyle name="Normal 8 2 2 2 4" xfId="8010"/>
    <cellStyle name="Normal 8 2 2 3" xfId="3985"/>
    <cellStyle name="Normal 8 2 2 3 2" xfId="7153"/>
    <cellStyle name="Normal 8 2 2 3 2 2" xfId="9908"/>
    <cellStyle name="Normal 8 2 2 3 3" xfId="8546"/>
    <cellStyle name="Normal 8 2 2 4" xfId="5674"/>
    <cellStyle name="Normal 8 2 2 4 2" xfId="9324"/>
    <cellStyle name="Normal 8 2 2 5" xfId="6596"/>
    <cellStyle name="Normal 8 2 2 5 2" xfId="9360"/>
    <cellStyle name="Normal 8 2 2 6" xfId="7972"/>
    <cellStyle name="Normal 8 2 3" xfId="3289"/>
    <cellStyle name="Normal 8 2 3 2" xfId="4610"/>
    <cellStyle name="Normal 8 2 3 2 2" xfId="7778"/>
    <cellStyle name="Normal 8 2 3 2 2 2" xfId="10533"/>
    <cellStyle name="Normal 8 2 3 2 3" xfId="9171"/>
    <cellStyle name="Normal 8 2 3 3" xfId="3986"/>
    <cellStyle name="Normal 8 2 3 3 2" xfId="7154"/>
    <cellStyle name="Normal 8 2 3 3 2 2" xfId="9909"/>
    <cellStyle name="Normal 8 2 3 3 3" xfId="8547"/>
    <cellStyle name="Normal 8 2 3 4" xfId="6607"/>
    <cellStyle name="Normal 8 2 3 4 2" xfId="9371"/>
    <cellStyle name="Normal 8 2 3 5" xfId="8000"/>
    <cellStyle name="Normal 8 2 4" xfId="3987"/>
    <cellStyle name="Normal 8 2 4 2" xfId="4611"/>
    <cellStyle name="Normal 8 2 4 2 2" xfId="7779"/>
    <cellStyle name="Normal 8 2 4 2 2 2" xfId="10534"/>
    <cellStyle name="Normal 8 2 4 2 3" xfId="9172"/>
    <cellStyle name="Normal 8 2 4 3" xfId="7155"/>
    <cellStyle name="Normal 8 2 4 3 2" xfId="9910"/>
    <cellStyle name="Normal 8 2 4 4" xfId="8548"/>
    <cellStyle name="Normal 8 2 5" xfId="4608"/>
    <cellStyle name="Normal 8 2 5 2" xfId="7776"/>
    <cellStyle name="Normal 8 2 5 2 2" xfId="10531"/>
    <cellStyle name="Normal 8 2 5 3" xfId="9169"/>
    <cellStyle name="Normal 8 2 6" xfId="3984"/>
    <cellStyle name="Normal 8 2 6 2" xfId="7152"/>
    <cellStyle name="Normal 8 2 6 2 2" xfId="9907"/>
    <cellStyle name="Normal 8 2 6 3" xfId="8545"/>
    <cellStyle name="Normal 8 2 7" xfId="5303"/>
    <cellStyle name="Normal 8 2 7 2" xfId="9310"/>
    <cellStyle name="Normal 8 2 8" xfId="6227"/>
    <cellStyle name="Normal 8 2 8 2" xfId="9343"/>
    <cellStyle name="Normal 8 2 9" xfId="7918"/>
    <cellStyle name="Normal 8 3" xfId="3324"/>
    <cellStyle name="Normal 8 3 2" xfId="3989"/>
    <cellStyle name="Normal 8 3 2 2" xfId="4613"/>
    <cellStyle name="Normal 8 3 2 2 2" xfId="7781"/>
    <cellStyle name="Normal 8 3 2 2 2 2" xfId="10536"/>
    <cellStyle name="Normal 8 3 2 2 3" xfId="9174"/>
    <cellStyle name="Normal 8 3 2 3" xfId="7157"/>
    <cellStyle name="Normal 8 3 2 3 2" xfId="9912"/>
    <cellStyle name="Normal 8 3 2 4" xfId="8550"/>
    <cellStyle name="Normal 8 3 3" xfId="3990"/>
    <cellStyle name="Normal 8 3 3 2" xfId="4614"/>
    <cellStyle name="Normal 8 3 3 2 2" xfId="7782"/>
    <cellStyle name="Normal 8 3 3 2 2 2" xfId="10537"/>
    <cellStyle name="Normal 8 3 3 2 3" xfId="9175"/>
    <cellStyle name="Normal 8 3 3 3" xfId="7158"/>
    <cellStyle name="Normal 8 3 3 3 2" xfId="9913"/>
    <cellStyle name="Normal 8 3 3 4" xfId="8551"/>
    <cellStyle name="Normal 8 3 4" xfId="4612"/>
    <cellStyle name="Normal 8 3 4 2" xfId="7780"/>
    <cellStyle name="Normal 8 3 4 2 2" xfId="10535"/>
    <cellStyle name="Normal 8 3 4 3" xfId="9173"/>
    <cellStyle name="Normal 8 3 5" xfId="3988"/>
    <cellStyle name="Normal 8 3 5 2" xfId="7156"/>
    <cellStyle name="Normal 8 3 5 2 2" xfId="9911"/>
    <cellStyle name="Normal 8 3 5 3" xfId="8549"/>
    <cellStyle name="Normal 8 4" xfId="3991"/>
    <cellStyle name="Normal 8 4 2" xfId="4615"/>
    <cellStyle name="Normal 8 4 2 2" xfId="7783"/>
    <cellStyle name="Normal 8 4 2 2 2" xfId="10538"/>
    <cellStyle name="Normal 8 4 2 3" xfId="9176"/>
    <cellStyle name="Normal 8 4 3" xfId="7159"/>
    <cellStyle name="Normal 8 4 3 2" xfId="9914"/>
    <cellStyle name="Normal 8 4 4" xfId="8552"/>
    <cellStyle name="Normal 8 5" xfId="3992"/>
    <cellStyle name="Normal 8 5 2" xfId="4616"/>
    <cellStyle name="Normal 8 5 2 2" xfId="7784"/>
    <cellStyle name="Normal 8 5 2 2 2" xfId="10539"/>
    <cellStyle name="Normal 8 5 2 3" xfId="9177"/>
    <cellStyle name="Normal 8 5 3" xfId="7160"/>
    <cellStyle name="Normal 8 5 3 2" xfId="9915"/>
    <cellStyle name="Normal 8 5 4" xfId="8553"/>
    <cellStyle name="Normal 8 6" xfId="3993"/>
    <cellStyle name="Normal 8 6 2" xfId="4617"/>
    <cellStyle name="Normal 8 6 2 2" xfId="7785"/>
    <cellStyle name="Normal 8 6 2 2 2" xfId="10540"/>
    <cellStyle name="Normal 8 6 2 3" xfId="9178"/>
    <cellStyle name="Normal 8 6 3" xfId="7161"/>
    <cellStyle name="Normal 8 6 3 2" xfId="9916"/>
    <cellStyle name="Normal 8 6 4" xfId="8554"/>
    <cellStyle name="Normal 8 7" xfId="3983"/>
    <cellStyle name="Normal 8 7 2" xfId="4607"/>
    <cellStyle name="Normal 8 7 2 2" xfId="7775"/>
    <cellStyle name="Normal 8 7 2 2 2" xfId="10530"/>
    <cellStyle name="Normal 8 7 2 3" xfId="9168"/>
    <cellStyle name="Normal 8 7 3" xfId="7151"/>
    <cellStyle name="Normal 8 7 3 2" xfId="9906"/>
    <cellStyle name="Normal 8 7 4" xfId="8544"/>
    <cellStyle name="Normal 8 8" xfId="3500"/>
    <cellStyle name="Normal 9" xfId="995"/>
    <cellStyle name="Normal 9 2" xfId="3325"/>
    <cellStyle name="Normal 9 2 2" xfId="3996"/>
    <cellStyle name="Normal 9 2 2 2" xfId="4620"/>
    <cellStyle name="Normal 9 2 2 2 2" xfId="7788"/>
    <cellStyle name="Normal 9 2 2 2 2 2" xfId="10543"/>
    <cellStyle name="Normal 9 2 2 2 3" xfId="9181"/>
    <cellStyle name="Normal 9 2 2 3" xfId="7164"/>
    <cellStyle name="Normal 9 2 2 3 2" xfId="9919"/>
    <cellStyle name="Normal 9 2 2 4" xfId="8557"/>
    <cellStyle name="Normal 9 2 3" xfId="3997"/>
    <cellStyle name="Normal 9 2 3 2" xfId="4621"/>
    <cellStyle name="Normal 9 2 3 2 2" xfId="7789"/>
    <cellStyle name="Normal 9 2 3 2 2 2" xfId="10544"/>
    <cellStyle name="Normal 9 2 3 2 3" xfId="9182"/>
    <cellStyle name="Normal 9 2 3 3" xfId="7165"/>
    <cellStyle name="Normal 9 2 3 3 2" xfId="9920"/>
    <cellStyle name="Normal 9 2 3 4" xfId="8558"/>
    <cellStyle name="Normal 9 2 4" xfId="4619"/>
    <cellStyle name="Normal 9 2 4 2" xfId="7787"/>
    <cellStyle name="Normal 9 2 4 2 2" xfId="10542"/>
    <cellStyle name="Normal 9 2 4 3" xfId="9180"/>
    <cellStyle name="Normal 9 2 5" xfId="3995"/>
    <cellStyle name="Normal 9 2 5 2" xfId="7163"/>
    <cellStyle name="Normal 9 2 5 2 2" xfId="9918"/>
    <cellStyle name="Normal 9 2 5 3" xfId="8556"/>
    <cellStyle name="Normal 9 3" xfId="3998"/>
    <cellStyle name="Normal 9 3 2" xfId="4622"/>
    <cellStyle name="Normal 9 3 2 2" xfId="7790"/>
    <cellStyle name="Normal 9 3 2 2 2" xfId="10545"/>
    <cellStyle name="Normal 9 3 2 3" xfId="9183"/>
    <cellStyle name="Normal 9 3 3" xfId="7166"/>
    <cellStyle name="Normal 9 3 3 2" xfId="9921"/>
    <cellStyle name="Normal 9 3 4" xfId="8559"/>
    <cellStyle name="Normal 9 4" xfId="3999"/>
    <cellStyle name="Normal 9 4 2" xfId="4623"/>
    <cellStyle name="Normal 9 4 2 2" xfId="7791"/>
    <cellStyle name="Normal 9 4 2 2 2" xfId="10546"/>
    <cellStyle name="Normal 9 4 2 3" xfId="9184"/>
    <cellStyle name="Normal 9 4 3" xfId="7167"/>
    <cellStyle name="Normal 9 4 3 2" xfId="9922"/>
    <cellStyle name="Normal 9 4 4" xfId="8560"/>
    <cellStyle name="Normal 9 5" xfId="4000"/>
    <cellStyle name="Normal 9 5 2" xfId="4624"/>
    <cellStyle name="Normal 9 5 2 2" xfId="7792"/>
    <cellStyle name="Normal 9 5 2 2 2" xfId="10547"/>
    <cellStyle name="Normal 9 5 2 3" xfId="9185"/>
    <cellStyle name="Normal 9 5 3" xfId="7168"/>
    <cellStyle name="Normal 9 5 3 2" xfId="9923"/>
    <cellStyle name="Normal 9 5 4" xfId="8561"/>
    <cellStyle name="Normal 9 6" xfId="4618"/>
    <cellStyle name="Normal 9 6 2" xfId="7786"/>
    <cellStyle name="Normal 9 6 2 2" xfId="10541"/>
    <cellStyle name="Normal 9 6 3" xfId="9179"/>
    <cellStyle name="Normal 9 7" xfId="3994"/>
    <cellStyle name="Normal 9 7 2" xfId="7162"/>
    <cellStyle name="Normal 9 7 2 2" xfId="9917"/>
    <cellStyle name="Normal 9 7 3" xfId="8555"/>
    <cellStyle name="Normal GHG Numbers (0.00)" xfId="996"/>
    <cellStyle name="Normal GHG Numbers (0.00) 2" xfId="7919"/>
    <cellStyle name="Normal GHG Numbers (0.00) 3" xfId="7941"/>
    <cellStyle name="Normal GHG Numbers (0.00) 4" xfId="9289"/>
    <cellStyle name="Normal GHG Numbers (0.00) 5" xfId="9336"/>
    <cellStyle name="Normal GHG Numbers (0.00) 6" xfId="10683"/>
    <cellStyle name="Normal GHG Textfiels Bold" xfId="997"/>
    <cellStyle name="Normal GHG-Shade" xfId="998"/>
    <cellStyle name="Normal GHG-Shade 2" xfId="2622"/>
    <cellStyle name="Normale 10" xfId="999"/>
    <cellStyle name="Normale 10 2" xfId="1000"/>
    <cellStyle name="Normale 10 2 2" xfId="2624"/>
    <cellStyle name="Normale 10 3" xfId="1001"/>
    <cellStyle name="Normale 10 3 2" xfId="2625"/>
    <cellStyle name="Normale 10 4" xfId="2623"/>
    <cellStyle name="Normale 10_EDEN industria 2008 rev" xfId="1002"/>
    <cellStyle name="Normale 11" xfId="1003"/>
    <cellStyle name="Normale 11 2" xfId="1004"/>
    <cellStyle name="Normale 11 2 2" xfId="2627"/>
    <cellStyle name="Normale 11 3" xfId="1005"/>
    <cellStyle name="Normale 11 3 2" xfId="2628"/>
    <cellStyle name="Normale 11 4" xfId="2626"/>
    <cellStyle name="Normale 11_EDEN industria 2008 rev" xfId="1006"/>
    <cellStyle name="Normale 12" xfId="1007"/>
    <cellStyle name="Normale 12 2" xfId="1008"/>
    <cellStyle name="Normale 12 2 2" xfId="2630"/>
    <cellStyle name="Normale 12 3" xfId="1009"/>
    <cellStyle name="Normale 12 3 2" xfId="2631"/>
    <cellStyle name="Normale 12 4" xfId="2629"/>
    <cellStyle name="Normale 12_EDEN industria 2008 rev" xfId="1010"/>
    <cellStyle name="Normale 13" xfId="1011"/>
    <cellStyle name="Normale 13 2" xfId="1012"/>
    <cellStyle name="Normale 13 2 2" xfId="2633"/>
    <cellStyle name="Normale 13 3" xfId="1013"/>
    <cellStyle name="Normale 13 3 2" xfId="2634"/>
    <cellStyle name="Normale 13 4" xfId="2632"/>
    <cellStyle name="Normale 13_EDEN industria 2008 rev" xfId="1014"/>
    <cellStyle name="Normale 14" xfId="1015"/>
    <cellStyle name="Normale 14 2" xfId="1016"/>
    <cellStyle name="Normale 14 2 2" xfId="2636"/>
    <cellStyle name="Normale 14 3" xfId="1017"/>
    <cellStyle name="Normale 14 3 2" xfId="2637"/>
    <cellStyle name="Normale 14 4" xfId="2635"/>
    <cellStyle name="Normale 14_EDEN industria 2008 rev" xfId="1018"/>
    <cellStyle name="Normale 15" xfId="1019"/>
    <cellStyle name="Normale 15 2" xfId="1020"/>
    <cellStyle name="Normale 15 2 2" xfId="2639"/>
    <cellStyle name="Normale 15 3" xfId="1021"/>
    <cellStyle name="Normale 15 3 2" xfId="2640"/>
    <cellStyle name="Normale 15 4" xfId="2638"/>
    <cellStyle name="Normale 15_EDEN industria 2008 rev" xfId="1022"/>
    <cellStyle name="Normale 16" xfId="1023"/>
    <cellStyle name="Normale 16 2" xfId="2641"/>
    <cellStyle name="Normale 17" xfId="1024"/>
    <cellStyle name="Normale 17 2" xfId="2642"/>
    <cellStyle name="Normale 18" xfId="1025"/>
    <cellStyle name="Normale 19" xfId="1026"/>
    <cellStyle name="Normale 2" xfId="1027"/>
    <cellStyle name="Normale 2 2" xfId="1028"/>
    <cellStyle name="Normale 2 2 2" xfId="2644"/>
    <cellStyle name="Normale 2 3" xfId="2643"/>
    <cellStyle name="Normale 2_EDEN industria 2008 rev" xfId="1029"/>
    <cellStyle name="Normale 20" xfId="1030"/>
    <cellStyle name="Normale 20 2" xfId="2645"/>
    <cellStyle name="Normale 21" xfId="1031"/>
    <cellStyle name="Normale 21 2" xfId="2646"/>
    <cellStyle name="Normale 22" xfId="1032"/>
    <cellStyle name="Normale 22 2" xfId="2647"/>
    <cellStyle name="Normale 23" xfId="1033"/>
    <cellStyle name="Normale 23 2" xfId="2648"/>
    <cellStyle name="Normale 24" xfId="1034"/>
    <cellStyle name="Normale 24 2" xfId="2649"/>
    <cellStyle name="Normale 25" xfId="1035"/>
    <cellStyle name="Normale 25 2" xfId="2650"/>
    <cellStyle name="Normale 26" xfId="1036"/>
    <cellStyle name="Normale 26 2" xfId="2651"/>
    <cellStyle name="Normale 27" xfId="1037"/>
    <cellStyle name="Normale 27 2" xfId="2652"/>
    <cellStyle name="Normale 28" xfId="1038"/>
    <cellStyle name="Normale 28 2" xfId="2653"/>
    <cellStyle name="Normale 29" xfId="1039"/>
    <cellStyle name="Normale 29 2" xfId="2654"/>
    <cellStyle name="Normale 3" xfId="1040"/>
    <cellStyle name="Normale 3 2" xfId="1041"/>
    <cellStyle name="Normale 3 2 2" xfId="2656"/>
    <cellStyle name="Normale 3 3" xfId="1042"/>
    <cellStyle name="Normale 3 3 2" xfId="2657"/>
    <cellStyle name="Normale 3 4" xfId="2655"/>
    <cellStyle name="Normale 3_EDEN industria 2008 rev" xfId="1043"/>
    <cellStyle name="Normale 30" xfId="1044"/>
    <cellStyle name="Normale 30 2" xfId="2658"/>
    <cellStyle name="Normale 31" xfId="1045"/>
    <cellStyle name="Normale 31 2" xfId="2659"/>
    <cellStyle name="Normale 32" xfId="1046"/>
    <cellStyle name="Normale 32 2" xfId="2660"/>
    <cellStyle name="Normale 33" xfId="1047"/>
    <cellStyle name="Normale 33 2" xfId="2661"/>
    <cellStyle name="Normale 34" xfId="1048"/>
    <cellStyle name="Normale 34 2" xfId="2662"/>
    <cellStyle name="Normale 35" xfId="1049"/>
    <cellStyle name="Normale 35 2" xfId="2663"/>
    <cellStyle name="Normale 36" xfId="1050"/>
    <cellStyle name="Normale 36 2" xfId="2664"/>
    <cellStyle name="Normale 37" xfId="1051"/>
    <cellStyle name="Normale 37 2" xfId="2665"/>
    <cellStyle name="Normale 38" xfId="1052"/>
    <cellStyle name="Normale 38 2" xfId="2666"/>
    <cellStyle name="Normale 39" xfId="1053"/>
    <cellStyle name="Normale 39 2" xfId="2667"/>
    <cellStyle name="Normale 4" xfId="1054"/>
    <cellStyle name="Normale 4 2" xfId="1055"/>
    <cellStyle name="Normale 4 2 2" xfId="2669"/>
    <cellStyle name="Normale 4 3" xfId="1056"/>
    <cellStyle name="Normale 4 3 2" xfId="2670"/>
    <cellStyle name="Normale 4 4" xfId="2668"/>
    <cellStyle name="Normale 4_EDEN industria 2008 rev" xfId="1057"/>
    <cellStyle name="Normale 40" xfId="1058"/>
    <cellStyle name="Normale 40 2" xfId="2671"/>
    <cellStyle name="Normale 41" xfId="1059"/>
    <cellStyle name="Normale 41 2" xfId="2672"/>
    <cellStyle name="Normale 42" xfId="1060"/>
    <cellStyle name="Normale 42 2" xfId="2673"/>
    <cellStyle name="Normale 43" xfId="1061"/>
    <cellStyle name="Normale 43 2" xfId="2674"/>
    <cellStyle name="Normale 44" xfId="1062"/>
    <cellStyle name="Normale 44 2" xfId="2675"/>
    <cellStyle name="Normale 45" xfId="1063"/>
    <cellStyle name="Normale 45 2" xfId="2676"/>
    <cellStyle name="Normale 46" xfId="1064"/>
    <cellStyle name="Normale 46 2" xfId="2677"/>
    <cellStyle name="Normale 47" xfId="1065"/>
    <cellStyle name="Normale 47 2" xfId="2678"/>
    <cellStyle name="Normale 48" xfId="1066"/>
    <cellStyle name="Normale 48 2" xfId="2679"/>
    <cellStyle name="Normale 49" xfId="1067"/>
    <cellStyle name="Normale 49 2" xfId="2680"/>
    <cellStyle name="Normale 5" xfId="1068"/>
    <cellStyle name="Normale 5 2" xfId="1069"/>
    <cellStyle name="Normale 5 2 2" xfId="2682"/>
    <cellStyle name="Normale 5 3" xfId="1070"/>
    <cellStyle name="Normale 5 3 2" xfId="2683"/>
    <cellStyle name="Normale 5 4" xfId="2681"/>
    <cellStyle name="Normale 5_EDEN industria 2008 rev" xfId="1071"/>
    <cellStyle name="Normale 50" xfId="1072"/>
    <cellStyle name="Normale 50 2" xfId="2684"/>
    <cellStyle name="Normale 51" xfId="1073"/>
    <cellStyle name="Normale 51 2" xfId="2685"/>
    <cellStyle name="Normale 52" xfId="1074"/>
    <cellStyle name="Normale 52 2" xfId="2686"/>
    <cellStyle name="Normale 53" xfId="1075"/>
    <cellStyle name="Normale 53 2" xfId="2687"/>
    <cellStyle name="Normale 54" xfId="1076"/>
    <cellStyle name="Normale 54 2" xfId="2688"/>
    <cellStyle name="Normale 55" xfId="1077"/>
    <cellStyle name="Normale 55 2" xfId="2689"/>
    <cellStyle name="Normale 56" xfId="1078"/>
    <cellStyle name="Normale 56 2" xfId="2690"/>
    <cellStyle name="Normale 57" xfId="1079"/>
    <cellStyle name="Normale 57 2" xfId="2691"/>
    <cellStyle name="Normale 58" xfId="1080"/>
    <cellStyle name="Normale 58 2" xfId="2692"/>
    <cellStyle name="Normale 59" xfId="1081"/>
    <cellStyle name="Normale 59 2" xfId="2693"/>
    <cellStyle name="Normale 6" xfId="1082"/>
    <cellStyle name="Normale 6 2" xfId="1083"/>
    <cellStyle name="Normale 6 2 2" xfId="2695"/>
    <cellStyle name="Normale 6 3" xfId="1084"/>
    <cellStyle name="Normale 6 3 2" xfId="2696"/>
    <cellStyle name="Normale 6 4" xfId="2694"/>
    <cellStyle name="Normale 6_EDEN industria 2008 rev" xfId="1085"/>
    <cellStyle name="Normale 60" xfId="1086"/>
    <cellStyle name="Normale 60 2" xfId="2697"/>
    <cellStyle name="Normale 61" xfId="1087"/>
    <cellStyle name="Normale 61 2" xfId="2698"/>
    <cellStyle name="Normale 62" xfId="1088"/>
    <cellStyle name="Normale 62 2" xfId="2699"/>
    <cellStyle name="Normale 63" xfId="1089"/>
    <cellStyle name="Normale 63 2" xfId="2700"/>
    <cellStyle name="Normale 64" xfId="1090"/>
    <cellStyle name="Normale 64 2" xfId="2701"/>
    <cellStyle name="Normale 65" xfId="1091"/>
    <cellStyle name="Normale 65 2" xfId="2702"/>
    <cellStyle name="Normale 7" xfId="1092"/>
    <cellStyle name="Normale 7 2" xfId="1093"/>
    <cellStyle name="Normale 7 2 2" xfId="2704"/>
    <cellStyle name="Normale 7 3" xfId="1094"/>
    <cellStyle name="Normale 7 3 2" xfId="2705"/>
    <cellStyle name="Normale 7 4" xfId="2703"/>
    <cellStyle name="Normale 7_EDEN industria 2008 rev" xfId="1095"/>
    <cellStyle name="Normale 8" xfId="1096"/>
    <cellStyle name="Normale 8 2" xfId="1097"/>
    <cellStyle name="Normale 8 2 2" xfId="2707"/>
    <cellStyle name="Normale 8 3" xfId="1098"/>
    <cellStyle name="Normale 8 3 2" xfId="2708"/>
    <cellStyle name="Normale 8 4" xfId="2706"/>
    <cellStyle name="Normale 8_EDEN industria 2008 rev" xfId="1099"/>
    <cellStyle name="Normale 9" xfId="1100"/>
    <cellStyle name="Normale 9 2" xfId="1101"/>
    <cellStyle name="Normale 9 2 2" xfId="2710"/>
    <cellStyle name="Normale 9 3" xfId="1102"/>
    <cellStyle name="Normale 9 3 2" xfId="2711"/>
    <cellStyle name="Normale 9 4" xfId="2709"/>
    <cellStyle name="Normale 9_EDEN industria 2008 rev" xfId="1103"/>
    <cellStyle name="Normale_B2020" xfId="1104"/>
    <cellStyle name="Nota" xfId="1105"/>
    <cellStyle name="Nota 10" xfId="9338"/>
    <cellStyle name="Nota 2" xfId="1106"/>
    <cellStyle name="Nota 2 2" xfId="2712"/>
    <cellStyle name="Nota 2 2 2" xfId="7978"/>
    <cellStyle name="Nota 2 2 3" xfId="9304"/>
    <cellStyle name="Nota 2 2 4" xfId="10674"/>
    <cellStyle name="Nota 2 2 5" xfId="7949"/>
    <cellStyle name="Nota 2 2 6" xfId="7960"/>
    <cellStyle name="Nota 2 3" xfId="7926"/>
    <cellStyle name="Nota 2 4" xfId="7938"/>
    <cellStyle name="Nota 2 5" xfId="7966"/>
    <cellStyle name="Nota 2 6" xfId="7965"/>
    <cellStyle name="Nota 2 7" xfId="7910"/>
    <cellStyle name="Nota 3" xfId="1107"/>
    <cellStyle name="Nota 3 2" xfId="1108"/>
    <cellStyle name="Nota 3 2 2" xfId="7928"/>
    <cellStyle name="Nota 3 2 3" xfId="7937"/>
    <cellStyle name="Nota 3 2 4" xfId="7974"/>
    <cellStyle name="Nota 3 2 5" xfId="7984"/>
    <cellStyle name="Nota 3 2 6" xfId="7975"/>
    <cellStyle name="Nota 3 3" xfId="1109"/>
    <cellStyle name="Nota 3 3 2" xfId="2714"/>
    <cellStyle name="Nota 3 3 2 2" xfId="7980"/>
    <cellStyle name="Nota 3 3 2 3" xfId="9320"/>
    <cellStyle name="Nota 3 3 2 4" xfId="7902"/>
    <cellStyle name="Nota 3 3 2 5" xfId="7944"/>
    <cellStyle name="Nota 3 3 2 6" xfId="9306"/>
    <cellStyle name="Nota 3 3 3" xfId="7929"/>
    <cellStyle name="Nota 3 3 4" xfId="7936"/>
    <cellStyle name="Nota 3 3 5" xfId="9302"/>
    <cellStyle name="Nota 3 3 6" xfId="10667"/>
    <cellStyle name="Nota 3 3 7" xfId="7948"/>
    <cellStyle name="Nota 3 4" xfId="2713"/>
    <cellStyle name="Nota 3 4 2" xfId="7979"/>
    <cellStyle name="Nota 3 4 3" xfId="9354"/>
    <cellStyle name="Nota 3 4 4" xfId="10684"/>
    <cellStyle name="Nota 3 4 5" xfId="10668"/>
    <cellStyle name="Nota 3 4 6" xfId="9355"/>
    <cellStyle name="Nota 3 5" xfId="7927"/>
    <cellStyle name="Nota 3 6" xfId="7987"/>
    <cellStyle name="Nota 3 7" xfId="7921"/>
    <cellStyle name="Nota 3 8" xfId="7983"/>
    <cellStyle name="Nota 3 9" xfId="7923"/>
    <cellStyle name="Nota 4" xfId="1110"/>
    <cellStyle name="Nota 4 2" xfId="1111"/>
    <cellStyle name="Nota 4 2 2" xfId="2716"/>
    <cellStyle name="Nota 4 2 2 2" xfId="7982"/>
    <cellStyle name="Nota 4 2 2 3" xfId="9337"/>
    <cellStyle name="Nota 4 2 2 4" xfId="10673"/>
    <cellStyle name="Nota 4 2 2 5" xfId="9339"/>
    <cellStyle name="Nota 4 2 2 6" xfId="7901"/>
    <cellStyle name="Nota 4 2 3" xfId="7931"/>
    <cellStyle name="Nota 4 2 4" xfId="7985"/>
    <cellStyle name="Nota 4 2 5" xfId="7973"/>
    <cellStyle name="Nota 4 2 6" xfId="7967"/>
    <cellStyle name="Nota 4 2 7" xfId="7903"/>
    <cellStyle name="Nota 4 3" xfId="2715"/>
    <cellStyle name="Nota 4 3 2" xfId="7981"/>
    <cellStyle name="Nota 4 3 3" xfId="7968"/>
    <cellStyle name="Nota 4 3 4" xfId="9332"/>
    <cellStyle name="Nota 4 3 5" xfId="10658"/>
    <cellStyle name="Nota 4 3 6" xfId="10659"/>
    <cellStyle name="Nota 4 4" xfId="7930"/>
    <cellStyle name="Nota 4 5" xfId="7935"/>
    <cellStyle name="Nota 4 6" xfId="9352"/>
    <cellStyle name="Nota 4 7" xfId="10681"/>
    <cellStyle name="Nota 4 8" xfId="10669"/>
    <cellStyle name="Nota 5" xfId="1112"/>
    <cellStyle name="Nota 5 2" xfId="7932"/>
    <cellStyle name="Nota 5 3" xfId="7986"/>
    <cellStyle name="Nota 5 4" xfId="7922"/>
    <cellStyle name="Nota 5 5" xfId="7933"/>
    <cellStyle name="Nota 5 6" xfId="7924"/>
    <cellStyle name="Nota 6" xfId="7925"/>
    <cellStyle name="Nota 7" xfId="7939"/>
    <cellStyle name="Nota 8" xfId="9319"/>
    <cellStyle name="Nota 9" xfId="9299"/>
    <cellStyle name="Note 2" xfId="3450"/>
    <cellStyle name="Note 2 2" xfId="3522"/>
    <cellStyle name="Note 2 2 2" xfId="8106"/>
    <cellStyle name="Note 2 2 3" xfId="7964"/>
    <cellStyle name="Note 2 2 4" xfId="10672"/>
    <cellStyle name="Note 2 2 5" xfId="7989"/>
    <cellStyle name="Note 2 2 6" xfId="10685"/>
    <cellStyle name="Note 2 3" xfId="8052"/>
    <cellStyle name="Note 2 4" xfId="7911"/>
    <cellStyle name="Note 2 5" xfId="7963"/>
    <cellStyle name="Note 2 6" xfId="7900"/>
    <cellStyle name="Note 2 7" xfId="9364"/>
    <cellStyle name="Nuovo" xfId="1113"/>
    <cellStyle name="Nuovo 10" xfId="1114"/>
    <cellStyle name="Nuovo 10 2" xfId="1115"/>
    <cellStyle name="Nuovo 10 2 2" xfId="2717"/>
    <cellStyle name="Nuovo 10 3" xfId="1116"/>
    <cellStyle name="Nuovo 10 3 2" xfId="1117"/>
    <cellStyle name="Nuovo 10 3 3" xfId="1118"/>
    <cellStyle name="Nuovo 10 3 3 2" xfId="2719"/>
    <cellStyle name="Nuovo 10 3 4" xfId="2718"/>
    <cellStyle name="Nuovo 10 4" xfId="1119"/>
    <cellStyle name="Nuovo 10 4 2" xfId="1120"/>
    <cellStyle name="Nuovo 10 4 2 2" xfId="2721"/>
    <cellStyle name="Nuovo 10 4 3" xfId="2720"/>
    <cellStyle name="Nuovo 10 5" xfId="1121"/>
    <cellStyle name="Nuovo 11" xfId="1122"/>
    <cellStyle name="Nuovo 11 2" xfId="1123"/>
    <cellStyle name="Nuovo 11 2 2" xfId="2722"/>
    <cellStyle name="Nuovo 11 3" xfId="1124"/>
    <cellStyle name="Nuovo 11 3 2" xfId="1125"/>
    <cellStyle name="Nuovo 11 3 3" xfId="1126"/>
    <cellStyle name="Nuovo 11 3 3 2" xfId="2724"/>
    <cellStyle name="Nuovo 11 3 4" xfId="2723"/>
    <cellStyle name="Nuovo 11 4" xfId="1127"/>
    <cellStyle name="Nuovo 11 4 2" xfId="1128"/>
    <cellStyle name="Nuovo 11 4 2 2" xfId="2726"/>
    <cellStyle name="Nuovo 11 4 3" xfId="2725"/>
    <cellStyle name="Nuovo 11 5" xfId="1129"/>
    <cellStyle name="Nuovo 12" xfId="1130"/>
    <cellStyle name="Nuovo 12 2" xfId="1131"/>
    <cellStyle name="Nuovo 12 2 2" xfId="2727"/>
    <cellStyle name="Nuovo 12 3" xfId="1132"/>
    <cellStyle name="Nuovo 12 3 2" xfId="1133"/>
    <cellStyle name="Nuovo 12 3 3" xfId="1134"/>
    <cellStyle name="Nuovo 12 3 3 2" xfId="2729"/>
    <cellStyle name="Nuovo 12 3 4" xfId="2728"/>
    <cellStyle name="Nuovo 12 4" xfId="1135"/>
    <cellStyle name="Nuovo 12 4 2" xfId="1136"/>
    <cellStyle name="Nuovo 12 4 2 2" xfId="2731"/>
    <cellStyle name="Nuovo 12 4 3" xfId="2730"/>
    <cellStyle name="Nuovo 12 5" xfId="1137"/>
    <cellStyle name="Nuovo 13" xfId="1138"/>
    <cellStyle name="Nuovo 13 2" xfId="1139"/>
    <cellStyle name="Nuovo 13 2 2" xfId="2732"/>
    <cellStyle name="Nuovo 13 3" xfId="1140"/>
    <cellStyle name="Nuovo 13 3 2" xfId="1141"/>
    <cellStyle name="Nuovo 13 3 3" xfId="1142"/>
    <cellStyle name="Nuovo 13 3 3 2" xfId="2734"/>
    <cellStyle name="Nuovo 13 3 4" xfId="2733"/>
    <cellStyle name="Nuovo 13 4" xfId="1143"/>
    <cellStyle name="Nuovo 13 4 2" xfId="1144"/>
    <cellStyle name="Nuovo 13 4 2 2" xfId="2736"/>
    <cellStyle name="Nuovo 13 4 3" xfId="2735"/>
    <cellStyle name="Nuovo 13 5" xfId="1145"/>
    <cellStyle name="Nuovo 14" xfId="1146"/>
    <cellStyle name="Nuovo 14 2" xfId="1147"/>
    <cellStyle name="Nuovo 14 2 2" xfId="2737"/>
    <cellStyle name="Nuovo 14 3" xfId="1148"/>
    <cellStyle name="Nuovo 14 3 2" xfId="1149"/>
    <cellStyle name="Nuovo 14 3 3" xfId="1150"/>
    <cellStyle name="Nuovo 14 3 3 2" xfId="2739"/>
    <cellStyle name="Nuovo 14 3 4" xfId="2738"/>
    <cellStyle name="Nuovo 14 4" xfId="1151"/>
    <cellStyle name="Nuovo 14 4 2" xfId="1152"/>
    <cellStyle name="Nuovo 14 4 2 2" xfId="2741"/>
    <cellStyle name="Nuovo 14 4 3" xfId="2740"/>
    <cellStyle name="Nuovo 14 5" xfId="1153"/>
    <cellStyle name="Nuovo 15" xfId="1154"/>
    <cellStyle name="Nuovo 15 2" xfId="1155"/>
    <cellStyle name="Nuovo 15 2 2" xfId="2742"/>
    <cellStyle name="Nuovo 15 3" xfId="1156"/>
    <cellStyle name="Nuovo 15 3 2" xfId="1157"/>
    <cellStyle name="Nuovo 15 3 3" xfId="1158"/>
    <cellStyle name="Nuovo 15 3 3 2" xfId="2744"/>
    <cellStyle name="Nuovo 15 3 4" xfId="2743"/>
    <cellStyle name="Nuovo 15 4" xfId="1159"/>
    <cellStyle name="Nuovo 15 4 2" xfId="1160"/>
    <cellStyle name="Nuovo 15 4 2 2" xfId="2746"/>
    <cellStyle name="Nuovo 15 4 3" xfId="2745"/>
    <cellStyle name="Nuovo 15 5" xfId="1161"/>
    <cellStyle name="Nuovo 16" xfId="1162"/>
    <cellStyle name="Nuovo 16 2" xfId="1163"/>
    <cellStyle name="Nuovo 16 2 2" xfId="2747"/>
    <cellStyle name="Nuovo 16 3" xfId="1164"/>
    <cellStyle name="Nuovo 16 3 2" xfId="1165"/>
    <cellStyle name="Nuovo 16 3 3" xfId="1166"/>
    <cellStyle name="Nuovo 16 3 3 2" xfId="2749"/>
    <cellStyle name="Nuovo 16 3 4" xfId="2748"/>
    <cellStyle name="Nuovo 16 4" xfId="1167"/>
    <cellStyle name="Nuovo 16 4 2" xfId="1168"/>
    <cellStyle name="Nuovo 16 4 2 2" xfId="2751"/>
    <cellStyle name="Nuovo 16 4 3" xfId="2750"/>
    <cellStyle name="Nuovo 16 5" xfId="1169"/>
    <cellStyle name="Nuovo 17" xfId="1170"/>
    <cellStyle name="Nuovo 17 2" xfId="1171"/>
    <cellStyle name="Nuovo 17 2 2" xfId="2752"/>
    <cellStyle name="Nuovo 17 3" xfId="1172"/>
    <cellStyle name="Nuovo 17 3 2" xfId="1173"/>
    <cellStyle name="Nuovo 17 3 3" xfId="1174"/>
    <cellStyle name="Nuovo 17 3 3 2" xfId="2754"/>
    <cellStyle name="Nuovo 17 3 4" xfId="2753"/>
    <cellStyle name="Nuovo 17 4" xfId="1175"/>
    <cellStyle name="Nuovo 17 4 2" xfId="1176"/>
    <cellStyle name="Nuovo 17 4 2 2" xfId="2756"/>
    <cellStyle name="Nuovo 17 4 3" xfId="2755"/>
    <cellStyle name="Nuovo 17 5" xfId="1177"/>
    <cellStyle name="Nuovo 18" xfId="1178"/>
    <cellStyle name="Nuovo 18 2" xfId="1179"/>
    <cellStyle name="Nuovo 18 2 2" xfId="2757"/>
    <cellStyle name="Nuovo 18 3" xfId="1180"/>
    <cellStyle name="Nuovo 18 3 2" xfId="1181"/>
    <cellStyle name="Nuovo 18 3 3" xfId="1182"/>
    <cellStyle name="Nuovo 18 3 3 2" xfId="2759"/>
    <cellStyle name="Nuovo 18 3 4" xfId="2758"/>
    <cellStyle name="Nuovo 18 4" xfId="1183"/>
    <cellStyle name="Nuovo 18 4 2" xfId="1184"/>
    <cellStyle name="Nuovo 18 4 2 2" xfId="2761"/>
    <cellStyle name="Nuovo 18 4 3" xfId="2760"/>
    <cellStyle name="Nuovo 18 5" xfId="1185"/>
    <cellStyle name="Nuovo 19" xfId="1186"/>
    <cellStyle name="Nuovo 19 2" xfId="1187"/>
    <cellStyle name="Nuovo 19 2 2" xfId="2762"/>
    <cellStyle name="Nuovo 19 3" xfId="1188"/>
    <cellStyle name="Nuovo 19 3 2" xfId="1189"/>
    <cellStyle name="Nuovo 19 3 3" xfId="1190"/>
    <cellStyle name="Nuovo 19 3 3 2" xfId="2764"/>
    <cellStyle name="Nuovo 19 3 4" xfId="2763"/>
    <cellStyle name="Nuovo 19 4" xfId="1191"/>
    <cellStyle name="Nuovo 19 4 2" xfId="1192"/>
    <cellStyle name="Nuovo 19 4 2 2" xfId="2766"/>
    <cellStyle name="Nuovo 19 4 3" xfId="2765"/>
    <cellStyle name="Nuovo 19 5" xfId="1193"/>
    <cellStyle name="Nuovo 2" xfId="1194"/>
    <cellStyle name="Nuovo 2 2" xfId="1195"/>
    <cellStyle name="Nuovo 2 2 2" xfId="2767"/>
    <cellStyle name="Nuovo 2 3" xfId="1196"/>
    <cellStyle name="Nuovo 2 3 2" xfId="1197"/>
    <cellStyle name="Nuovo 2 3 3" xfId="1198"/>
    <cellStyle name="Nuovo 2 3 3 2" xfId="2769"/>
    <cellStyle name="Nuovo 2 3 4" xfId="2768"/>
    <cellStyle name="Nuovo 2 4" xfId="1199"/>
    <cellStyle name="Nuovo 2 4 2" xfId="1200"/>
    <cellStyle name="Nuovo 2 4 2 2" xfId="2771"/>
    <cellStyle name="Nuovo 2 4 3" xfId="2770"/>
    <cellStyle name="Nuovo 2 5" xfId="1201"/>
    <cellStyle name="Nuovo 20" xfId="1202"/>
    <cellStyle name="Nuovo 20 2" xfId="1203"/>
    <cellStyle name="Nuovo 20 2 2" xfId="2772"/>
    <cellStyle name="Nuovo 20 3" xfId="1204"/>
    <cellStyle name="Nuovo 20 3 2" xfId="1205"/>
    <cellStyle name="Nuovo 20 3 3" xfId="1206"/>
    <cellStyle name="Nuovo 20 3 3 2" xfId="2774"/>
    <cellStyle name="Nuovo 20 3 4" xfId="2773"/>
    <cellStyle name="Nuovo 20 4" xfId="1207"/>
    <cellStyle name="Nuovo 20 4 2" xfId="1208"/>
    <cellStyle name="Nuovo 20 4 2 2" xfId="2776"/>
    <cellStyle name="Nuovo 20 4 3" xfId="2775"/>
    <cellStyle name="Nuovo 20 5" xfId="1209"/>
    <cellStyle name="Nuovo 21" xfId="1210"/>
    <cellStyle name="Nuovo 21 2" xfId="1211"/>
    <cellStyle name="Nuovo 21 2 2" xfId="2777"/>
    <cellStyle name="Nuovo 21 3" xfId="1212"/>
    <cellStyle name="Nuovo 21 3 2" xfId="1213"/>
    <cellStyle name="Nuovo 21 3 3" xfId="1214"/>
    <cellStyle name="Nuovo 21 3 3 2" xfId="2779"/>
    <cellStyle name="Nuovo 21 3 4" xfId="2778"/>
    <cellStyle name="Nuovo 21 4" xfId="1215"/>
    <cellStyle name="Nuovo 21 4 2" xfId="1216"/>
    <cellStyle name="Nuovo 21 4 2 2" xfId="2781"/>
    <cellStyle name="Nuovo 21 4 3" xfId="2780"/>
    <cellStyle name="Nuovo 21 5" xfId="1217"/>
    <cellStyle name="Nuovo 22" xfId="1218"/>
    <cellStyle name="Nuovo 22 2" xfId="1219"/>
    <cellStyle name="Nuovo 22 2 2" xfId="2782"/>
    <cellStyle name="Nuovo 22 3" xfId="1220"/>
    <cellStyle name="Nuovo 22 3 2" xfId="1221"/>
    <cellStyle name="Nuovo 22 3 3" xfId="1222"/>
    <cellStyle name="Nuovo 22 3 3 2" xfId="2784"/>
    <cellStyle name="Nuovo 22 3 4" xfId="2783"/>
    <cellStyle name="Nuovo 22 4" xfId="1223"/>
    <cellStyle name="Nuovo 22 4 2" xfId="1224"/>
    <cellStyle name="Nuovo 22 4 2 2" xfId="2786"/>
    <cellStyle name="Nuovo 22 4 3" xfId="2785"/>
    <cellStyle name="Nuovo 22 5" xfId="1225"/>
    <cellStyle name="Nuovo 23" xfId="1226"/>
    <cellStyle name="Nuovo 23 2" xfId="1227"/>
    <cellStyle name="Nuovo 23 2 2" xfId="2787"/>
    <cellStyle name="Nuovo 23 3" xfId="1228"/>
    <cellStyle name="Nuovo 23 3 2" xfId="1229"/>
    <cellStyle name="Nuovo 23 3 3" xfId="1230"/>
    <cellStyle name="Nuovo 23 3 3 2" xfId="2789"/>
    <cellStyle name="Nuovo 23 3 4" xfId="2788"/>
    <cellStyle name="Nuovo 23 4" xfId="1231"/>
    <cellStyle name="Nuovo 23 4 2" xfId="1232"/>
    <cellStyle name="Nuovo 23 4 2 2" xfId="2791"/>
    <cellStyle name="Nuovo 23 4 3" xfId="2790"/>
    <cellStyle name="Nuovo 23 5" xfId="1233"/>
    <cellStyle name="Nuovo 24" xfId="1234"/>
    <cellStyle name="Nuovo 24 2" xfId="1235"/>
    <cellStyle name="Nuovo 24 2 2" xfId="2792"/>
    <cellStyle name="Nuovo 24 3" xfId="1236"/>
    <cellStyle name="Nuovo 24 3 2" xfId="1237"/>
    <cellStyle name="Nuovo 24 3 3" xfId="1238"/>
    <cellStyle name="Nuovo 24 3 3 2" xfId="2794"/>
    <cellStyle name="Nuovo 24 3 4" xfId="2793"/>
    <cellStyle name="Nuovo 24 4" xfId="1239"/>
    <cellStyle name="Nuovo 24 4 2" xfId="1240"/>
    <cellStyle name="Nuovo 24 4 2 2" xfId="2796"/>
    <cellStyle name="Nuovo 24 4 3" xfId="2795"/>
    <cellStyle name="Nuovo 24 5" xfId="1241"/>
    <cellStyle name="Nuovo 25" xfId="1242"/>
    <cellStyle name="Nuovo 25 2" xfId="1243"/>
    <cellStyle name="Nuovo 25 2 2" xfId="2797"/>
    <cellStyle name="Nuovo 25 3" xfId="1244"/>
    <cellStyle name="Nuovo 25 3 2" xfId="1245"/>
    <cellStyle name="Nuovo 25 3 3" xfId="1246"/>
    <cellStyle name="Nuovo 25 3 3 2" xfId="2799"/>
    <cellStyle name="Nuovo 25 3 4" xfId="2798"/>
    <cellStyle name="Nuovo 25 4" xfId="1247"/>
    <cellStyle name="Nuovo 25 4 2" xfId="1248"/>
    <cellStyle name="Nuovo 25 4 2 2" xfId="2801"/>
    <cellStyle name="Nuovo 25 4 3" xfId="2800"/>
    <cellStyle name="Nuovo 25 5" xfId="1249"/>
    <cellStyle name="Nuovo 26" xfId="1250"/>
    <cellStyle name="Nuovo 26 2" xfId="1251"/>
    <cellStyle name="Nuovo 26 2 2" xfId="2802"/>
    <cellStyle name="Nuovo 26 3" xfId="1252"/>
    <cellStyle name="Nuovo 26 3 2" xfId="1253"/>
    <cellStyle name="Nuovo 26 3 3" xfId="1254"/>
    <cellStyle name="Nuovo 26 3 3 2" xfId="2804"/>
    <cellStyle name="Nuovo 26 3 4" xfId="2803"/>
    <cellStyle name="Nuovo 26 4" xfId="1255"/>
    <cellStyle name="Nuovo 26 4 2" xfId="1256"/>
    <cellStyle name="Nuovo 26 4 2 2" xfId="2806"/>
    <cellStyle name="Nuovo 26 4 3" xfId="2805"/>
    <cellStyle name="Nuovo 26 5" xfId="1257"/>
    <cellStyle name="Nuovo 27" xfId="1258"/>
    <cellStyle name="Nuovo 27 2" xfId="1259"/>
    <cellStyle name="Nuovo 27 2 2" xfId="2807"/>
    <cellStyle name="Nuovo 27 3" xfId="1260"/>
    <cellStyle name="Nuovo 27 3 2" xfId="1261"/>
    <cellStyle name="Nuovo 27 3 3" xfId="1262"/>
    <cellStyle name="Nuovo 27 3 3 2" xfId="2809"/>
    <cellStyle name="Nuovo 27 3 4" xfId="2808"/>
    <cellStyle name="Nuovo 27 4" xfId="1263"/>
    <cellStyle name="Nuovo 27 4 2" xfId="1264"/>
    <cellStyle name="Nuovo 27 4 2 2" xfId="2811"/>
    <cellStyle name="Nuovo 27 4 3" xfId="2810"/>
    <cellStyle name="Nuovo 27 5" xfId="1265"/>
    <cellStyle name="Nuovo 28" xfId="1266"/>
    <cellStyle name="Nuovo 28 2" xfId="1267"/>
    <cellStyle name="Nuovo 28 2 2" xfId="2812"/>
    <cellStyle name="Nuovo 28 3" xfId="1268"/>
    <cellStyle name="Nuovo 28 3 2" xfId="1269"/>
    <cellStyle name="Nuovo 28 3 3" xfId="1270"/>
    <cellStyle name="Nuovo 28 3 3 2" xfId="2814"/>
    <cellStyle name="Nuovo 28 3 4" xfId="2813"/>
    <cellStyle name="Nuovo 28 4" xfId="1271"/>
    <cellStyle name="Nuovo 28 4 2" xfId="1272"/>
    <cellStyle name="Nuovo 28 4 2 2" xfId="2816"/>
    <cellStyle name="Nuovo 28 4 3" xfId="2815"/>
    <cellStyle name="Nuovo 28 5" xfId="1273"/>
    <cellStyle name="Nuovo 29" xfId="1274"/>
    <cellStyle name="Nuovo 29 2" xfId="1275"/>
    <cellStyle name="Nuovo 29 2 2" xfId="2817"/>
    <cellStyle name="Nuovo 29 3" xfId="1276"/>
    <cellStyle name="Nuovo 29 3 2" xfId="1277"/>
    <cellStyle name="Nuovo 29 3 3" xfId="1278"/>
    <cellStyle name="Nuovo 29 3 3 2" xfId="2819"/>
    <cellStyle name="Nuovo 29 3 4" xfId="2818"/>
    <cellStyle name="Nuovo 29 4" xfId="1279"/>
    <cellStyle name="Nuovo 29 4 2" xfId="1280"/>
    <cellStyle name="Nuovo 29 4 2 2" xfId="2821"/>
    <cellStyle name="Nuovo 29 4 3" xfId="2820"/>
    <cellStyle name="Nuovo 29 5" xfId="1281"/>
    <cellStyle name="Nuovo 3" xfId="1282"/>
    <cellStyle name="Nuovo 3 2" xfId="1283"/>
    <cellStyle name="Nuovo 3 2 2" xfId="2822"/>
    <cellStyle name="Nuovo 3 3" xfId="1284"/>
    <cellStyle name="Nuovo 3 3 2" xfId="1285"/>
    <cellStyle name="Nuovo 3 3 3" xfId="1286"/>
    <cellStyle name="Nuovo 3 3 3 2" xfId="2824"/>
    <cellStyle name="Nuovo 3 3 4" xfId="2823"/>
    <cellStyle name="Nuovo 3 4" xfId="1287"/>
    <cellStyle name="Nuovo 3 4 2" xfId="1288"/>
    <cellStyle name="Nuovo 3 4 2 2" xfId="2826"/>
    <cellStyle name="Nuovo 3 4 3" xfId="2825"/>
    <cellStyle name="Nuovo 3 5" xfId="1289"/>
    <cellStyle name="Nuovo 30" xfId="1290"/>
    <cellStyle name="Nuovo 30 2" xfId="1291"/>
    <cellStyle name="Nuovo 30 2 2" xfId="2827"/>
    <cellStyle name="Nuovo 30 3" xfId="1292"/>
    <cellStyle name="Nuovo 30 3 2" xfId="1293"/>
    <cellStyle name="Nuovo 30 3 3" xfId="1294"/>
    <cellStyle name="Nuovo 30 3 3 2" xfId="2829"/>
    <cellStyle name="Nuovo 30 3 4" xfId="2828"/>
    <cellStyle name="Nuovo 30 4" xfId="1295"/>
    <cellStyle name="Nuovo 30 4 2" xfId="1296"/>
    <cellStyle name="Nuovo 30 4 2 2" xfId="2831"/>
    <cellStyle name="Nuovo 30 4 3" xfId="2830"/>
    <cellStyle name="Nuovo 30 5" xfId="1297"/>
    <cellStyle name="Nuovo 31" xfId="1298"/>
    <cellStyle name="Nuovo 31 2" xfId="1299"/>
    <cellStyle name="Nuovo 31 2 2" xfId="2832"/>
    <cellStyle name="Nuovo 31 3" xfId="1300"/>
    <cellStyle name="Nuovo 31 3 2" xfId="1301"/>
    <cellStyle name="Nuovo 31 3 3" xfId="1302"/>
    <cellStyle name="Nuovo 31 3 3 2" xfId="2834"/>
    <cellStyle name="Nuovo 31 3 4" xfId="2833"/>
    <cellStyle name="Nuovo 31 4" xfId="1303"/>
    <cellStyle name="Nuovo 31 4 2" xfId="1304"/>
    <cellStyle name="Nuovo 31 4 2 2" xfId="2836"/>
    <cellStyle name="Nuovo 31 4 3" xfId="2835"/>
    <cellStyle name="Nuovo 31 5" xfId="1305"/>
    <cellStyle name="Nuovo 32" xfId="1306"/>
    <cellStyle name="Nuovo 32 2" xfId="1307"/>
    <cellStyle name="Nuovo 32 2 2" xfId="2837"/>
    <cellStyle name="Nuovo 32 3" xfId="1308"/>
    <cellStyle name="Nuovo 32 3 2" xfId="1309"/>
    <cellStyle name="Nuovo 32 3 3" xfId="1310"/>
    <cellStyle name="Nuovo 32 3 3 2" xfId="2839"/>
    <cellStyle name="Nuovo 32 3 4" xfId="2838"/>
    <cellStyle name="Nuovo 32 4" xfId="1311"/>
    <cellStyle name="Nuovo 32 4 2" xfId="1312"/>
    <cellStyle name="Nuovo 32 4 2 2" xfId="2841"/>
    <cellStyle name="Nuovo 32 4 3" xfId="2840"/>
    <cellStyle name="Nuovo 32 5" xfId="1313"/>
    <cellStyle name="Nuovo 33" xfId="1314"/>
    <cellStyle name="Nuovo 33 2" xfId="1315"/>
    <cellStyle name="Nuovo 33 2 2" xfId="2842"/>
    <cellStyle name="Nuovo 33 3" xfId="1316"/>
    <cellStyle name="Nuovo 33 3 2" xfId="1317"/>
    <cellStyle name="Nuovo 33 3 3" xfId="1318"/>
    <cellStyle name="Nuovo 33 3 3 2" xfId="2844"/>
    <cellStyle name="Nuovo 33 3 4" xfId="2843"/>
    <cellStyle name="Nuovo 33 4" xfId="1319"/>
    <cellStyle name="Nuovo 33 4 2" xfId="1320"/>
    <cellStyle name="Nuovo 33 4 2 2" xfId="2846"/>
    <cellStyle name="Nuovo 33 4 3" xfId="2845"/>
    <cellStyle name="Nuovo 33 5" xfId="1321"/>
    <cellStyle name="Nuovo 34" xfId="1322"/>
    <cellStyle name="Nuovo 34 2" xfId="1323"/>
    <cellStyle name="Nuovo 34 2 2" xfId="2847"/>
    <cellStyle name="Nuovo 34 3" xfId="1324"/>
    <cellStyle name="Nuovo 34 3 2" xfId="1325"/>
    <cellStyle name="Nuovo 34 3 3" xfId="1326"/>
    <cellStyle name="Nuovo 34 3 3 2" xfId="2849"/>
    <cellStyle name="Nuovo 34 3 4" xfId="2848"/>
    <cellStyle name="Nuovo 34 4" xfId="1327"/>
    <cellStyle name="Nuovo 34 4 2" xfId="1328"/>
    <cellStyle name="Nuovo 34 4 2 2" xfId="2851"/>
    <cellStyle name="Nuovo 34 4 3" xfId="2850"/>
    <cellStyle name="Nuovo 34 5" xfId="1329"/>
    <cellStyle name="Nuovo 35" xfId="1330"/>
    <cellStyle name="Nuovo 35 2" xfId="1331"/>
    <cellStyle name="Nuovo 35 2 2" xfId="2852"/>
    <cellStyle name="Nuovo 35 3" xfId="1332"/>
    <cellStyle name="Nuovo 35 3 2" xfId="1333"/>
    <cellStyle name="Nuovo 35 3 3" xfId="1334"/>
    <cellStyle name="Nuovo 35 3 3 2" xfId="2854"/>
    <cellStyle name="Nuovo 35 3 4" xfId="2853"/>
    <cellStyle name="Nuovo 35 4" xfId="1335"/>
    <cellStyle name="Nuovo 35 4 2" xfId="1336"/>
    <cellStyle name="Nuovo 35 4 2 2" xfId="2856"/>
    <cellStyle name="Nuovo 35 4 3" xfId="2855"/>
    <cellStyle name="Nuovo 35 5" xfId="1337"/>
    <cellStyle name="Nuovo 36" xfId="1338"/>
    <cellStyle name="Nuovo 36 2" xfId="1339"/>
    <cellStyle name="Nuovo 36 2 2" xfId="2857"/>
    <cellStyle name="Nuovo 36 3" xfId="1340"/>
    <cellStyle name="Nuovo 36 3 2" xfId="1341"/>
    <cellStyle name="Nuovo 36 3 3" xfId="1342"/>
    <cellStyle name="Nuovo 36 3 3 2" xfId="2859"/>
    <cellStyle name="Nuovo 36 3 4" xfId="2858"/>
    <cellStyle name="Nuovo 36 4" xfId="1343"/>
    <cellStyle name="Nuovo 36 4 2" xfId="1344"/>
    <cellStyle name="Nuovo 36 4 2 2" xfId="2861"/>
    <cellStyle name="Nuovo 36 4 3" xfId="2860"/>
    <cellStyle name="Nuovo 36 5" xfId="1345"/>
    <cellStyle name="Nuovo 37" xfId="1346"/>
    <cellStyle name="Nuovo 37 2" xfId="1347"/>
    <cellStyle name="Nuovo 37 2 2" xfId="2862"/>
    <cellStyle name="Nuovo 37 3" xfId="1348"/>
    <cellStyle name="Nuovo 37 3 2" xfId="1349"/>
    <cellStyle name="Nuovo 37 3 3" xfId="1350"/>
    <cellStyle name="Nuovo 37 3 3 2" xfId="2864"/>
    <cellStyle name="Nuovo 37 3 4" xfId="2863"/>
    <cellStyle name="Nuovo 37 4" xfId="1351"/>
    <cellStyle name="Nuovo 37 4 2" xfId="1352"/>
    <cellStyle name="Nuovo 37 4 2 2" xfId="2866"/>
    <cellStyle name="Nuovo 37 4 3" xfId="2865"/>
    <cellStyle name="Nuovo 37 5" xfId="1353"/>
    <cellStyle name="Nuovo 38" xfId="1354"/>
    <cellStyle name="Nuovo 38 2" xfId="1355"/>
    <cellStyle name="Nuovo 38 2 2" xfId="2867"/>
    <cellStyle name="Nuovo 38 3" xfId="1356"/>
    <cellStyle name="Nuovo 38 3 2" xfId="1357"/>
    <cellStyle name="Nuovo 38 3 3" xfId="1358"/>
    <cellStyle name="Nuovo 38 3 3 2" xfId="2869"/>
    <cellStyle name="Nuovo 38 3 4" xfId="2868"/>
    <cellStyle name="Nuovo 38 4" xfId="1359"/>
    <cellStyle name="Nuovo 38 4 2" xfId="1360"/>
    <cellStyle name="Nuovo 38 4 2 2" xfId="2871"/>
    <cellStyle name="Nuovo 38 4 3" xfId="2870"/>
    <cellStyle name="Nuovo 38 5" xfId="1361"/>
    <cellStyle name="Nuovo 39" xfId="1362"/>
    <cellStyle name="Nuovo 39 2" xfId="1363"/>
    <cellStyle name="Nuovo 39 2 2" xfId="2872"/>
    <cellStyle name="Nuovo 39 3" xfId="1364"/>
    <cellStyle name="Nuovo 39 3 2" xfId="1365"/>
    <cellStyle name="Nuovo 39 3 3" xfId="1366"/>
    <cellStyle name="Nuovo 39 3 3 2" xfId="2874"/>
    <cellStyle name="Nuovo 39 3 4" xfId="2873"/>
    <cellStyle name="Nuovo 39 4" xfId="1367"/>
    <cellStyle name="Nuovo 39 4 2" xfId="1368"/>
    <cellStyle name="Nuovo 39 4 2 2" xfId="2876"/>
    <cellStyle name="Nuovo 39 4 3" xfId="2875"/>
    <cellStyle name="Nuovo 39 5" xfId="1369"/>
    <cellStyle name="Nuovo 4" xfId="1370"/>
    <cellStyle name="Nuovo 4 2" xfId="1371"/>
    <cellStyle name="Nuovo 4 2 2" xfId="2877"/>
    <cellStyle name="Nuovo 4 3" xfId="1372"/>
    <cellStyle name="Nuovo 4 3 2" xfId="1373"/>
    <cellStyle name="Nuovo 4 3 3" xfId="1374"/>
    <cellStyle name="Nuovo 4 3 3 2" xfId="2879"/>
    <cellStyle name="Nuovo 4 3 4" xfId="2878"/>
    <cellStyle name="Nuovo 4 4" xfId="1375"/>
    <cellStyle name="Nuovo 4 4 2" xfId="1376"/>
    <cellStyle name="Nuovo 4 4 2 2" xfId="2881"/>
    <cellStyle name="Nuovo 4 4 3" xfId="2880"/>
    <cellStyle name="Nuovo 4 5" xfId="1377"/>
    <cellStyle name="Nuovo 40" xfId="1378"/>
    <cellStyle name="Nuovo 40 2" xfId="1379"/>
    <cellStyle name="Nuovo 40 2 2" xfId="2882"/>
    <cellStyle name="Nuovo 40 3" xfId="1380"/>
    <cellStyle name="Nuovo 40 3 2" xfId="1381"/>
    <cellStyle name="Nuovo 40 3 3" xfId="1382"/>
    <cellStyle name="Nuovo 40 3 3 2" xfId="2884"/>
    <cellStyle name="Nuovo 40 3 4" xfId="2883"/>
    <cellStyle name="Nuovo 40 4" xfId="1383"/>
    <cellStyle name="Nuovo 40 4 2" xfId="1384"/>
    <cellStyle name="Nuovo 40 4 2 2" xfId="2886"/>
    <cellStyle name="Nuovo 40 4 3" xfId="2885"/>
    <cellStyle name="Nuovo 40 5" xfId="1385"/>
    <cellStyle name="Nuovo 41" xfId="1386"/>
    <cellStyle name="Nuovo 41 2" xfId="1387"/>
    <cellStyle name="Nuovo 41 2 2" xfId="2887"/>
    <cellStyle name="Nuovo 41 3" xfId="1388"/>
    <cellStyle name="Nuovo 41 3 2" xfId="1389"/>
    <cellStyle name="Nuovo 41 3 3" xfId="1390"/>
    <cellStyle name="Nuovo 41 3 3 2" xfId="2889"/>
    <cellStyle name="Nuovo 41 3 4" xfId="2888"/>
    <cellStyle name="Nuovo 41 4" xfId="1391"/>
    <cellStyle name="Nuovo 41 4 2" xfId="1392"/>
    <cellStyle name="Nuovo 41 4 2 2" xfId="2891"/>
    <cellStyle name="Nuovo 41 4 3" xfId="2890"/>
    <cellStyle name="Nuovo 41 5" xfId="1393"/>
    <cellStyle name="Nuovo 42" xfId="1394"/>
    <cellStyle name="Nuovo 42 2" xfId="1395"/>
    <cellStyle name="Nuovo 42 2 2" xfId="2892"/>
    <cellStyle name="Nuovo 42 3" xfId="1396"/>
    <cellStyle name="Nuovo 42 3 2" xfId="1397"/>
    <cellStyle name="Nuovo 42 3 3" xfId="1398"/>
    <cellStyle name="Nuovo 42 3 3 2" xfId="2894"/>
    <cellStyle name="Nuovo 42 3 4" xfId="2893"/>
    <cellStyle name="Nuovo 42 4" xfId="1399"/>
    <cellStyle name="Nuovo 42 4 2" xfId="1400"/>
    <cellStyle name="Nuovo 42 4 2 2" xfId="2896"/>
    <cellStyle name="Nuovo 42 4 3" xfId="2895"/>
    <cellStyle name="Nuovo 42 5" xfId="1401"/>
    <cellStyle name="Nuovo 43" xfId="1402"/>
    <cellStyle name="Nuovo 43 2" xfId="1403"/>
    <cellStyle name="Nuovo 43 2 2" xfId="2897"/>
    <cellStyle name="Nuovo 43 3" xfId="1404"/>
    <cellStyle name="Nuovo 43 3 2" xfId="1405"/>
    <cellStyle name="Nuovo 43 3 3" xfId="1406"/>
    <cellStyle name="Nuovo 43 3 3 2" xfId="2899"/>
    <cellStyle name="Nuovo 43 3 4" xfId="2898"/>
    <cellStyle name="Nuovo 43 4" xfId="1407"/>
    <cellStyle name="Nuovo 43 4 2" xfId="1408"/>
    <cellStyle name="Nuovo 43 4 2 2" xfId="2901"/>
    <cellStyle name="Nuovo 43 4 3" xfId="2900"/>
    <cellStyle name="Nuovo 43 5" xfId="1409"/>
    <cellStyle name="Nuovo 44" xfId="1410"/>
    <cellStyle name="Nuovo 44 2" xfId="1411"/>
    <cellStyle name="Nuovo 44 2 2" xfId="2902"/>
    <cellStyle name="Nuovo 44 3" xfId="1412"/>
    <cellStyle name="Nuovo 44 3 2" xfId="1413"/>
    <cellStyle name="Nuovo 44 3 3" xfId="1414"/>
    <cellStyle name="Nuovo 44 3 3 2" xfId="2904"/>
    <cellStyle name="Nuovo 44 3 4" xfId="2903"/>
    <cellStyle name="Nuovo 44 4" xfId="1415"/>
    <cellStyle name="Nuovo 44 4 2" xfId="1416"/>
    <cellStyle name="Nuovo 44 4 2 2" xfId="2906"/>
    <cellStyle name="Nuovo 44 4 3" xfId="2905"/>
    <cellStyle name="Nuovo 44 5" xfId="1417"/>
    <cellStyle name="Nuovo 45" xfId="1418"/>
    <cellStyle name="Nuovo 45 2" xfId="2907"/>
    <cellStyle name="Nuovo 46" xfId="1419"/>
    <cellStyle name="Nuovo 46 2" xfId="1420"/>
    <cellStyle name="Nuovo 46 3" xfId="1421"/>
    <cellStyle name="Nuovo 46 3 2" xfId="2909"/>
    <cellStyle name="Nuovo 46 4" xfId="2908"/>
    <cellStyle name="Nuovo 47" xfId="1422"/>
    <cellStyle name="Nuovo 47 2" xfId="1423"/>
    <cellStyle name="Nuovo 47 2 2" xfId="2911"/>
    <cellStyle name="Nuovo 47 3" xfId="2910"/>
    <cellStyle name="Nuovo 48" xfId="1424"/>
    <cellStyle name="Nuovo 5" xfId="1425"/>
    <cellStyle name="Nuovo 5 2" xfId="1426"/>
    <cellStyle name="Nuovo 5 2 2" xfId="2912"/>
    <cellStyle name="Nuovo 5 3" xfId="1427"/>
    <cellStyle name="Nuovo 5 3 2" xfId="1428"/>
    <cellStyle name="Nuovo 5 3 3" xfId="1429"/>
    <cellStyle name="Nuovo 5 3 3 2" xfId="2914"/>
    <cellStyle name="Nuovo 5 3 4" xfId="2913"/>
    <cellStyle name="Nuovo 5 4" xfId="1430"/>
    <cellStyle name="Nuovo 5 4 2" xfId="1431"/>
    <cellStyle name="Nuovo 5 4 2 2" xfId="2916"/>
    <cellStyle name="Nuovo 5 4 3" xfId="2915"/>
    <cellStyle name="Nuovo 5 5" xfId="1432"/>
    <cellStyle name="Nuovo 6" xfId="1433"/>
    <cellStyle name="Nuovo 6 2" xfId="1434"/>
    <cellStyle name="Nuovo 6 2 2" xfId="2917"/>
    <cellStyle name="Nuovo 6 3" xfId="1435"/>
    <cellStyle name="Nuovo 6 3 2" xfId="1436"/>
    <cellStyle name="Nuovo 6 3 3" xfId="1437"/>
    <cellStyle name="Nuovo 6 3 3 2" xfId="2919"/>
    <cellStyle name="Nuovo 6 3 4" xfId="2918"/>
    <cellStyle name="Nuovo 6 4" xfId="1438"/>
    <cellStyle name="Nuovo 6 4 2" xfId="1439"/>
    <cellStyle name="Nuovo 6 4 2 2" xfId="2921"/>
    <cellStyle name="Nuovo 6 4 3" xfId="2920"/>
    <cellStyle name="Nuovo 6 5" xfId="1440"/>
    <cellStyle name="Nuovo 7" xfId="1441"/>
    <cellStyle name="Nuovo 7 2" xfId="1442"/>
    <cellStyle name="Nuovo 7 2 2" xfId="2922"/>
    <cellStyle name="Nuovo 7 3" xfId="1443"/>
    <cellStyle name="Nuovo 7 3 2" xfId="1444"/>
    <cellStyle name="Nuovo 7 3 3" xfId="1445"/>
    <cellStyle name="Nuovo 7 3 3 2" xfId="2924"/>
    <cellStyle name="Nuovo 7 3 4" xfId="2923"/>
    <cellStyle name="Nuovo 7 4" xfId="1446"/>
    <cellStyle name="Nuovo 7 4 2" xfId="1447"/>
    <cellStyle name="Nuovo 7 4 2 2" xfId="2926"/>
    <cellStyle name="Nuovo 7 4 3" xfId="2925"/>
    <cellStyle name="Nuovo 7 5" xfId="1448"/>
    <cellStyle name="Nuovo 8" xfId="1449"/>
    <cellStyle name="Nuovo 8 2" xfId="1450"/>
    <cellStyle name="Nuovo 8 2 2" xfId="2927"/>
    <cellStyle name="Nuovo 8 3" xfId="1451"/>
    <cellStyle name="Nuovo 8 3 2" xfId="1452"/>
    <cellStyle name="Nuovo 8 3 3" xfId="1453"/>
    <cellStyle name="Nuovo 8 3 3 2" xfId="2929"/>
    <cellStyle name="Nuovo 8 3 4" xfId="2928"/>
    <cellStyle name="Nuovo 8 4" xfId="1454"/>
    <cellStyle name="Nuovo 8 4 2" xfId="1455"/>
    <cellStyle name="Nuovo 8 4 2 2" xfId="2931"/>
    <cellStyle name="Nuovo 8 4 3" xfId="2930"/>
    <cellStyle name="Nuovo 8 5" xfId="1456"/>
    <cellStyle name="Nuovo 9" xfId="1457"/>
    <cellStyle name="Nuovo 9 2" xfId="1458"/>
    <cellStyle name="Nuovo 9 2 2" xfId="2932"/>
    <cellStyle name="Nuovo 9 3" xfId="1459"/>
    <cellStyle name="Nuovo 9 3 2" xfId="1460"/>
    <cellStyle name="Nuovo 9 3 3" xfId="1461"/>
    <cellStyle name="Nuovo 9 3 3 2" xfId="2934"/>
    <cellStyle name="Nuovo 9 3 4" xfId="2933"/>
    <cellStyle name="Nuovo 9 4" xfId="1462"/>
    <cellStyle name="Nuovo 9 4 2" xfId="1463"/>
    <cellStyle name="Nuovo 9 4 2 2" xfId="2936"/>
    <cellStyle name="Nuovo 9 4 3" xfId="2935"/>
    <cellStyle name="Nuovo 9 5" xfId="1464"/>
    <cellStyle name="Output" xfId="1465" builtinId="21" customBuiltin="1"/>
    <cellStyle name="Output 2" xfId="1466"/>
    <cellStyle name="Output 2 2" xfId="3523"/>
    <cellStyle name="Output 2 2 2" xfId="8107"/>
    <cellStyle name="Output 2 2 3" xfId="9334"/>
    <cellStyle name="Output 2 2 4" xfId="10679"/>
    <cellStyle name="Output 2 2 5" xfId="9291"/>
    <cellStyle name="Output 2 2 6" xfId="10663"/>
    <cellStyle name="Output 2 3" xfId="7943"/>
    <cellStyle name="Output 2 4" xfId="7977"/>
    <cellStyle name="Output 2 5" xfId="9353"/>
    <cellStyle name="Output 2 6" xfId="7904"/>
    <cellStyle name="Output 2 7" xfId="10661"/>
    <cellStyle name="Output 3" xfId="1467"/>
    <cellStyle name="Output 4" xfId="7942"/>
    <cellStyle name="Output 5" xfId="7976"/>
    <cellStyle name="Output 6" xfId="9303"/>
    <cellStyle name="Output 7" xfId="10682"/>
    <cellStyle name="Output 8" xfId="10670"/>
    <cellStyle name="Overskrift 1" xfId="418" builtinId="16"/>
    <cellStyle name="Overskrift 1 2" xfId="1468"/>
    <cellStyle name="Overskrift 1 2 2" xfId="3525"/>
    <cellStyle name="Overskrift 2" xfId="419" builtinId="17"/>
    <cellStyle name="Overskrift 2 2" xfId="1469"/>
    <cellStyle name="Overskrift 2 2 2" xfId="3526"/>
    <cellStyle name="Overskrift 3 2" xfId="1470"/>
    <cellStyle name="Overskrift 3 2 2" xfId="3527"/>
    <cellStyle name="Overskrift 4" xfId="420" builtinId="19"/>
    <cellStyle name="Overskrift 4 2" xfId="1471"/>
    <cellStyle name="Overskrift 4 2 2" xfId="3528"/>
    <cellStyle name="Percen - Type1" xfId="1472"/>
    <cellStyle name="Percent 2" xfId="1474"/>
    <cellStyle name="Percent 2 2" xfId="2937"/>
    <cellStyle name="Percent 2 2 2" xfId="3451"/>
    <cellStyle name="Percent 2 2 2 2" xfId="6665"/>
    <cellStyle name="Percent 3" xfId="1475"/>
    <cellStyle name="Percent 3 2" xfId="1476"/>
    <cellStyle name="Percent 3 2 2" xfId="5305"/>
    <cellStyle name="Percent 3 2 3" xfId="4924"/>
    <cellStyle name="Percent 3 3" xfId="1477"/>
    <cellStyle name="Percent 3 3 2" xfId="1478"/>
    <cellStyle name="Percent 3 3 3" xfId="1479"/>
    <cellStyle name="Percent 3 3 3 2" xfId="2939"/>
    <cellStyle name="Percent 3 3 4" xfId="2938"/>
    <cellStyle name="Percent 3 4" xfId="1480"/>
    <cellStyle name="Percent 3 5" xfId="1481"/>
    <cellStyle name="Percent 3 5 2" xfId="2940"/>
    <cellStyle name="Percent 3 6" xfId="5304"/>
    <cellStyle name="Percent 4" xfId="1482"/>
    <cellStyle name="Percent 4 2" xfId="1483"/>
    <cellStyle name="Percent 4 2 2" xfId="2942"/>
    <cellStyle name="Percent 4 3" xfId="2941"/>
    <cellStyle name="Percent 5" xfId="1484"/>
    <cellStyle name="Percent 5 2" xfId="3382"/>
    <cellStyle name="Percent 6" xfId="4860"/>
    <cellStyle name="Percent 6 2" xfId="10653"/>
    <cellStyle name="Percent 6 3" xfId="9293"/>
    <cellStyle name="Percentuale 10" xfId="1485"/>
    <cellStyle name="Percentuale 10 2" xfId="1486"/>
    <cellStyle name="Percentuale 10 2 2" xfId="2943"/>
    <cellStyle name="Percentuale 10 3" xfId="1487"/>
    <cellStyle name="Percentuale 10 3 2" xfId="1488"/>
    <cellStyle name="Percentuale 10 3 3" xfId="1489"/>
    <cellStyle name="Percentuale 10 3 3 2" xfId="2945"/>
    <cellStyle name="Percentuale 10 3 4" xfId="2944"/>
    <cellStyle name="Percentuale 10 4" xfId="1490"/>
    <cellStyle name="Percentuale 10 4 2" xfId="1491"/>
    <cellStyle name="Percentuale 10 4 2 2" xfId="2947"/>
    <cellStyle name="Percentuale 10 4 3" xfId="2946"/>
    <cellStyle name="Percentuale 10 5" xfId="1492"/>
    <cellStyle name="Percentuale 11" xfId="1493"/>
    <cellStyle name="Percentuale 11 2" xfId="1494"/>
    <cellStyle name="Percentuale 11 2 2" xfId="2948"/>
    <cellStyle name="Percentuale 11 3" xfId="1495"/>
    <cellStyle name="Percentuale 11 3 2" xfId="1496"/>
    <cellStyle name="Percentuale 11 3 3" xfId="1497"/>
    <cellStyle name="Percentuale 11 3 3 2" xfId="2950"/>
    <cellStyle name="Percentuale 11 3 4" xfId="2949"/>
    <cellStyle name="Percentuale 11 4" xfId="1498"/>
    <cellStyle name="Percentuale 11 4 2" xfId="1499"/>
    <cellStyle name="Percentuale 11 4 2 2" xfId="2952"/>
    <cellStyle name="Percentuale 11 4 3" xfId="2951"/>
    <cellStyle name="Percentuale 11 5" xfId="1500"/>
    <cellStyle name="Percentuale 12" xfId="1501"/>
    <cellStyle name="Percentuale 12 2" xfId="1502"/>
    <cellStyle name="Percentuale 12 2 2" xfId="2953"/>
    <cellStyle name="Percentuale 12 3" xfId="1503"/>
    <cellStyle name="Percentuale 12 3 2" xfId="1504"/>
    <cellStyle name="Percentuale 12 3 3" xfId="1505"/>
    <cellStyle name="Percentuale 12 3 3 2" xfId="2955"/>
    <cellStyle name="Percentuale 12 3 4" xfId="2954"/>
    <cellStyle name="Percentuale 12 4" xfId="1506"/>
    <cellStyle name="Percentuale 12 4 2" xfId="1507"/>
    <cellStyle name="Percentuale 12 4 2 2" xfId="2957"/>
    <cellStyle name="Percentuale 12 4 3" xfId="2956"/>
    <cellStyle name="Percentuale 12 5" xfId="1508"/>
    <cellStyle name="Percentuale 13" xfId="1509"/>
    <cellStyle name="Percentuale 13 2" xfId="1510"/>
    <cellStyle name="Percentuale 13 2 2" xfId="2958"/>
    <cellStyle name="Percentuale 13 3" xfId="1511"/>
    <cellStyle name="Percentuale 13 3 2" xfId="1512"/>
    <cellStyle name="Percentuale 13 3 3" xfId="1513"/>
    <cellStyle name="Percentuale 13 3 3 2" xfId="2960"/>
    <cellStyle name="Percentuale 13 3 4" xfId="2959"/>
    <cellStyle name="Percentuale 13 4" xfId="1514"/>
    <cellStyle name="Percentuale 13 4 2" xfId="1515"/>
    <cellStyle name="Percentuale 13 4 2 2" xfId="2962"/>
    <cellStyle name="Percentuale 13 4 3" xfId="2961"/>
    <cellStyle name="Percentuale 13 5" xfId="1516"/>
    <cellStyle name="Percentuale 14" xfId="1517"/>
    <cellStyle name="Percentuale 14 2" xfId="1518"/>
    <cellStyle name="Percentuale 14 2 2" xfId="2963"/>
    <cellStyle name="Percentuale 14 3" xfId="1519"/>
    <cellStyle name="Percentuale 14 3 2" xfId="1520"/>
    <cellStyle name="Percentuale 14 3 3" xfId="1521"/>
    <cellStyle name="Percentuale 14 3 3 2" xfId="2965"/>
    <cellStyle name="Percentuale 14 3 4" xfId="2964"/>
    <cellStyle name="Percentuale 14 4" xfId="1522"/>
    <cellStyle name="Percentuale 14 4 2" xfId="1523"/>
    <cellStyle name="Percentuale 14 4 2 2" xfId="2967"/>
    <cellStyle name="Percentuale 14 4 3" xfId="2966"/>
    <cellStyle name="Percentuale 14 5" xfId="1524"/>
    <cellStyle name="Percentuale 15" xfId="1525"/>
    <cellStyle name="Percentuale 15 2" xfId="1526"/>
    <cellStyle name="Percentuale 15 2 2" xfId="2968"/>
    <cellStyle name="Percentuale 15 3" xfId="1527"/>
    <cellStyle name="Percentuale 15 3 2" xfId="1528"/>
    <cellStyle name="Percentuale 15 3 3" xfId="1529"/>
    <cellStyle name="Percentuale 15 3 3 2" xfId="2970"/>
    <cellStyle name="Percentuale 15 3 4" xfId="2969"/>
    <cellStyle name="Percentuale 15 4" xfId="1530"/>
    <cellStyle name="Percentuale 15 4 2" xfId="1531"/>
    <cellStyle name="Percentuale 15 4 2 2" xfId="2972"/>
    <cellStyle name="Percentuale 15 4 3" xfId="2971"/>
    <cellStyle name="Percentuale 15 5" xfId="1532"/>
    <cellStyle name="Percentuale 16" xfId="1533"/>
    <cellStyle name="Percentuale 16 2" xfId="1534"/>
    <cellStyle name="Percentuale 16 2 2" xfId="2973"/>
    <cellStyle name="Percentuale 16 3" xfId="1535"/>
    <cellStyle name="Percentuale 16 3 2" xfId="1536"/>
    <cellStyle name="Percentuale 16 3 3" xfId="1537"/>
    <cellStyle name="Percentuale 16 3 3 2" xfId="2975"/>
    <cellStyle name="Percentuale 16 3 4" xfId="2974"/>
    <cellStyle name="Percentuale 16 4" xfId="1538"/>
    <cellStyle name="Percentuale 16 4 2" xfId="1539"/>
    <cellStyle name="Percentuale 16 4 2 2" xfId="2977"/>
    <cellStyle name="Percentuale 16 4 3" xfId="2976"/>
    <cellStyle name="Percentuale 16 5" xfId="1540"/>
    <cellStyle name="Percentuale 17" xfId="1541"/>
    <cellStyle name="Percentuale 17 2" xfId="1542"/>
    <cellStyle name="Percentuale 17 2 2" xfId="2978"/>
    <cellStyle name="Percentuale 17 3" xfId="1543"/>
    <cellStyle name="Percentuale 17 3 2" xfId="1544"/>
    <cellStyle name="Percentuale 17 3 3" xfId="1545"/>
    <cellStyle name="Percentuale 17 3 3 2" xfId="2980"/>
    <cellStyle name="Percentuale 17 3 4" xfId="2979"/>
    <cellStyle name="Percentuale 17 4" xfId="1546"/>
    <cellStyle name="Percentuale 17 4 2" xfId="1547"/>
    <cellStyle name="Percentuale 17 4 2 2" xfId="2982"/>
    <cellStyle name="Percentuale 17 4 3" xfId="2981"/>
    <cellStyle name="Percentuale 17 5" xfId="1548"/>
    <cellStyle name="Percentuale 18" xfId="1549"/>
    <cellStyle name="Percentuale 18 2" xfId="1550"/>
    <cellStyle name="Percentuale 18 2 2" xfId="2983"/>
    <cellStyle name="Percentuale 18 3" xfId="1551"/>
    <cellStyle name="Percentuale 18 3 2" xfId="1552"/>
    <cellStyle name="Percentuale 18 3 3" xfId="1553"/>
    <cellStyle name="Percentuale 18 3 3 2" xfId="2985"/>
    <cellStyle name="Percentuale 18 3 4" xfId="2984"/>
    <cellStyle name="Percentuale 18 4" xfId="1554"/>
    <cellStyle name="Percentuale 18 4 2" xfId="1555"/>
    <cellStyle name="Percentuale 18 4 2 2" xfId="2987"/>
    <cellStyle name="Percentuale 18 4 3" xfId="2986"/>
    <cellStyle name="Percentuale 18 5" xfId="1556"/>
    <cellStyle name="Percentuale 19" xfId="1557"/>
    <cellStyle name="Percentuale 19 2" xfId="1558"/>
    <cellStyle name="Percentuale 19 2 2" xfId="2988"/>
    <cellStyle name="Percentuale 19 3" xfId="1559"/>
    <cellStyle name="Percentuale 19 3 2" xfId="1560"/>
    <cellStyle name="Percentuale 19 3 3" xfId="1561"/>
    <cellStyle name="Percentuale 19 3 3 2" xfId="2990"/>
    <cellStyle name="Percentuale 19 3 4" xfId="2989"/>
    <cellStyle name="Percentuale 19 4" xfId="1562"/>
    <cellStyle name="Percentuale 19 4 2" xfId="1563"/>
    <cellStyle name="Percentuale 19 4 2 2" xfId="2992"/>
    <cellStyle name="Percentuale 19 4 3" xfId="2991"/>
    <cellStyle name="Percentuale 19 5" xfId="1564"/>
    <cellStyle name="Percentuale 2" xfId="1565"/>
    <cellStyle name="Percentuale 2 2" xfId="1566"/>
    <cellStyle name="Percentuale 2 2 2" xfId="2993"/>
    <cellStyle name="Percentuale 2 3" xfId="1567"/>
    <cellStyle name="Percentuale 2 3 2" xfId="1568"/>
    <cellStyle name="Percentuale 2 3 3" xfId="1569"/>
    <cellStyle name="Percentuale 2 3 3 2" xfId="2995"/>
    <cellStyle name="Percentuale 2 3 4" xfId="2994"/>
    <cellStyle name="Percentuale 2 4" xfId="1570"/>
    <cellStyle name="Percentuale 2 4 2" xfId="1571"/>
    <cellStyle name="Percentuale 2 4 2 2" xfId="2997"/>
    <cellStyle name="Percentuale 2 4 3" xfId="2996"/>
    <cellStyle name="Percentuale 2 5" xfId="1572"/>
    <cellStyle name="Percentuale 20" xfId="1573"/>
    <cellStyle name="Percentuale 20 2" xfId="1574"/>
    <cellStyle name="Percentuale 20 2 2" xfId="2998"/>
    <cellStyle name="Percentuale 20 3" xfId="1575"/>
    <cellStyle name="Percentuale 20 3 2" xfId="1576"/>
    <cellStyle name="Percentuale 20 3 3" xfId="1577"/>
    <cellStyle name="Percentuale 20 3 3 2" xfId="3000"/>
    <cellStyle name="Percentuale 20 3 4" xfId="2999"/>
    <cellStyle name="Percentuale 20 4" xfId="1578"/>
    <cellStyle name="Percentuale 20 4 2" xfId="1579"/>
    <cellStyle name="Percentuale 20 4 2 2" xfId="3002"/>
    <cellStyle name="Percentuale 20 4 3" xfId="3001"/>
    <cellStyle name="Percentuale 20 5" xfId="1580"/>
    <cellStyle name="Percentuale 21" xfId="1581"/>
    <cellStyle name="Percentuale 21 2" xfId="1582"/>
    <cellStyle name="Percentuale 21 2 2" xfId="3003"/>
    <cellStyle name="Percentuale 21 3" xfId="1583"/>
    <cellStyle name="Percentuale 21 3 2" xfId="1584"/>
    <cellStyle name="Percentuale 21 3 3" xfId="1585"/>
    <cellStyle name="Percentuale 21 3 3 2" xfId="3005"/>
    <cellStyle name="Percentuale 21 3 4" xfId="3004"/>
    <cellStyle name="Percentuale 21 4" xfId="1586"/>
    <cellStyle name="Percentuale 21 4 2" xfId="1587"/>
    <cellStyle name="Percentuale 21 4 2 2" xfId="3007"/>
    <cellStyle name="Percentuale 21 4 3" xfId="3006"/>
    <cellStyle name="Percentuale 21 5" xfId="1588"/>
    <cellStyle name="Percentuale 22" xfId="1589"/>
    <cellStyle name="Percentuale 22 2" xfId="1590"/>
    <cellStyle name="Percentuale 22 2 2" xfId="3008"/>
    <cellStyle name="Percentuale 22 3" xfId="1591"/>
    <cellStyle name="Percentuale 22 3 2" xfId="1592"/>
    <cellStyle name="Percentuale 22 3 3" xfId="1593"/>
    <cellStyle name="Percentuale 22 3 3 2" xfId="3010"/>
    <cellStyle name="Percentuale 22 3 4" xfId="3009"/>
    <cellStyle name="Percentuale 22 4" xfId="1594"/>
    <cellStyle name="Percentuale 22 4 2" xfId="1595"/>
    <cellStyle name="Percentuale 22 4 2 2" xfId="3012"/>
    <cellStyle name="Percentuale 22 4 3" xfId="3011"/>
    <cellStyle name="Percentuale 22 5" xfId="1596"/>
    <cellStyle name="Percentuale 23" xfId="1597"/>
    <cellStyle name="Percentuale 23 2" xfId="1598"/>
    <cellStyle name="Percentuale 23 2 2" xfId="3013"/>
    <cellStyle name="Percentuale 23 3" xfId="1599"/>
    <cellStyle name="Percentuale 23 3 2" xfId="1600"/>
    <cellStyle name="Percentuale 23 3 3" xfId="1601"/>
    <cellStyle name="Percentuale 23 3 3 2" xfId="3015"/>
    <cellStyle name="Percentuale 23 3 4" xfId="3014"/>
    <cellStyle name="Percentuale 23 4" xfId="1602"/>
    <cellStyle name="Percentuale 23 4 2" xfId="1603"/>
    <cellStyle name="Percentuale 23 4 2 2" xfId="3017"/>
    <cellStyle name="Percentuale 23 4 3" xfId="3016"/>
    <cellStyle name="Percentuale 23 5" xfId="1604"/>
    <cellStyle name="Percentuale 24" xfId="1605"/>
    <cellStyle name="Percentuale 24 2" xfId="1606"/>
    <cellStyle name="Percentuale 24 2 2" xfId="3018"/>
    <cellStyle name="Percentuale 24 3" xfId="1607"/>
    <cellStyle name="Percentuale 24 3 2" xfId="1608"/>
    <cellStyle name="Percentuale 24 3 3" xfId="1609"/>
    <cellStyle name="Percentuale 24 3 3 2" xfId="3020"/>
    <cellStyle name="Percentuale 24 3 4" xfId="3019"/>
    <cellStyle name="Percentuale 24 4" xfId="1610"/>
    <cellStyle name="Percentuale 24 4 2" xfId="1611"/>
    <cellStyle name="Percentuale 24 4 2 2" xfId="3022"/>
    <cellStyle name="Percentuale 24 4 3" xfId="3021"/>
    <cellStyle name="Percentuale 24 5" xfId="1612"/>
    <cellStyle name="Percentuale 25" xfId="1613"/>
    <cellStyle name="Percentuale 25 2" xfId="1614"/>
    <cellStyle name="Percentuale 25 2 2" xfId="3023"/>
    <cellStyle name="Percentuale 25 3" xfId="1615"/>
    <cellStyle name="Percentuale 25 3 2" xfId="1616"/>
    <cellStyle name="Percentuale 25 3 3" xfId="1617"/>
    <cellStyle name="Percentuale 25 3 3 2" xfId="3025"/>
    <cellStyle name="Percentuale 25 3 4" xfId="3024"/>
    <cellStyle name="Percentuale 25 4" xfId="1618"/>
    <cellStyle name="Percentuale 25 4 2" xfId="1619"/>
    <cellStyle name="Percentuale 25 4 2 2" xfId="3027"/>
    <cellStyle name="Percentuale 25 4 3" xfId="3026"/>
    <cellStyle name="Percentuale 25 5" xfId="1620"/>
    <cellStyle name="Percentuale 26" xfId="1621"/>
    <cellStyle name="Percentuale 26 2" xfId="1622"/>
    <cellStyle name="Percentuale 26 2 2" xfId="3028"/>
    <cellStyle name="Percentuale 26 3" xfId="1623"/>
    <cellStyle name="Percentuale 26 3 2" xfId="1624"/>
    <cellStyle name="Percentuale 26 3 3" xfId="1625"/>
    <cellStyle name="Percentuale 26 3 3 2" xfId="3030"/>
    <cellStyle name="Percentuale 26 3 4" xfId="3029"/>
    <cellStyle name="Percentuale 26 4" xfId="1626"/>
    <cellStyle name="Percentuale 26 4 2" xfId="1627"/>
    <cellStyle name="Percentuale 26 4 2 2" xfId="3032"/>
    <cellStyle name="Percentuale 26 4 3" xfId="3031"/>
    <cellStyle name="Percentuale 26 5" xfId="1628"/>
    <cellStyle name="Percentuale 27" xfId="1629"/>
    <cellStyle name="Percentuale 27 2" xfId="1630"/>
    <cellStyle name="Percentuale 27 2 2" xfId="3033"/>
    <cellStyle name="Percentuale 27 3" xfId="1631"/>
    <cellStyle name="Percentuale 27 3 2" xfId="1632"/>
    <cellStyle name="Percentuale 27 3 3" xfId="1633"/>
    <cellStyle name="Percentuale 27 3 3 2" xfId="3035"/>
    <cellStyle name="Percentuale 27 3 4" xfId="3034"/>
    <cellStyle name="Percentuale 27 4" xfId="1634"/>
    <cellStyle name="Percentuale 27 4 2" xfId="1635"/>
    <cellStyle name="Percentuale 27 4 2 2" xfId="3037"/>
    <cellStyle name="Percentuale 27 4 3" xfId="3036"/>
    <cellStyle name="Percentuale 27 5" xfId="1636"/>
    <cellStyle name="Percentuale 28" xfId="1637"/>
    <cellStyle name="Percentuale 28 2" xfId="1638"/>
    <cellStyle name="Percentuale 28 2 2" xfId="3038"/>
    <cellStyle name="Percentuale 28 3" xfId="1639"/>
    <cellStyle name="Percentuale 28 3 2" xfId="1640"/>
    <cellStyle name="Percentuale 28 3 3" xfId="1641"/>
    <cellStyle name="Percentuale 28 3 3 2" xfId="3040"/>
    <cellStyle name="Percentuale 28 3 4" xfId="3039"/>
    <cellStyle name="Percentuale 28 4" xfId="1642"/>
    <cellStyle name="Percentuale 28 4 2" xfId="1643"/>
    <cellStyle name="Percentuale 28 4 2 2" xfId="3042"/>
    <cellStyle name="Percentuale 28 4 3" xfId="3041"/>
    <cellStyle name="Percentuale 28 5" xfId="1644"/>
    <cellStyle name="Percentuale 29" xfId="1645"/>
    <cellStyle name="Percentuale 29 2" xfId="1646"/>
    <cellStyle name="Percentuale 29 2 2" xfId="3043"/>
    <cellStyle name="Percentuale 29 3" xfId="1647"/>
    <cellStyle name="Percentuale 29 3 2" xfId="1648"/>
    <cellStyle name="Percentuale 29 3 3" xfId="1649"/>
    <cellStyle name="Percentuale 29 3 3 2" xfId="3045"/>
    <cellStyle name="Percentuale 29 3 4" xfId="3044"/>
    <cellStyle name="Percentuale 29 4" xfId="1650"/>
    <cellStyle name="Percentuale 29 4 2" xfId="1651"/>
    <cellStyle name="Percentuale 29 4 2 2" xfId="3047"/>
    <cellStyle name="Percentuale 29 4 3" xfId="3046"/>
    <cellStyle name="Percentuale 29 5" xfId="1652"/>
    <cellStyle name="Percentuale 3" xfId="1653"/>
    <cellStyle name="Percentuale 3 2" xfId="1654"/>
    <cellStyle name="Percentuale 3 2 2" xfId="3048"/>
    <cellStyle name="Percentuale 3 3" xfId="1655"/>
    <cellStyle name="Percentuale 3 3 2" xfId="1656"/>
    <cellStyle name="Percentuale 3 3 3" xfId="1657"/>
    <cellStyle name="Percentuale 3 3 3 2" xfId="3050"/>
    <cellStyle name="Percentuale 3 3 4" xfId="3049"/>
    <cellStyle name="Percentuale 3 4" xfId="1658"/>
    <cellStyle name="Percentuale 3 4 2" xfId="1659"/>
    <cellStyle name="Percentuale 3 4 2 2" xfId="3052"/>
    <cellStyle name="Percentuale 3 4 3" xfId="3051"/>
    <cellStyle name="Percentuale 3 5" xfId="1660"/>
    <cellStyle name="Percentuale 30" xfId="1661"/>
    <cellStyle name="Percentuale 30 2" xfId="1662"/>
    <cellStyle name="Percentuale 30 2 2" xfId="3053"/>
    <cellStyle name="Percentuale 30 3" xfId="1663"/>
    <cellStyle name="Percentuale 30 3 2" xfId="1664"/>
    <cellStyle name="Percentuale 30 3 3" xfId="1665"/>
    <cellStyle name="Percentuale 30 3 3 2" xfId="3055"/>
    <cellStyle name="Percentuale 30 3 4" xfId="3054"/>
    <cellStyle name="Percentuale 30 4" xfId="1666"/>
    <cellStyle name="Percentuale 30 4 2" xfId="1667"/>
    <cellStyle name="Percentuale 30 4 2 2" xfId="3057"/>
    <cellStyle name="Percentuale 30 4 3" xfId="3056"/>
    <cellStyle name="Percentuale 30 5" xfId="1668"/>
    <cellStyle name="Percentuale 31" xfId="1669"/>
    <cellStyle name="Percentuale 31 2" xfId="1670"/>
    <cellStyle name="Percentuale 31 2 2" xfId="3058"/>
    <cellStyle name="Percentuale 31 3" xfId="1671"/>
    <cellStyle name="Percentuale 31 3 2" xfId="1672"/>
    <cellStyle name="Percentuale 31 3 3" xfId="1673"/>
    <cellStyle name="Percentuale 31 3 3 2" xfId="3060"/>
    <cellStyle name="Percentuale 31 3 4" xfId="3059"/>
    <cellStyle name="Percentuale 31 4" xfId="1674"/>
    <cellStyle name="Percentuale 31 4 2" xfId="1675"/>
    <cellStyle name="Percentuale 31 4 2 2" xfId="3062"/>
    <cellStyle name="Percentuale 31 4 3" xfId="3061"/>
    <cellStyle name="Percentuale 31 5" xfId="1676"/>
    <cellStyle name="Percentuale 32" xfId="1677"/>
    <cellStyle name="Percentuale 32 2" xfId="1678"/>
    <cellStyle name="Percentuale 32 2 2" xfId="3063"/>
    <cellStyle name="Percentuale 32 3" xfId="1679"/>
    <cellStyle name="Percentuale 32 3 2" xfId="1680"/>
    <cellStyle name="Percentuale 32 3 3" xfId="1681"/>
    <cellStyle name="Percentuale 32 3 3 2" xfId="3065"/>
    <cellStyle name="Percentuale 32 3 4" xfId="3064"/>
    <cellStyle name="Percentuale 32 4" xfId="1682"/>
    <cellStyle name="Percentuale 32 4 2" xfId="1683"/>
    <cellStyle name="Percentuale 32 4 2 2" xfId="3067"/>
    <cellStyle name="Percentuale 32 4 3" xfId="3066"/>
    <cellStyle name="Percentuale 32 5" xfId="1684"/>
    <cellStyle name="Percentuale 33" xfId="1685"/>
    <cellStyle name="Percentuale 33 2" xfId="1686"/>
    <cellStyle name="Percentuale 33 2 2" xfId="3068"/>
    <cellStyle name="Percentuale 33 3" xfId="1687"/>
    <cellStyle name="Percentuale 33 3 2" xfId="1688"/>
    <cellStyle name="Percentuale 33 3 3" xfId="1689"/>
    <cellStyle name="Percentuale 33 3 3 2" xfId="3070"/>
    <cellStyle name="Percentuale 33 3 4" xfId="3069"/>
    <cellStyle name="Percentuale 33 4" xfId="1690"/>
    <cellStyle name="Percentuale 33 4 2" xfId="1691"/>
    <cellStyle name="Percentuale 33 4 2 2" xfId="3072"/>
    <cellStyle name="Percentuale 33 4 3" xfId="3071"/>
    <cellStyle name="Percentuale 33 5" xfId="1692"/>
    <cellStyle name="Percentuale 34" xfId="1693"/>
    <cellStyle name="Percentuale 34 2" xfId="1694"/>
    <cellStyle name="Percentuale 34 2 2" xfId="3073"/>
    <cellStyle name="Percentuale 34 3" xfId="1695"/>
    <cellStyle name="Percentuale 34 3 2" xfId="1696"/>
    <cellStyle name="Percentuale 34 3 3" xfId="1697"/>
    <cellStyle name="Percentuale 34 3 3 2" xfId="3075"/>
    <cellStyle name="Percentuale 34 3 4" xfId="3074"/>
    <cellStyle name="Percentuale 34 4" xfId="1698"/>
    <cellStyle name="Percentuale 34 4 2" xfId="1699"/>
    <cellStyle name="Percentuale 34 4 2 2" xfId="3077"/>
    <cellStyle name="Percentuale 34 4 3" xfId="3076"/>
    <cellStyle name="Percentuale 34 5" xfId="1700"/>
    <cellStyle name="Percentuale 35" xfId="1701"/>
    <cellStyle name="Percentuale 35 2" xfId="1702"/>
    <cellStyle name="Percentuale 35 2 2" xfId="3078"/>
    <cellStyle name="Percentuale 35 3" xfId="1703"/>
    <cellStyle name="Percentuale 35 3 2" xfId="1704"/>
    <cellStyle name="Percentuale 35 3 3" xfId="1705"/>
    <cellStyle name="Percentuale 35 3 3 2" xfId="3080"/>
    <cellStyle name="Percentuale 35 3 4" xfId="3079"/>
    <cellStyle name="Percentuale 35 4" xfId="1706"/>
    <cellStyle name="Percentuale 35 4 2" xfId="1707"/>
    <cellStyle name="Percentuale 35 4 2 2" xfId="3082"/>
    <cellStyle name="Percentuale 35 4 3" xfId="3081"/>
    <cellStyle name="Percentuale 35 5" xfId="1708"/>
    <cellStyle name="Percentuale 36" xfId="1709"/>
    <cellStyle name="Percentuale 36 2" xfId="1710"/>
    <cellStyle name="Percentuale 36 2 2" xfId="3083"/>
    <cellStyle name="Percentuale 36 3" xfId="1711"/>
    <cellStyle name="Percentuale 36 3 2" xfId="1712"/>
    <cellStyle name="Percentuale 36 3 3" xfId="1713"/>
    <cellStyle name="Percentuale 36 3 3 2" xfId="3085"/>
    <cellStyle name="Percentuale 36 3 4" xfId="3084"/>
    <cellStyle name="Percentuale 36 4" xfId="1714"/>
    <cellStyle name="Percentuale 36 4 2" xfId="1715"/>
    <cellStyle name="Percentuale 36 4 2 2" xfId="3087"/>
    <cellStyle name="Percentuale 36 4 3" xfId="3086"/>
    <cellStyle name="Percentuale 36 5" xfId="1716"/>
    <cellStyle name="Percentuale 37" xfId="1717"/>
    <cellStyle name="Percentuale 37 2" xfId="1718"/>
    <cellStyle name="Percentuale 37 2 2" xfId="3088"/>
    <cellStyle name="Percentuale 37 3" xfId="1719"/>
    <cellStyle name="Percentuale 37 3 2" xfId="1720"/>
    <cellStyle name="Percentuale 37 3 3" xfId="1721"/>
    <cellStyle name="Percentuale 37 3 3 2" xfId="3090"/>
    <cellStyle name="Percentuale 37 3 4" xfId="3089"/>
    <cellStyle name="Percentuale 37 4" xfId="1722"/>
    <cellStyle name="Percentuale 37 4 2" xfId="1723"/>
    <cellStyle name="Percentuale 37 4 2 2" xfId="3092"/>
    <cellStyle name="Percentuale 37 4 3" xfId="3091"/>
    <cellStyle name="Percentuale 37 5" xfId="1724"/>
    <cellStyle name="Percentuale 38" xfId="1725"/>
    <cellStyle name="Percentuale 38 2" xfId="1726"/>
    <cellStyle name="Percentuale 38 2 2" xfId="3093"/>
    <cellStyle name="Percentuale 38 3" xfId="1727"/>
    <cellStyle name="Percentuale 38 3 2" xfId="1728"/>
    <cellStyle name="Percentuale 38 3 3" xfId="1729"/>
    <cellStyle name="Percentuale 38 3 3 2" xfId="3095"/>
    <cellStyle name="Percentuale 38 3 4" xfId="3094"/>
    <cellStyle name="Percentuale 38 4" xfId="1730"/>
    <cellStyle name="Percentuale 38 4 2" xfId="1731"/>
    <cellStyle name="Percentuale 38 4 2 2" xfId="3097"/>
    <cellStyle name="Percentuale 38 4 3" xfId="3096"/>
    <cellStyle name="Percentuale 38 5" xfId="1732"/>
    <cellStyle name="Percentuale 39" xfId="1733"/>
    <cellStyle name="Percentuale 39 2" xfId="1734"/>
    <cellStyle name="Percentuale 39 2 2" xfId="3098"/>
    <cellStyle name="Percentuale 39 3" xfId="1735"/>
    <cellStyle name="Percentuale 39 3 2" xfId="1736"/>
    <cellStyle name="Percentuale 39 3 3" xfId="1737"/>
    <cellStyle name="Percentuale 39 3 3 2" xfId="3100"/>
    <cellStyle name="Percentuale 39 3 4" xfId="3099"/>
    <cellStyle name="Percentuale 39 4" xfId="1738"/>
    <cellStyle name="Percentuale 39 4 2" xfId="1739"/>
    <cellStyle name="Percentuale 39 4 2 2" xfId="3102"/>
    <cellStyle name="Percentuale 39 4 3" xfId="3101"/>
    <cellStyle name="Percentuale 39 5" xfId="1740"/>
    <cellStyle name="Percentuale 4" xfId="1741"/>
    <cellStyle name="Percentuale 4 2" xfId="1742"/>
    <cellStyle name="Percentuale 4 2 2" xfId="3103"/>
    <cellStyle name="Percentuale 4 3" xfId="1743"/>
    <cellStyle name="Percentuale 4 3 2" xfId="1744"/>
    <cellStyle name="Percentuale 4 3 3" xfId="1745"/>
    <cellStyle name="Percentuale 4 3 3 2" xfId="3105"/>
    <cellStyle name="Percentuale 4 3 4" xfId="3104"/>
    <cellStyle name="Percentuale 4 4" xfId="1746"/>
    <cellStyle name="Percentuale 4 4 2" xfId="1747"/>
    <cellStyle name="Percentuale 4 4 2 2" xfId="3107"/>
    <cellStyle name="Percentuale 4 4 3" xfId="3106"/>
    <cellStyle name="Percentuale 4 5" xfId="1748"/>
    <cellStyle name="Percentuale 40" xfId="1749"/>
    <cellStyle name="Percentuale 40 2" xfId="1750"/>
    <cellStyle name="Percentuale 40 2 2" xfId="3108"/>
    <cellStyle name="Percentuale 40 3" xfId="1751"/>
    <cellStyle name="Percentuale 40 3 2" xfId="1752"/>
    <cellStyle name="Percentuale 40 3 3" xfId="1753"/>
    <cellStyle name="Percentuale 40 3 3 2" xfId="3110"/>
    <cellStyle name="Percentuale 40 3 4" xfId="3109"/>
    <cellStyle name="Percentuale 40 4" xfId="1754"/>
    <cellStyle name="Percentuale 40 4 2" xfId="1755"/>
    <cellStyle name="Percentuale 40 4 2 2" xfId="3112"/>
    <cellStyle name="Percentuale 40 4 3" xfId="3111"/>
    <cellStyle name="Percentuale 40 5" xfId="1756"/>
    <cellStyle name="Percentuale 41" xfId="1757"/>
    <cellStyle name="Percentuale 41 2" xfId="1758"/>
    <cellStyle name="Percentuale 41 2 2" xfId="3113"/>
    <cellStyle name="Percentuale 41 3" xfId="1759"/>
    <cellStyle name="Percentuale 41 3 2" xfId="1760"/>
    <cellStyle name="Percentuale 41 3 3" xfId="1761"/>
    <cellStyle name="Percentuale 41 3 3 2" xfId="3115"/>
    <cellStyle name="Percentuale 41 3 4" xfId="3114"/>
    <cellStyle name="Percentuale 41 4" xfId="1762"/>
    <cellStyle name="Percentuale 41 4 2" xfId="1763"/>
    <cellStyle name="Percentuale 41 4 2 2" xfId="3117"/>
    <cellStyle name="Percentuale 41 4 3" xfId="3116"/>
    <cellStyle name="Percentuale 41 5" xfId="1764"/>
    <cellStyle name="Percentuale 42" xfId="1765"/>
    <cellStyle name="Percentuale 42 2" xfId="1766"/>
    <cellStyle name="Percentuale 42 2 2" xfId="3118"/>
    <cellStyle name="Percentuale 42 3" xfId="1767"/>
    <cellStyle name="Percentuale 42 3 2" xfId="1768"/>
    <cellStyle name="Percentuale 42 3 3" xfId="1769"/>
    <cellStyle name="Percentuale 42 3 3 2" xfId="3120"/>
    <cellStyle name="Percentuale 42 3 4" xfId="3119"/>
    <cellStyle name="Percentuale 42 4" xfId="1770"/>
    <cellStyle name="Percentuale 42 4 2" xfId="1771"/>
    <cellStyle name="Percentuale 42 4 2 2" xfId="3122"/>
    <cellStyle name="Percentuale 42 4 3" xfId="3121"/>
    <cellStyle name="Percentuale 42 5" xfId="1772"/>
    <cellStyle name="Percentuale 43" xfId="1773"/>
    <cellStyle name="Percentuale 43 2" xfId="1774"/>
    <cellStyle name="Percentuale 43 2 2" xfId="3123"/>
    <cellStyle name="Percentuale 43 3" xfId="1775"/>
    <cellStyle name="Percentuale 43 3 2" xfId="1776"/>
    <cellStyle name="Percentuale 43 3 3" xfId="1777"/>
    <cellStyle name="Percentuale 43 3 3 2" xfId="3125"/>
    <cellStyle name="Percentuale 43 3 4" xfId="3124"/>
    <cellStyle name="Percentuale 43 4" xfId="1778"/>
    <cellStyle name="Percentuale 43 4 2" xfId="1779"/>
    <cellStyle name="Percentuale 43 4 2 2" xfId="3127"/>
    <cellStyle name="Percentuale 43 4 3" xfId="3126"/>
    <cellStyle name="Percentuale 43 5" xfId="1780"/>
    <cellStyle name="Percentuale 44" xfId="1781"/>
    <cellStyle name="Percentuale 44 2" xfId="1782"/>
    <cellStyle name="Percentuale 44 2 2" xfId="3128"/>
    <cellStyle name="Percentuale 44 3" xfId="1783"/>
    <cellStyle name="Percentuale 44 3 2" xfId="1784"/>
    <cellStyle name="Percentuale 44 3 3" xfId="1785"/>
    <cellStyle name="Percentuale 44 3 3 2" xfId="3130"/>
    <cellStyle name="Percentuale 44 3 4" xfId="3129"/>
    <cellStyle name="Percentuale 44 4" xfId="1786"/>
    <cellStyle name="Percentuale 44 4 2" xfId="1787"/>
    <cellStyle name="Percentuale 44 4 2 2" xfId="3132"/>
    <cellStyle name="Percentuale 44 4 3" xfId="3131"/>
    <cellStyle name="Percentuale 44 5" xfId="1788"/>
    <cellStyle name="Percentuale 45" xfId="1789"/>
    <cellStyle name="Percentuale 45 2" xfId="1790"/>
    <cellStyle name="Percentuale 45 2 2" xfId="3133"/>
    <cellStyle name="Percentuale 45 3" xfId="1791"/>
    <cellStyle name="Percentuale 45 3 2" xfId="1792"/>
    <cellStyle name="Percentuale 45 3 3" xfId="1793"/>
    <cellStyle name="Percentuale 45 3 3 2" xfId="3135"/>
    <cellStyle name="Percentuale 45 3 4" xfId="3134"/>
    <cellStyle name="Percentuale 45 4" xfId="1794"/>
    <cellStyle name="Percentuale 45 4 2" xfId="1795"/>
    <cellStyle name="Percentuale 45 4 2 2" xfId="3137"/>
    <cellStyle name="Percentuale 45 4 3" xfId="3136"/>
    <cellStyle name="Percentuale 45 5" xfId="1796"/>
    <cellStyle name="Percentuale 46" xfId="1797"/>
    <cellStyle name="Percentuale 46 2" xfId="1798"/>
    <cellStyle name="Percentuale 46 2 2" xfId="3138"/>
    <cellStyle name="Percentuale 46 3" xfId="1799"/>
    <cellStyle name="Percentuale 46 3 2" xfId="1800"/>
    <cellStyle name="Percentuale 46 3 3" xfId="1801"/>
    <cellStyle name="Percentuale 46 3 3 2" xfId="3140"/>
    <cellStyle name="Percentuale 46 3 4" xfId="3139"/>
    <cellStyle name="Percentuale 46 4" xfId="1802"/>
    <cellStyle name="Percentuale 46 4 2" xfId="1803"/>
    <cellStyle name="Percentuale 46 4 2 2" xfId="3142"/>
    <cellStyle name="Percentuale 46 4 3" xfId="3141"/>
    <cellStyle name="Percentuale 46 5" xfId="1804"/>
    <cellStyle name="Percentuale 47" xfId="1805"/>
    <cellStyle name="Percentuale 47 2" xfId="1806"/>
    <cellStyle name="Percentuale 47 2 2" xfId="3143"/>
    <cellStyle name="Percentuale 47 3" xfId="1807"/>
    <cellStyle name="Percentuale 47 3 2" xfId="1808"/>
    <cellStyle name="Percentuale 47 3 3" xfId="1809"/>
    <cellStyle name="Percentuale 47 3 3 2" xfId="3145"/>
    <cellStyle name="Percentuale 47 3 4" xfId="3144"/>
    <cellStyle name="Percentuale 47 4" xfId="1810"/>
    <cellStyle name="Percentuale 47 4 2" xfId="1811"/>
    <cellStyle name="Percentuale 47 4 2 2" xfId="3147"/>
    <cellStyle name="Percentuale 47 4 3" xfId="3146"/>
    <cellStyle name="Percentuale 47 5" xfId="1812"/>
    <cellStyle name="Percentuale 48" xfId="1813"/>
    <cellStyle name="Percentuale 48 2" xfId="1814"/>
    <cellStyle name="Percentuale 48 2 2" xfId="3148"/>
    <cellStyle name="Percentuale 48 3" xfId="1815"/>
    <cellStyle name="Percentuale 48 3 2" xfId="1816"/>
    <cellStyle name="Percentuale 48 3 3" xfId="1817"/>
    <cellStyle name="Percentuale 48 3 3 2" xfId="3150"/>
    <cellStyle name="Percentuale 48 3 4" xfId="3149"/>
    <cellStyle name="Percentuale 48 4" xfId="1818"/>
    <cellStyle name="Percentuale 48 4 2" xfId="1819"/>
    <cellStyle name="Percentuale 48 4 2 2" xfId="3152"/>
    <cellStyle name="Percentuale 48 4 3" xfId="3151"/>
    <cellStyle name="Percentuale 48 5" xfId="1820"/>
    <cellStyle name="Percentuale 49" xfId="1821"/>
    <cellStyle name="Percentuale 49 2" xfId="1822"/>
    <cellStyle name="Percentuale 49 2 2" xfId="3153"/>
    <cellStyle name="Percentuale 49 3" xfId="1823"/>
    <cellStyle name="Percentuale 49 3 2" xfId="1824"/>
    <cellStyle name="Percentuale 49 3 3" xfId="1825"/>
    <cellStyle name="Percentuale 49 3 3 2" xfId="3155"/>
    <cellStyle name="Percentuale 49 3 4" xfId="3154"/>
    <cellStyle name="Percentuale 49 4" xfId="1826"/>
    <cellStyle name="Percentuale 49 4 2" xfId="1827"/>
    <cellStyle name="Percentuale 49 4 2 2" xfId="3157"/>
    <cellStyle name="Percentuale 49 4 3" xfId="3156"/>
    <cellStyle name="Percentuale 49 5" xfId="1828"/>
    <cellStyle name="Percentuale 5" xfId="1829"/>
    <cellStyle name="Percentuale 5 2" xfId="1830"/>
    <cellStyle name="Percentuale 5 2 2" xfId="3158"/>
    <cellStyle name="Percentuale 5 3" xfId="1831"/>
    <cellStyle name="Percentuale 5 3 2" xfId="1832"/>
    <cellStyle name="Percentuale 5 3 3" xfId="1833"/>
    <cellStyle name="Percentuale 5 3 3 2" xfId="3160"/>
    <cellStyle name="Percentuale 5 3 4" xfId="3159"/>
    <cellStyle name="Percentuale 5 4" xfId="1834"/>
    <cellStyle name="Percentuale 5 4 2" xfId="1835"/>
    <cellStyle name="Percentuale 5 4 2 2" xfId="3162"/>
    <cellStyle name="Percentuale 5 4 3" xfId="3161"/>
    <cellStyle name="Percentuale 5 5" xfId="1836"/>
    <cellStyle name="Percentuale 50" xfId="1837"/>
    <cellStyle name="Percentuale 50 2" xfId="1838"/>
    <cellStyle name="Percentuale 50 2 2" xfId="3163"/>
    <cellStyle name="Percentuale 50 3" xfId="1839"/>
    <cellStyle name="Percentuale 50 3 2" xfId="1840"/>
    <cellStyle name="Percentuale 50 3 3" xfId="1841"/>
    <cellStyle name="Percentuale 50 3 3 2" xfId="3165"/>
    <cellStyle name="Percentuale 50 3 4" xfId="3164"/>
    <cellStyle name="Percentuale 50 4" xfId="1842"/>
    <cellStyle name="Percentuale 50 4 2" xfId="1843"/>
    <cellStyle name="Percentuale 50 4 2 2" xfId="3167"/>
    <cellStyle name="Percentuale 50 4 3" xfId="3166"/>
    <cellStyle name="Percentuale 50 5" xfId="1844"/>
    <cellStyle name="Percentuale 51" xfId="1845"/>
    <cellStyle name="Percentuale 51 2" xfId="1846"/>
    <cellStyle name="Percentuale 51 2 2" xfId="3168"/>
    <cellStyle name="Percentuale 51 3" xfId="1847"/>
    <cellStyle name="Percentuale 51 3 2" xfId="1848"/>
    <cellStyle name="Percentuale 51 3 3" xfId="1849"/>
    <cellStyle name="Percentuale 51 3 3 2" xfId="3170"/>
    <cellStyle name="Percentuale 51 3 4" xfId="3169"/>
    <cellStyle name="Percentuale 51 4" xfId="1850"/>
    <cellStyle name="Percentuale 51 4 2" xfId="1851"/>
    <cellStyle name="Percentuale 51 4 2 2" xfId="3172"/>
    <cellStyle name="Percentuale 51 4 3" xfId="3171"/>
    <cellStyle name="Percentuale 51 5" xfId="1852"/>
    <cellStyle name="Percentuale 52" xfId="1853"/>
    <cellStyle name="Percentuale 52 2" xfId="1854"/>
    <cellStyle name="Percentuale 52 2 2" xfId="3173"/>
    <cellStyle name="Percentuale 52 3" xfId="1855"/>
    <cellStyle name="Percentuale 52 3 2" xfId="1856"/>
    <cellStyle name="Percentuale 52 3 3" xfId="1857"/>
    <cellStyle name="Percentuale 52 3 3 2" xfId="3175"/>
    <cellStyle name="Percentuale 52 3 4" xfId="3174"/>
    <cellStyle name="Percentuale 52 4" xfId="1858"/>
    <cellStyle name="Percentuale 52 4 2" xfId="1859"/>
    <cellStyle name="Percentuale 52 4 2 2" xfId="3177"/>
    <cellStyle name="Percentuale 52 4 3" xfId="3176"/>
    <cellStyle name="Percentuale 52 5" xfId="1860"/>
    <cellStyle name="Percentuale 53" xfId="1861"/>
    <cellStyle name="Percentuale 53 2" xfId="1862"/>
    <cellStyle name="Percentuale 53 2 2" xfId="3178"/>
    <cellStyle name="Percentuale 53 3" xfId="1863"/>
    <cellStyle name="Percentuale 53 3 2" xfId="1864"/>
    <cellStyle name="Percentuale 53 3 3" xfId="1865"/>
    <cellStyle name="Percentuale 53 3 3 2" xfId="3180"/>
    <cellStyle name="Percentuale 53 3 4" xfId="3179"/>
    <cellStyle name="Percentuale 53 4" xfId="1866"/>
    <cellStyle name="Percentuale 53 4 2" xfId="1867"/>
    <cellStyle name="Percentuale 53 4 2 2" xfId="3182"/>
    <cellStyle name="Percentuale 53 4 3" xfId="3181"/>
    <cellStyle name="Percentuale 53 5" xfId="1868"/>
    <cellStyle name="Percentuale 54" xfId="1869"/>
    <cellStyle name="Percentuale 54 2" xfId="1870"/>
    <cellStyle name="Percentuale 54 2 2" xfId="3183"/>
    <cellStyle name="Percentuale 54 3" xfId="1871"/>
    <cellStyle name="Percentuale 54 3 2" xfId="1872"/>
    <cellStyle name="Percentuale 54 3 3" xfId="1873"/>
    <cellStyle name="Percentuale 54 3 3 2" xfId="3185"/>
    <cellStyle name="Percentuale 54 3 4" xfId="3184"/>
    <cellStyle name="Percentuale 54 4" xfId="1874"/>
    <cellStyle name="Percentuale 54 4 2" xfId="1875"/>
    <cellStyle name="Percentuale 54 4 2 2" xfId="3187"/>
    <cellStyle name="Percentuale 54 4 3" xfId="3186"/>
    <cellStyle name="Percentuale 54 5" xfId="1876"/>
    <cellStyle name="Percentuale 55" xfId="1877"/>
    <cellStyle name="Percentuale 55 2" xfId="1878"/>
    <cellStyle name="Percentuale 55 2 2" xfId="3188"/>
    <cellStyle name="Percentuale 55 3" xfId="1879"/>
    <cellStyle name="Percentuale 55 3 2" xfId="1880"/>
    <cellStyle name="Percentuale 55 3 3" xfId="1881"/>
    <cellStyle name="Percentuale 55 3 3 2" xfId="3190"/>
    <cellStyle name="Percentuale 55 3 4" xfId="3189"/>
    <cellStyle name="Percentuale 55 4" xfId="1882"/>
    <cellStyle name="Percentuale 55 4 2" xfId="1883"/>
    <cellStyle name="Percentuale 55 4 2 2" xfId="3192"/>
    <cellStyle name="Percentuale 55 4 3" xfId="3191"/>
    <cellStyle name="Percentuale 55 5" xfId="1884"/>
    <cellStyle name="Percentuale 56" xfId="1885"/>
    <cellStyle name="Percentuale 56 2" xfId="1886"/>
    <cellStyle name="Percentuale 56 2 2" xfId="3193"/>
    <cellStyle name="Percentuale 56 3" xfId="1887"/>
    <cellStyle name="Percentuale 56 3 2" xfId="1888"/>
    <cellStyle name="Percentuale 56 3 3" xfId="1889"/>
    <cellStyle name="Percentuale 56 3 3 2" xfId="3195"/>
    <cellStyle name="Percentuale 56 3 4" xfId="3194"/>
    <cellStyle name="Percentuale 56 4" xfId="1890"/>
    <cellStyle name="Percentuale 56 4 2" xfId="1891"/>
    <cellStyle name="Percentuale 56 4 2 2" xfId="3197"/>
    <cellStyle name="Percentuale 56 4 3" xfId="3196"/>
    <cellStyle name="Percentuale 56 5" xfId="1892"/>
    <cellStyle name="Percentuale 57" xfId="1893"/>
    <cellStyle name="Percentuale 57 2" xfId="1894"/>
    <cellStyle name="Percentuale 57 2 2" xfId="3198"/>
    <cellStyle name="Percentuale 57 3" xfId="1895"/>
    <cellStyle name="Percentuale 57 3 2" xfId="1896"/>
    <cellStyle name="Percentuale 57 3 3" xfId="1897"/>
    <cellStyle name="Percentuale 57 3 3 2" xfId="3200"/>
    <cellStyle name="Percentuale 57 3 4" xfId="3199"/>
    <cellStyle name="Percentuale 57 4" xfId="1898"/>
    <cellStyle name="Percentuale 57 4 2" xfId="1899"/>
    <cellStyle name="Percentuale 57 4 2 2" xfId="3202"/>
    <cellStyle name="Percentuale 57 4 3" xfId="3201"/>
    <cellStyle name="Percentuale 57 5" xfId="1900"/>
    <cellStyle name="Percentuale 58" xfId="1901"/>
    <cellStyle name="Percentuale 58 2" xfId="1902"/>
    <cellStyle name="Percentuale 58 2 2" xfId="3203"/>
    <cellStyle name="Percentuale 58 3" xfId="1903"/>
    <cellStyle name="Percentuale 58 3 2" xfId="1904"/>
    <cellStyle name="Percentuale 58 3 3" xfId="1905"/>
    <cellStyle name="Percentuale 58 3 3 2" xfId="3205"/>
    <cellStyle name="Percentuale 58 3 4" xfId="3204"/>
    <cellStyle name="Percentuale 58 4" xfId="1906"/>
    <cellStyle name="Percentuale 58 4 2" xfId="1907"/>
    <cellStyle name="Percentuale 58 4 2 2" xfId="3207"/>
    <cellStyle name="Percentuale 58 4 3" xfId="3206"/>
    <cellStyle name="Percentuale 58 5" xfId="1908"/>
    <cellStyle name="Percentuale 59" xfId="1909"/>
    <cellStyle name="Percentuale 59 2" xfId="1910"/>
    <cellStyle name="Percentuale 59 2 2" xfId="3208"/>
    <cellStyle name="Percentuale 59 3" xfId="1911"/>
    <cellStyle name="Percentuale 59 3 2" xfId="1912"/>
    <cellStyle name="Percentuale 59 3 3" xfId="1913"/>
    <cellStyle name="Percentuale 59 3 3 2" xfId="3210"/>
    <cellStyle name="Percentuale 59 3 4" xfId="3209"/>
    <cellStyle name="Percentuale 59 4" xfId="1914"/>
    <cellStyle name="Percentuale 59 4 2" xfId="1915"/>
    <cellStyle name="Percentuale 59 4 2 2" xfId="3212"/>
    <cellStyle name="Percentuale 59 4 3" xfId="3211"/>
    <cellStyle name="Percentuale 59 5" xfId="1916"/>
    <cellStyle name="Percentuale 6" xfId="1917"/>
    <cellStyle name="Percentuale 6 2" xfId="1918"/>
    <cellStyle name="Percentuale 6 2 2" xfId="3213"/>
    <cellStyle name="Percentuale 6 3" xfId="1919"/>
    <cellStyle name="Percentuale 6 3 2" xfId="1920"/>
    <cellStyle name="Percentuale 6 3 3" xfId="1921"/>
    <cellStyle name="Percentuale 6 3 3 2" xfId="3215"/>
    <cellStyle name="Percentuale 6 3 4" xfId="3214"/>
    <cellStyle name="Percentuale 6 4" xfId="1922"/>
    <cellStyle name="Percentuale 6 4 2" xfId="1923"/>
    <cellStyle name="Percentuale 6 4 2 2" xfId="3217"/>
    <cellStyle name="Percentuale 6 4 3" xfId="3216"/>
    <cellStyle name="Percentuale 6 5" xfId="1924"/>
    <cellStyle name="Percentuale 60" xfId="1925"/>
    <cellStyle name="Percentuale 60 2" xfId="1926"/>
    <cellStyle name="Percentuale 60 2 2" xfId="3218"/>
    <cellStyle name="Percentuale 60 3" xfId="1927"/>
    <cellStyle name="Percentuale 60 3 2" xfId="1928"/>
    <cellStyle name="Percentuale 60 3 3" xfId="1929"/>
    <cellStyle name="Percentuale 60 3 3 2" xfId="3220"/>
    <cellStyle name="Percentuale 60 3 4" xfId="3219"/>
    <cellStyle name="Percentuale 60 4" xfId="1930"/>
    <cellStyle name="Percentuale 60 4 2" xfId="1931"/>
    <cellStyle name="Percentuale 60 4 2 2" xfId="3222"/>
    <cellStyle name="Percentuale 60 4 3" xfId="3221"/>
    <cellStyle name="Percentuale 60 5" xfId="1932"/>
    <cellStyle name="Percentuale 61" xfId="1933"/>
    <cellStyle name="Percentuale 61 2" xfId="1934"/>
    <cellStyle name="Percentuale 61 2 2" xfId="3223"/>
    <cellStyle name="Percentuale 61 3" xfId="1935"/>
    <cellStyle name="Percentuale 61 3 2" xfId="1936"/>
    <cellStyle name="Percentuale 61 3 3" xfId="1937"/>
    <cellStyle name="Percentuale 61 3 3 2" xfId="3225"/>
    <cellStyle name="Percentuale 61 3 4" xfId="3224"/>
    <cellStyle name="Percentuale 61 4" xfId="1938"/>
    <cellStyle name="Percentuale 61 4 2" xfId="1939"/>
    <cellStyle name="Percentuale 61 4 2 2" xfId="3227"/>
    <cellStyle name="Percentuale 61 4 3" xfId="3226"/>
    <cellStyle name="Percentuale 61 5" xfId="1940"/>
    <cellStyle name="Percentuale 62" xfId="1941"/>
    <cellStyle name="Percentuale 62 2" xfId="3228"/>
    <cellStyle name="Percentuale 63" xfId="1942"/>
    <cellStyle name="Percentuale 63 2" xfId="3229"/>
    <cellStyle name="Percentuale 64" xfId="1943"/>
    <cellStyle name="Percentuale 64 2" xfId="3230"/>
    <cellStyle name="Percentuale 65" xfId="1944"/>
    <cellStyle name="Percentuale 65 2" xfId="3231"/>
    <cellStyle name="Percentuale 66" xfId="1945"/>
    <cellStyle name="Percentuale 66 2" xfId="3232"/>
    <cellStyle name="Percentuale 67" xfId="1946"/>
    <cellStyle name="Percentuale 67 2" xfId="3233"/>
    <cellStyle name="Percentuale 68" xfId="1947"/>
    <cellStyle name="Percentuale 68 2" xfId="1948"/>
    <cellStyle name="Percentuale 68 2 2" xfId="3234"/>
    <cellStyle name="Percentuale 68 3" xfId="1949"/>
    <cellStyle name="Percentuale 68 3 2" xfId="1950"/>
    <cellStyle name="Percentuale 68 3 3" xfId="1951"/>
    <cellStyle name="Percentuale 68 3 3 2" xfId="3236"/>
    <cellStyle name="Percentuale 68 3 4" xfId="3235"/>
    <cellStyle name="Percentuale 68 4" xfId="1952"/>
    <cellStyle name="Percentuale 68 4 2" xfId="1953"/>
    <cellStyle name="Percentuale 68 4 2 2" xfId="3238"/>
    <cellStyle name="Percentuale 68 4 3" xfId="3237"/>
    <cellStyle name="Percentuale 68 5" xfId="1954"/>
    <cellStyle name="Percentuale 69" xfId="1955"/>
    <cellStyle name="Percentuale 69 2" xfId="1956"/>
    <cellStyle name="Percentuale 69 2 2" xfId="3239"/>
    <cellStyle name="Percentuale 69 3" xfId="1957"/>
    <cellStyle name="Percentuale 69 3 2" xfId="1958"/>
    <cellStyle name="Percentuale 69 3 3" xfId="1959"/>
    <cellStyle name="Percentuale 69 3 3 2" xfId="3241"/>
    <cellStyle name="Percentuale 69 3 4" xfId="3240"/>
    <cellStyle name="Percentuale 69 4" xfId="1960"/>
    <cellStyle name="Percentuale 69 4 2" xfId="1961"/>
    <cellStyle name="Percentuale 69 4 2 2" xfId="3243"/>
    <cellStyle name="Percentuale 69 4 3" xfId="3242"/>
    <cellStyle name="Percentuale 69 5" xfId="1962"/>
    <cellStyle name="Percentuale 7" xfId="1963"/>
    <cellStyle name="Percentuale 7 2" xfId="1964"/>
    <cellStyle name="Percentuale 7 2 2" xfId="3244"/>
    <cellStyle name="Percentuale 7 3" xfId="1965"/>
    <cellStyle name="Percentuale 7 3 2" xfId="1966"/>
    <cellStyle name="Percentuale 7 3 3" xfId="1967"/>
    <cellStyle name="Percentuale 7 3 3 2" xfId="3246"/>
    <cellStyle name="Percentuale 7 3 4" xfId="3245"/>
    <cellStyle name="Percentuale 7 4" xfId="1968"/>
    <cellStyle name="Percentuale 7 4 2" xfId="1969"/>
    <cellStyle name="Percentuale 7 4 2 2" xfId="3248"/>
    <cellStyle name="Percentuale 7 4 3" xfId="3247"/>
    <cellStyle name="Percentuale 7 5" xfId="1970"/>
    <cellStyle name="Percentuale 8" xfId="1971"/>
    <cellStyle name="Percentuale 8 2" xfId="1972"/>
    <cellStyle name="Percentuale 8 2 2" xfId="3249"/>
    <cellStyle name="Percentuale 8 3" xfId="1973"/>
    <cellStyle name="Percentuale 8 3 2" xfId="1974"/>
    <cellStyle name="Percentuale 8 3 3" xfId="1975"/>
    <cellStyle name="Percentuale 8 3 3 2" xfId="3251"/>
    <cellStyle name="Percentuale 8 3 4" xfId="3250"/>
    <cellStyle name="Percentuale 8 4" xfId="1976"/>
    <cellStyle name="Percentuale 8 4 2" xfId="1977"/>
    <cellStyle name="Percentuale 8 4 2 2" xfId="3253"/>
    <cellStyle name="Percentuale 8 4 3" xfId="3252"/>
    <cellStyle name="Percentuale 8 5" xfId="1978"/>
    <cellStyle name="Percentuale 9" xfId="1979"/>
    <cellStyle name="Percentuale 9 2" xfId="1980"/>
    <cellStyle name="Percentuale 9 2 2" xfId="3254"/>
    <cellStyle name="Percentuale 9 3" xfId="1981"/>
    <cellStyle name="Percentuale 9 3 2" xfId="1982"/>
    <cellStyle name="Percentuale 9 3 3" xfId="1983"/>
    <cellStyle name="Percentuale 9 3 3 2" xfId="3256"/>
    <cellStyle name="Percentuale 9 3 4" xfId="3255"/>
    <cellStyle name="Percentuale 9 4" xfId="1984"/>
    <cellStyle name="Percentuale 9 4 2" xfId="1985"/>
    <cellStyle name="Percentuale 9 4 2 2" xfId="3258"/>
    <cellStyle name="Percentuale 9 4 3" xfId="3257"/>
    <cellStyle name="Percentuale 9 5" xfId="1986"/>
    <cellStyle name="Procent" xfId="1473" builtinId="5"/>
    <cellStyle name="Procent 10" xfId="4001"/>
    <cellStyle name="Procent 10 2" xfId="4002"/>
    <cellStyle name="Procent 10 2 2" xfId="4626"/>
    <cellStyle name="Procent 10 2 2 2" xfId="7794"/>
    <cellStyle name="Procent 10 2 2 2 2" xfId="10549"/>
    <cellStyle name="Procent 10 2 2 3" xfId="9187"/>
    <cellStyle name="Procent 10 2 3" xfId="7170"/>
    <cellStyle name="Procent 10 2 3 2" xfId="9925"/>
    <cellStyle name="Procent 10 2 4" xfId="8563"/>
    <cellStyle name="Procent 10 3" xfId="4003"/>
    <cellStyle name="Procent 10 3 2" xfId="4627"/>
    <cellStyle name="Procent 10 3 2 2" xfId="7795"/>
    <cellStyle name="Procent 10 3 2 2 2" xfId="10550"/>
    <cellStyle name="Procent 10 3 2 3" xfId="9188"/>
    <cellStyle name="Procent 10 3 3" xfId="7171"/>
    <cellStyle name="Procent 10 3 3 2" xfId="9926"/>
    <cellStyle name="Procent 10 3 4" xfId="8564"/>
    <cellStyle name="Procent 10 4" xfId="4004"/>
    <cellStyle name="Procent 10 4 2" xfId="4628"/>
    <cellStyle name="Procent 10 4 2 2" xfId="7796"/>
    <cellStyle name="Procent 10 4 2 2 2" xfId="10551"/>
    <cellStyle name="Procent 10 4 2 3" xfId="9189"/>
    <cellStyle name="Procent 10 4 3" xfId="7172"/>
    <cellStyle name="Procent 10 4 3 2" xfId="9927"/>
    <cellStyle name="Procent 10 4 4" xfId="8565"/>
    <cellStyle name="Procent 10 5" xfId="4625"/>
    <cellStyle name="Procent 10 5 2" xfId="7793"/>
    <cellStyle name="Procent 10 5 2 2" xfId="10548"/>
    <cellStyle name="Procent 10 5 3" xfId="9186"/>
    <cellStyle name="Procent 10 6" xfId="7169"/>
    <cellStyle name="Procent 10 6 2" xfId="9924"/>
    <cellStyle name="Procent 10 7" xfId="8562"/>
    <cellStyle name="Procent 11" xfId="4005"/>
    <cellStyle name="Procent 11 2" xfId="4629"/>
    <cellStyle name="Procent 11 2 2" xfId="7797"/>
    <cellStyle name="Procent 11 2 2 2" xfId="10552"/>
    <cellStyle name="Procent 11 2 3" xfId="9190"/>
    <cellStyle name="Procent 11 3" xfId="7173"/>
    <cellStyle name="Procent 11 3 2" xfId="9928"/>
    <cellStyle name="Procent 11 4" xfId="8566"/>
    <cellStyle name="Procent 12" xfId="3514"/>
    <cellStyle name="Procent 12 2" xfId="4155"/>
    <cellStyle name="Procent 12 2 2" xfId="7323"/>
    <cellStyle name="Procent 12 2 2 2" xfId="10078"/>
    <cellStyle name="Procent 12 2 3" xfId="8716"/>
    <cellStyle name="Procent 12 3" xfId="6712"/>
    <cellStyle name="Procent 12 3 2" xfId="9467"/>
    <cellStyle name="Procent 12 4" xfId="8100"/>
    <cellStyle name="Procent 13" xfId="4730"/>
    <cellStyle name="Procent 2" xfId="1987"/>
    <cellStyle name="Procent 2 10" xfId="4006"/>
    <cellStyle name="Procent 2 10 2" xfId="4007"/>
    <cellStyle name="Procent 2 10 2 2" xfId="4631"/>
    <cellStyle name="Procent 2 10 2 2 2" xfId="7799"/>
    <cellStyle name="Procent 2 10 2 2 2 2" xfId="10554"/>
    <cellStyle name="Procent 2 10 2 2 3" xfId="9192"/>
    <cellStyle name="Procent 2 10 2 3" xfId="7175"/>
    <cellStyle name="Procent 2 10 2 3 2" xfId="9930"/>
    <cellStyle name="Procent 2 10 2 4" xfId="8568"/>
    <cellStyle name="Procent 2 10 3" xfId="4630"/>
    <cellStyle name="Procent 2 10 3 2" xfId="7798"/>
    <cellStyle name="Procent 2 10 3 2 2" xfId="10553"/>
    <cellStyle name="Procent 2 10 3 3" xfId="9191"/>
    <cellStyle name="Procent 2 10 4" xfId="7174"/>
    <cellStyle name="Procent 2 10 4 2" xfId="9929"/>
    <cellStyle name="Procent 2 10 5" xfId="8567"/>
    <cellStyle name="Procent 2 11" xfId="4008"/>
    <cellStyle name="Procent 2 11 2" xfId="4632"/>
    <cellStyle name="Procent 2 11 2 2" xfId="7800"/>
    <cellStyle name="Procent 2 11 2 2 2" xfId="10555"/>
    <cellStyle name="Procent 2 11 2 3" xfId="9193"/>
    <cellStyle name="Procent 2 11 3" xfId="7176"/>
    <cellStyle name="Procent 2 11 3 2" xfId="9931"/>
    <cellStyle name="Procent 2 11 4" xfId="8569"/>
    <cellStyle name="Procent 2 12" xfId="4009"/>
    <cellStyle name="Procent 2 12 2" xfId="4633"/>
    <cellStyle name="Procent 2 12 2 2" xfId="7801"/>
    <cellStyle name="Procent 2 12 2 2 2" xfId="10556"/>
    <cellStyle name="Procent 2 12 2 3" xfId="9194"/>
    <cellStyle name="Procent 2 12 3" xfId="7177"/>
    <cellStyle name="Procent 2 12 3 2" xfId="9932"/>
    <cellStyle name="Procent 2 12 4" xfId="8570"/>
    <cellStyle name="Procent 2 13" xfId="4010"/>
    <cellStyle name="Procent 2 13 2" xfId="4634"/>
    <cellStyle name="Procent 2 13 2 2" xfId="7802"/>
    <cellStyle name="Procent 2 13 2 2 2" xfId="10557"/>
    <cellStyle name="Procent 2 13 2 3" xfId="9195"/>
    <cellStyle name="Procent 2 13 3" xfId="7178"/>
    <cellStyle name="Procent 2 13 3 2" xfId="9933"/>
    <cellStyle name="Procent 2 13 4" xfId="8571"/>
    <cellStyle name="Procent 2 14" xfId="3511"/>
    <cellStyle name="Procent 2 14 2" xfId="4152"/>
    <cellStyle name="Procent 2 14 2 2" xfId="7320"/>
    <cellStyle name="Procent 2 14 2 2 2" xfId="10075"/>
    <cellStyle name="Procent 2 14 2 3" xfId="8713"/>
    <cellStyle name="Procent 2 14 3" xfId="6709"/>
    <cellStyle name="Procent 2 14 3 2" xfId="9464"/>
    <cellStyle name="Procent 2 14 4" xfId="8097"/>
    <cellStyle name="Procent 2 15" xfId="4109"/>
    <cellStyle name="Procent 2 15 2" xfId="7277"/>
    <cellStyle name="Procent 2 15 2 2" xfId="10032"/>
    <cellStyle name="Procent 2 15 3" xfId="8670"/>
    <cellStyle name="Procent 2 16" xfId="3452"/>
    <cellStyle name="Procent 2 16 2" xfId="6666"/>
    <cellStyle name="Procent 2 16 2 2" xfId="9421"/>
    <cellStyle name="Procent 2 16 3" xfId="8053"/>
    <cellStyle name="Procent 2 2" xfId="3259"/>
    <cellStyle name="Procent 2 2 2" xfId="3482"/>
    <cellStyle name="Procent 2 2 2 2" xfId="4013"/>
    <cellStyle name="Procent 2 2 2 2 2" xfId="4637"/>
    <cellStyle name="Procent 2 2 2 2 2 2" xfId="7805"/>
    <cellStyle name="Procent 2 2 2 2 2 2 2" xfId="10560"/>
    <cellStyle name="Procent 2 2 2 2 2 3" xfId="9198"/>
    <cellStyle name="Procent 2 2 2 2 3" xfId="7181"/>
    <cellStyle name="Procent 2 2 2 2 3 2" xfId="9936"/>
    <cellStyle name="Procent 2 2 2 2 4" xfId="8574"/>
    <cellStyle name="Procent 2 2 2 3" xfId="4014"/>
    <cellStyle name="Procent 2 2 2 3 2" xfId="4638"/>
    <cellStyle name="Procent 2 2 2 3 2 2" xfId="7806"/>
    <cellStyle name="Procent 2 2 2 3 2 2 2" xfId="10561"/>
    <cellStyle name="Procent 2 2 2 3 2 3" xfId="9199"/>
    <cellStyle name="Procent 2 2 2 3 3" xfId="7182"/>
    <cellStyle name="Procent 2 2 2 3 3 2" xfId="9937"/>
    <cellStyle name="Procent 2 2 2 3 4" xfId="8575"/>
    <cellStyle name="Procent 2 2 2 4" xfId="4015"/>
    <cellStyle name="Procent 2 2 2 4 2" xfId="4639"/>
    <cellStyle name="Procent 2 2 2 4 2 2" xfId="7807"/>
    <cellStyle name="Procent 2 2 2 4 2 2 2" xfId="10562"/>
    <cellStyle name="Procent 2 2 2 4 2 3" xfId="9200"/>
    <cellStyle name="Procent 2 2 2 4 3" xfId="7183"/>
    <cellStyle name="Procent 2 2 2 4 3 2" xfId="9938"/>
    <cellStyle name="Procent 2 2 2 4 4" xfId="8576"/>
    <cellStyle name="Procent 2 2 2 5" xfId="4012"/>
    <cellStyle name="Procent 2 2 2 5 2" xfId="4636"/>
    <cellStyle name="Procent 2 2 2 5 2 2" xfId="7804"/>
    <cellStyle name="Procent 2 2 2 5 2 2 2" xfId="10559"/>
    <cellStyle name="Procent 2 2 2 5 2 3" xfId="9197"/>
    <cellStyle name="Procent 2 2 2 5 3" xfId="7180"/>
    <cellStyle name="Procent 2 2 2 5 3 2" xfId="9935"/>
    <cellStyle name="Procent 2 2 2 5 4" xfId="8573"/>
    <cellStyle name="Procent 2 2 2 6" xfId="4133"/>
    <cellStyle name="Procent 2 2 2 6 2" xfId="7301"/>
    <cellStyle name="Procent 2 2 2 6 2 2" xfId="10056"/>
    <cellStyle name="Procent 2 2 2 6 3" xfId="8694"/>
    <cellStyle name="Procent 2 2 2 7" xfId="6690"/>
    <cellStyle name="Procent 2 2 2 7 2" xfId="9445"/>
    <cellStyle name="Procent 2 2 2 8" xfId="8078"/>
    <cellStyle name="Procent 2 2 3" xfId="3498"/>
    <cellStyle name="Procent 2 2 3 2" xfId="4016"/>
    <cellStyle name="Procent 2 2 3 2 2" xfId="4640"/>
    <cellStyle name="Procent 2 2 3 2 2 2" xfId="7808"/>
    <cellStyle name="Procent 2 2 3 2 2 2 2" xfId="10563"/>
    <cellStyle name="Procent 2 2 3 2 2 3" xfId="9201"/>
    <cellStyle name="Procent 2 2 3 2 3" xfId="7184"/>
    <cellStyle name="Procent 2 2 3 2 3 2" xfId="9939"/>
    <cellStyle name="Procent 2 2 3 2 4" xfId="8577"/>
    <cellStyle name="Procent 2 2 3 3" xfId="4149"/>
    <cellStyle name="Procent 2 2 3 3 2" xfId="7317"/>
    <cellStyle name="Procent 2 2 3 3 2 2" xfId="10072"/>
    <cellStyle name="Procent 2 2 3 3 3" xfId="8710"/>
    <cellStyle name="Procent 2 2 3 4" xfId="6706"/>
    <cellStyle name="Procent 2 2 3 4 2" xfId="9461"/>
    <cellStyle name="Procent 2 2 3 5" xfId="8094"/>
    <cellStyle name="Procent 2 2 4" xfId="4017"/>
    <cellStyle name="Procent 2 2 4 2" xfId="4641"/>
    <cellStyle name="Procent 2 2 4 2 2" xfId="7809"/>
    <cellStyle name="Procent 2 2 4 2 2 2" xfId="10564"/>
    <cellStyle name="Procent 2 2 4 2 3" xfId="9202"/>
    <cellStyle name="Procent 2 2 4 3" xfId="7185"/>
    <cellStyle name="Procent 2 2 4 3 2" xfId="9940"/>
    <cellStyle name="Procent 2 2 4 4" xfId="8578"/>
    <cellStyle name="Procent 2 2 5" xfId="4018"/>
    <cellStyle name="Procent 2 2 5 2" xfId="4642"/>
    <cellStyle name="Procent 2 2 5 2 2" xfId="7810"/>
    <cellStyle name="Procent 2 2 5 2 2 2" xfId="10565"/>
    <cellStyle name="Procent 2 2 5 2 3" xfId="9203"/>
    <cellStyle name="Procent 2 2 5 3" xfId="7186"/>
    <cellStyle name="Procent 2 2 5 3 2" xfId="9941"/>
    <cellStyle name="Procent 2 2 5 4" xfId="8579"/>
    <cellStyle name="Procent 2 2 6" xfId="4019"/>
    <cellStyle name="Procent 2 2 6 2" xfId="4643"/>
    <cellStyle name="Procent 2 2 6 2 2" xfId="7811"/>
    <cellStyle name="Procent 2 2 6 2 2 2" xfId="10566"/>
    <cellStyle name="Procent 2 2 6 2 3" xfId="9204"/>
    <cellStyle name="Procent 2 2 6 3" xfId="7187"/>
    <cellStyle name="Procent 2 2 6 3 2" xfId="9942"/>
    <cellStyle name="Procent 2 2 6 4" xfId="8580"/>
    <cellStyle name="Procent 2 2 7" xfId="4011"/>
    <cellStyle name="Procent 2 2 7 2" xfId="4635"/>
    <cellStyle name="Procent 2 2 7 2 2" xfId="7803"/>
    <cellStyle name="Procent 2 2 7 2 2 2" xfId="10558"/>
    <cellStyle name="Procent 2 2 7 2 3" xfId="9196"/>
    <cellStyle name="Procent 2 2 7 3" xfId="7179"/>
    <cellStyle name="Procent 2 2 7 3 2" xfId="9934"/>
    <cellStyle name="Procent 2 2 7 4" xfId="8572"/>
    <cellStyle name="Procent 2 2 8" xfId="4117"/>
    <cellStyle name="Procent 2 2 8 2" xfId="7285"/>
    <cellStyle name="Procent 2 2 8 2 2" xfId="10040"/>
    <cellStyle name="Procent 2 2 8 3" xfId="8678"/>
    <cellStyle name="Procent 2 2 9" xfId="3466"/>
    <cellStyle name="Procent 2 2 9 2" xfId="6674"/>
    <cellStyle name="Procent 2 2 9 2 2" xfId="9429"/>
    <cellStyle name="Procent 2 2 9 3" xfId="8062"/>
    <cellStyle name="Procent 2 3" xfId="3474"/>
    <cellStyle name="Procent 2 3 10" xfId="8070"/>
    <cellStyle name="Procent 2 3 2" xfId="4021"/>
    <cellStyle name="Procent 2 3 2 2" xfId="4022"/>
    <cellStyle name="Procent 2 3 2 2 2" xfId="4646"/>
    <cellStyle name="Procent 2 3 2 2 2 2" xfId="7814"/>
    <cellStyle name="Procent 2 3 2 2 2 2 2" xfId="10569"/>
    <cellStyle name="Procent 2 3 2 2 2 3" xfId="9207"/>
    <cellStyle name="Procent 2 3 2 2 3" xfId="7190"/>
    <cellStyle name="Procent 2 3 2 2 3 2" xfId="9945"/>
    <cellStyle name="Procent 2 3 2 2 4" xfId="8583"/>
    <cellStyle name="Procent 2 3 2 3" xfId="4023"/>
    <cellStyle name="Procent 2 3 2 3 2" xfId="4647"/>
    <cellStyle name="Procent 2 3 2 3 2 2" xfId="7815"/>
    <cellStyle name="Procent 2 3 2 3 2 2 2" xfId="10570"/>
    <cellStyle name="Procent 2 3 2 3 2 3" xfId="9208"/>
    <cellStyle name="Procent 2 3 2 3 3" xfId="7191"/>
    <cellStyle name="Procent 2 3 2 3 3 2" xfId="9946"/>
    <cellStyle name="Procent 2 3 2 3 4" xfId="8584"/>
    <cellStyle name="Procent 2 3 2 4" xfId="4645"/>
    <cellStyle name="Procent 2 3 2 4 2" xfId="7813"/>
    <cellStyle name="Procent 2 3 2 4 2 2" xfId="10568"/>
    <cellStyle name="Procent 2 3 2 4 3" xfId="9206"/>
    <cellStyle name="Procent 2 3 2 5" xfId="7189"/>
    <cellStyle name="Procent 2 3 2 5 2" xfId="9944"/>
    <cellStyle name="Procent 2 3 2 6" xfId="8582"/>
    <cellStyle name="Procent 2 3 3" xfId="4024"/>
    <cellStyle name="Procent 2 3 3 2" xfId="4648"/>
    <cellStyle name="Procent 2 3 3 2 2" xfId="7816"/>
    <cellStyle name="Procent 2 3 3 2 2 2" xfId="10571"/>
    <cellStyle name="Procent 2 3 3 2 3" xfId="9209"/>
    <cellStyle name="Procent 2 3 3 3" xfId="7192"/>
    <cellStyle name="Procent 2 3 3 3 2" xfId="9947"/>
    <cellStyle name="Procent 2 3 3 4" xfId="8585"/>
    <cellStyle name="Procent 2 3 4" xfId="4025"/>
    <cellStyle name="Procent 2 3 4 2" xfId="4649"/>
    <cellStyle name="Procent 2 3 4 2 2" xfId="7817"/>
    <cellStyle name="Procent 2 3 4 2 2 2" xfId="10572"/>
    <cellStyle name="Procent 2 3 4 2 3" xfId="9210"/>
    <cellStyle name="Procent 2 3 4 3" xfId="7193"/>
    <cellStyle name="Procent 2 3 4 3 2" xfId="9948"/>
    <cellStyle name="Procent 2 3 4 4" xfId="8586"/>
    <cellStyle name="Procent 2 3 5" xfId="4026"/>
    <cellStyle name="Procent 2 3 5 2" xfId="4650"/>
    <cellStyle name="Procent 2 3 5 2 2" xfId="7818"/>
    <cellStyle name="Procent 2 3 5 2 2 2" xfId="10573"/>
    <cellStyle name="Procent 2 3 5 2 3" xfId="9211"/>
    <cellStyle name="Procent 2 3 5 3" xfId="7194"/>
    <cellStyle name="Procent 2 3 5 3 2" xfId="9949"/>
    <cellStyle name="Procent 2 3 5 4" xfId="8587"/>
    <cellStyle name="Procent 2 3 6" xfId="4027"/>
    <cellStyle name="Procent 2 3 6 2" xfId="4651"/>
    <cellStyle name="Procent 2 3 6 2 2" xfId="7819"/>
    <cellStyle name="Procent 2 3 6 2 2 2" xfId="10574"/>
    <cellStyle name="Procent 2 3 6 2 3" xfId="9212"/>
    <cellStyle name="Procent 2 3 6 3" xfId="7195"/>
    <cellStyle name="Procent 2 3 6 3 2" xfId="9950"/>
    <cellStyle name="Procent 2 3 6 4" xfId="8588"/>
    <cellStyle name="Procent 2 3 7" xfId="4020"/>
    <cellStyle name="Procent 2 3 7 2" xfId="4644"/>
    <cellStyle name="Procent 2 3 7 2 2" xfId="7812"/>
    <cellStyle name="Procent 2 3 7 2 2 2" xfId="10567"/>
    <cellStyle name="Procent 2 3 7 2 3" xfId="9205"/>
    <cellStyle name="Procent 2 3 7 3" xfId="7188"/>
    <cellStyle name="Procent 2 3 7 3 2" xfId="9943"/>
    <cellStyle name="Procent 2 3 7 4" xfId="8581"/>
    <cellStyle name="Procent 2 3 8" xfId="4125"/>
    <cellStyle name="Procent 2 3 8 2" xfId="7293"/>
    <cellStyle name="Procent 2 3 8 2 2" xfId="10048"/>
    <cellStyle name="Procent 2 3 8 3" xfId="8686"/>
    <cellStyle name="Procent 2 3 9" xfId="6682"/>
    <cellStyle name="Procent 2 3 9 2" xfId="9437"/>
    <cellStyle name="Procent 2 4" xfId="3490"/>
    <cellStyle name="Procent 2 4 10" xfId="8086"/>
    <cellStyle name="Procent 2 4 2" xfId="4029"/>
    <cellStyle name="Procent 2 4 2 2" xfId="4030"/>
    <cellStyle name="Procent 2 4 2 2 2" xfId="4654"/>
    <cellStyle name="Procent 2 4 2 2 2 2" xfId="7822"/>
    <cellStyle name="Procent 2 4 2 2 2 2 2" xfId="10577"/>
    <cellStyle name="Procent 2 4 2 2 2 3" xfId="9215"/>
    <cellStyle name="Procent 2 4 2 2 3" xfId="7198"/>
    <cellStyle name="Procent 2 4 2 2 3 2" xfId="9953"/>
    <cellStyle name="Procent 2 4 2 2 4" xfId="8591"/>
    <cellStyle name="Procent 2 4 2 3" xfId="4031"/>
    <cellStyle name="Procent 2 4 2 3 2" xfId="4655"/>
    <cellStyle name="Procent 2 4 2 3 2 2" xfId="7823"/>
    <cellStyle name="Procent 2 4 2 3 2 2 2" xfId="10578"/>
    <cellStyle name="Procent 2 4 2 3 2 3" xfId="9216"/>
    <cellStyle name="Procent 2 4 2 3 3" xfId="7199"/>
    <cellStyle name="Procent 2 4 2 3 3 2" xfId="9954"/>
    <cellStyle name="Procent 2 4 2 3 4" xfId="8592"/>
    <cellStyle name="Procent 2 4 2 4" xfId="4653"/>
    <cellStyle name="Procent 2 4 2 4 2" xfId="7821"/>
    <cellStyle name="Procent 2 4 2 4 2 2" xfId="10576"/>
    <cellStyle name="Procent 2 4 2 4 3" xfId="9214"/>
    <cellStyle name="Procent 2 4 2 5" xfId="7197"/>
    <cellStyle name="Procent 2 4 2 5 2" xfId="9952"/>
    <cellStyle name="Procent 2 4 2 6" xfId="8590"/>
    <cellStyle name="Procent 2 4 3" xfId="4032"/>
    <cellStyle name="Procent 2 4 3 2" xfId="4656"/>
    <cellStyle name="Procent 2 4 3 2 2" xfId="7824"/>
    <cellStyle name="Procent 2 4 3 2 2 2" xfId="10579"/>
    <cellStyle name="Procent 2 4 3 2 3" xfId="9217"/>
    <cellStyle name="Procent 2 4 3 3" xfId="7200"/>
    <cellStyle name="Procent 2 4 3 3 2" xfId="9955"/>
    <cellStyle name="Procent 2 4 3 4" xfId="8593"/>
    <cellStyle name="Procent 2 4 4" xfId="4033"/>
    <cellStyle name="Procent 2 4 4 2" xfId="4657"/>
    <cellStyle name="Procent 2 4 4 2 2" xfId="7825"/>
    <cellStyle name="Procent 2 4 4 2 2 2" xfId="10580"/>
    <cellStyle name="Procent 2 4 4 2 3" xfId="9218"/>
    <cellStyle name="Procent 2 4 4 3" xfId="7201"/>
    <cellStyle name="Procent 2 4 4 3 2" xfId="9956"/>
    <cellStyle name="Procent 2 4 4 4" xfId="8594"/>
    <cellStyle name="Procent 2 4 5" xfId="4034"/>
    <cellStyle name="Procent 2 4 5 2" xfId="4658"/>
    <cellStyle name="Procent 2 4 5 2 2" xfId="7826"/>
    <cellStyle name="Procent 2 4 5 2 2 2" xfId="10581"/>
    <cellStyle name="Procent 2 4 5 2 3" xfId="9219"/>
    <cellStyle name="Procent 2 4 5 3" xfId="7202"/>
    <cellStyle name="Procent 2 4 5 3 2" xfId="9957"/>
    <cellStyle name="Procent 2 4 5 4" xfId="8595"/>
    <cellStyle name="Procent 2 4 6" xfId="4035"/>
    <cellStyle name="Procent 2 4 6 2" xfId="4659"/>
    <cellStyle name="Procent 2 4 6 2 2" xfId="7827"/>
    <cellStyle name="Procent 2 4 6 2 2 2" xfId="10582"/>
    <cellStyle name="Procent 2 4 6 2 3" xfId="9220"/>
    <cellStyle name="Procent 2 4 6 3" xfId="7203"/>
    <cellStyle name="Procent 2 4 6 3 2" xfId="9958"/>
    <cellStyle name="Procent 2 4 6 4" xfId="8596"/>
    <cellStyle name="Procent 2 4 7" xfId="4028"/>
    <cellStyle name="Procent 2 4 7 2" xfId="4652"/>
    <cellStyle name="Procent 2 4 7 2 2" xfId="7820"/>
    <cellStyle name="Procent 2 4 7 2 2 2" xfId="10575"/>
    <cellStyle name="Procent 2 4 7 2 3" xfId="9213"/>
    <cellStyle name="Procent 2 4 7 3" xfId="7196"/>
    <cellStyle name="Procent 2 4 7 3 2" xfId="9951"/>
    <cellStyle name="Procent 2 4 7 4" xfId="8589"/>
    <cellStyle name="Procent 2 4 8" xfId="4141"/>
    <cellStyle name="Procent 2 4 8 2" xfId="7309"/>
    <cellStyle name="Procent 2 4 8 2 2" xfId="10064"/>
    <cellStyle name="Procent 2 4 8 3" xfId="8702"/>
    <cellStyle name="Procent 2 4 9" xfId="6698"/>
    <cellStyle name="Procent 2 4 9 2" xfId="9453"/>
    <cellStyle name="Procent 2 5" xfId="3383"/>
    <cellStyle name="Procent 2 5 2" xfId="4037"/>
    <cellStyle name="Procent 2 5 2 2" xfId="4038"/>
    <cellStyle name="Procent 2 5 2 2 2" xfId="4662"/>
    <cellStyle name="Procent 2 5 2 2 2 2" xfId="7830"/>
    <cellStyle name="Procent 2 5 2 2 2 2 2" xfId="10585"/>
    <cellStyle name="Procent 2 5 2 2 2 3" xfId="9223"/>
    <cellStyle name="Procent 2 5 2 2 3" xfId="7206"/>
    <cellStyle name="Procent 2 5 2 2 3 2" xfId="9961"/>
    <cellStyle name="Procent 2 5 2 2 4" xfId="8599"/>
    <cellStyle name="Procent 2 5 2 3" xfId="4039"/>
    <cellStyle name="Procent 2 5 2 3 2" xfId="4663"/>
    <cellStyle name="Procent 2 5 2 3 2 2" xfId="7831"/>
    <cellStyle name="Procent 2 5 2 3 2 2 2" xfId="10586"/>
    <cellStyle name="Procent 2 5 2 3 2 3" xfId="9224"/>
    <cellStyle name="Procent 2 5 2 3 3" xfId="7207"/>
    <cellStyle name="Procent 2 5 2 3 3 2" xfId="9962"/>
    <cellStyle name="Procent 2 5 2 3 4" xfId="8600"/>
    <cellStyle name="Procent 2 5 2 4" xfId="4661"/>
    <cellStyle name="Procent 2 5 2 4 2" xfId="7829"/>
    <cellStyle name="Procent 2 5 2 4 2 2" xfId="10584"/>
    <cellStyle name="Procent 2 5 2 4 3" xfId="9222"/>
    <cellStyle name="Procent 2 5 2 5" xfId="7205"/>
    <cellStyle name="Procent 2 5 2 5 2" xfId="9960"/>
    <cellStyle name="Procent 2 5 2 6" xfId="8598"/>
    <cellStyle name="Procent 2 5 3" xfId="4040"/>
    <cellStyle name="Procent 2 5 3 2" xfId="4664"/>
    <cellStyle name="Procent 2 5 3 2 2" xfId="7832"/>
    <cellStyle name="Procent 2 5 3 2 2 2" xfId="10587"/>
    <cellStyle name="Procent 2 5 3 2 3" xfId="9225"/>
    <cellStyle name="Procent 2 5 3 3" xfId="7208"/>
    <cellStyle name="Procent 2 5 3 3 2" xfId="9963"/>
    <cellStyle name="Procent 2 5 3 4" xfId="8601"/>
    <cellStyle name="Procent 2 5 4" xfId="4041"/>
    <cellStyle name="Procent 2 5 4 2" xfId="4665"/>
    <cellStyle name="Procent 2 5 4 2 2" xfId="7833"/>
    <cellStyle name="Procent 2 5 4 2 2 2" xfId="10588"/>
    <cellStyle name="Procent 2 5 4 2 3" xfId="9226"/>
    <cellStyle name="Procent 2 5 4 3" xfId="7209"/>
    <cellStyle name="Procent 2 5 4 3 2" xfId="9964"/>
    <cellStyle name="Procent 2 5 4 4" xfId="8602"/>
    <cellStyle name="Procent 2 5 5" xfId="4042"/>
    <cellStyle name="Procent 2 5 5 2" xfId="4666"/>
    <cellStyle name="Procent 2 5 5 2 2" xfId="7834"/>
    <cellStyle name="Procent 2 5 5 2 2 2" xfId="10589"/>
    <cellStyle name="Procent 2 5 5 2 3" xfId="9227"/>
    <cellStyle name="Procent 2 5 5 3" xfId="7210"/>
    <cellStyle name="Procent 2 5 5 3 2" xfId="9965"/>
    <cellStyle name="Procent 2 5 5 4" xfId="8603"/>
    <cellStyle name="Procent 2 5 6" xfId="4036"/>
    <cellStyle name="Procent 2 5 6 2" xfId="4660"/>
    <cellStyle name="Procent 2 5 6 2 2" xfId="7828"/>
    <cellStyle name="Procent 2 5 6 2 2 2" xfId="10583"/>
    <cellStyle name="Procent 2 5 6 2 3" xfId="9221"/>
    <cellStyle name="Procent 2 5 6 3" xfId="7204"/>
    <cellStyle name="Procent 2 5 6 3 2" xfId="9959"/>
    <cellStyle name="Procent 2 5 6 4" xfId="8597"/>
    <cellStyle name="Procent 2 6" xfId="4043"/>
    <cellStyle name="Procent 2 6 2" xfId="4044"/>
    <cellStyle name="Procent 2 6 2 2" xfId="4045"/>
    <cellStyle name="Procent 2 6 2 2 2" xfId="4669"/>
    <cellStyle name="Procent 2 6 2 2 2 2" xfId="7837"/>
    <cellStyle name="Procent 2 6 2 2 2 2 2" xfId="10592"/>
    <cellStyle name="Procent 2 6 2 2 2 3" xfId="9230"/>
    <cellStyle name="Procent 2 6 2 2 3" xfId="7213"/>
    <cellStyle name="Procent 2 6 2 2 3 2" xfId="9968"/>
    <cellStyle name="Procent 2 6 2 2 4" xfId="8606"/>
    <cellStyle name="Procent 2 6 2 3" xfId="4046"/>
    <cellStyle name="Procent 2 6 2 3 2" xfId="4670"/>
    <cellStyle name="Procent 2 6 2 3 2 2" xfId="7838"/>
    <cellStyle name="Procent 2 6 2 3 2 2 2" xfId="10593"/>
    <cellStyle name="Procent 2 6 2 3 2 3" xfId="9231"/>
    <cellStyle name="Procent 2 6 2 3 3" xfId="7214"/>
    <cellStyle name="Procent 2 6 2 3 3 2" xfId="9969"/>
    <cellStyle name="Procent 2 6 2 3 4" xfId="8607"/>
    <cellStyle name="Procent 2 6 2 4" xfId="4668"/>
    <cellStyle name="Procent 2 6 2 4 2" xfId="7836"/>
    <cellStyle name="Procent 2 6 2 4 2 2" xfId="10591"/>
    <cellStyle name="Procent 2 6 2 4 3" xfId="9229"/>
    <cellStyle name="Procent 2 6 2 5" xfId="7212"/>
    <cellStyle name="Procent 2 6 2 5 2" xfId="9967"/>
    <cellStyle name="Procent 2 6 2 6" xfId="8605"/>
    <cellStyle name="Procent 2 6 3" xfId="4047"/>
    <cellStyle name="Procent 2 6 3 2" xfId="4671"/>
    <cellStyle name="Procent 2 6 3 2 2" xfId="7839"/>
    <cellStyle name="Procent 2 6 3 2 2 2" xfId="10594"/>
    <cellStyle name="Procent 2 6 3 2 3" xfId="9232"/>
    <cellStyle name="Procent 2 6 3 3" xfId="7215"/>
    <cellStyle name="Procent 2 6 3 3 2" xfId="9970"/>
    <cellStyle name="Procent 2 6 3 4" xfId="8608"/>
    <cellStyle name="Procent 2 6 4" xfId="4048"/>
    <cellStyle name="Procent 2 6 4 2" xfId="4672"/>
    <cellStyle name="Procent 2 6 4 2 2" xfId="7840"/>
    <cellStyle name="Procent 2 6 4 2 2 2" xfId="10595"/>
    <cellStyle name="Procent 2 6 4 2 3" xfId="9233"/>
    <cellStyle name="Procent 2 6 4 3" xfId="7216"/>
    <cellStyle name="Procent 2 6 4 3 2" xfId="9971"/>
    <cellStyle name="Procent 2 6 4 4" xfId="8609"/>
    <cellStyle name="Procent 2 6 5" xfId="4049"/>
    <cellStyle name="Procent 2 6 5 2" xfId="4673"/>
    <cellStyle name="Procent 2 6 5 2 2" xfId="7841"/>
    <cellStyle name="Procent 2 6 5 2 2 2" xfId="10596"/>
    <cellStyle name="Procent 2 6 5 2 3" xfId="9234"/>
    <cellStyle name="Procent 2 6 5 3" xfId="7217"/>
    <cellStyle name="Procent 2 6 5 3 2" xfId="9972"/>
    <cellStyle name="Procent 2 6 5 4" xfId="8610"/>
    <cellStyle name="Procent 2 6 6" xfId="4667"/>
    <cellStyle name="Procent 2 6 6 2" xfId="7835"/>
    <cellStyle name="Procent 2 6 6 2 2" xfId="10590"/>
    <cellStyle name="Procent 2 6 6 3" xfId="9228"/>
    <cellStyle name="Procent 2 6 7" xfId="7211"/>
    <cellStyle name="Procent 2 6 7 2" xfId="9966"/>
    <cellStyle name="Procent 2 6 8" xfId="8604"/>
    <cellStyle name="Procent 2 7" xfId="4050"/>
    <cellStyle name="Procent 2 7 2" xfId="4051"/>
    <cellStyle name="Procent 2 7 2 2" xfId="4052"/>
    <cellStyle name="Procent 2 7 2 2 2" xfId="4676"/>
    <cellStyle name="Procent 2 7 2 2 2 2" xfId="7844"/>
    <cellStyle name="Procent 2 7 2 2 2 2 2" xfId="10599"/>
    <cellStyle name="Procent 2 7 2 2 2 3" xfId="9237"/>
    <cellStyle name="Procent 2 7 2 2 3" xfId="7220"/>
    <cellStyle name="Procent 2 7 2 2 3 2" xfId="9975"/>
    <cellStyle name="Procent 2 7 2 2 4" xfId="8613"/>
    <cellStyle name="Procent 2 7 2 3" xfId="4053"/>
    <cellStyle name="Procent 2 7 2 3 2" xfId="4677"/>
    <cellStyle name="Procent 2 7 2 3 2 2" xfId="7845"/>
    <cellStyle name="Procent 2 7 2 3 2 2 2" xfId="10600"/>
    <cellStyle name="Procent 2 7 2 3 2 3" xfId="9238"/>
    <cellStyle name="Procent 2 7 2 3 3" xfId="7221"/>
    <cellStyle name="Procent 2 7 2 3 3 2" xfId="9976"/>
    <cellStyle name="Procent 2 7 2 3 4" xfId="8614"/>
    <cellStyle name="Procent 2 7 2 4" xfId="4675"/>
    <cellStyle name="Procent 2 7 2 4 2" xfId="7843"/>
    <cellStyle name="Procent 2 7 2 4 2 2" xfId="10598"/>
    <cellStyle name="Procent 2 7 2 4 3" xfId="9236"/>
    <cellStyle name="Procent 2 7 2 5" xfId="7219"/>
    <cellStyle name="Procent 2 7 2 5 2" xfId="9974"/>
    <cellStyle name="Procent 2 7 2 6" xfId="8612"/>
    <cellStyle name="Procent 2 7 3" xfId="4054"/>
    <cellStyle name="Procent 2 7 3 2" xfId="4678"/>
    <cellStyle name="Procent 2 7 3 2 2" xfId="7846"/>
    <cellStyle name="Procent 2 7 3 2 2 2" xfId="10601"/>
    <cellStyle name="Procent 2 7 3 2 3" xfId="9239"/>
    <cellStyle name="Procent 2 7 3 3" xfId="7222"/>
    <cellStyle name="Procent 2 7 3 3 2" xfId="9977"/>
    <cellStyle name="Procent 2 7 3 4" xfId="8615"/>
    <cellStyle name="Procent 2 7 4" xfId="4055"/>
    <cellStyle name="Procent 2 7 4 2" xfId="4679"/>
    <cellStyle name="Procent 2 7 4 2 2" xfId="7847"/>
    <cellStyle name="Procent 2 7 4 2 2 2" xfId="10602"/>
    <cellStyle name="Procent 2 7 4 2 3" xfId="9240"/>
    <cellStyle name="Procent 2 7 4 3" xfId="7223"/>
    <cellStyle name="Procent 2 7 4 3 2" xfId="9978"/>
    <cellStyle name="Procent 2 7 4 4" xfId="8616"/>
    <cellStyle name="Procent 2 7 5" xfId="4056"/>
    <cellStyle name="Procent 2 7 5 2" xfId="4680"/>
    <cellStyle name="Procent 2 7 5 2 2" xfId="7848"/>
    <cellStyle name="Procent 2 7 5 2 2 2" xfId="10603"/>
    <cellStyle name="Procent 2 7 5 2 3" xfId="9241"/>
    <cellStyle name="Procent 2 7 5 3" xfId="7224"/>
    <cellStyle name="Procent 2 7 5 3 2" xfId="9979"/>
    <cellStyle name="Procent 2 7 5 4" xfId="8617"/>
    <cellStyle name="Procent 2 7 6" xfId="4674"/>
    <cellStyle name="Procent 2 7 6 2" xfId="7842"/>
    <cellStyle name="Procent 2 7 6 2 2" xfId="10597"/>
    <cellStyle name="Procent 2 7 6 3" xfId="9235"/>
    <cellStyle name="Procent 2 7 7" xfId="7218"/>
    <cellStyle name="Procent 2 7 7 2" xfId="9973"/>
    <cellStyle name="Procent 2 7 8" xfId="8611"/>
    <cellStyle name="Procent 2 8" xfId="4057"/>
    <cellStyle name="Procent 2 8 2" xfId="4058"/>
    <cellStyle name="Procent 2 8 2 2" xfId="4059"/>
    <cellStyle name="Procent 2 8 2 2 2" xfId="4683"/>
    <cellStyle name="Procent 2 8 2 2 2 2" xfId="7851"/>
    <cellStyle name="Procent 2 8 2 2 2 2 2" xfId="10606"/>
    <cellStyle name="Procent 2 8 2 2 2 3" xfId="9244"/>
    <cellStyle name="Procent 2 8 2 2 3" xfId="7227"/>
    <cellStyle name="Procent 2 8 2 2 3 2" xfId="9982"/>
    <cellStyle name="Procent 2 8 2 2 4" xfId="8620"/>
    <cellStyle name="Procent 2 8 2 3" xfId="4060"/>
    <cellStyle name="Procent 2 8 2 3 2" xfId="4684"/>
    <cellStyle name="Procent 2 8 2 3 2 2" xfId="7852"/>
    <cellStyle name="Procent 2 8 2 3 2 2 2" xfId="10607"/>
    <cellStyle name="Procent 2 8 2 3 2 3" xfId="9245"/>
    <cellStyle name="Procent 2 8 2 3 3" xfId="7228"/>
    <cellStyle name="Procent 2 8 2 3 3 2" xfId="9983"/>
    <cellStyle name="Procent 2 8 2 3 4" xfId="8621"/>
    <cellStyle name="Procent 2 8 2 4" xfId="4682"/>
    <cellStyle name="Procent 2 8 2 4 2" xfId="7850"/>
    <cellStyle name="Procent 2 8 2 4 2 2" xfId="10605"/>
    <cellStyle name="Procent 2 8 2 4 3" xfId="9243"/>
    <cellStyle name="Procent 2 8 2 5" xfId="7226"/>
    <cellStyle name="Procent 2 8 2 5 2" xfId="9981"/>
    <cellStyle name="Procent 2 8 2 6" xfId="8619"/>
    <cellStyle name="Procent 2 8 3" xfId="4061"/>
    <cellStyle name="Procent 2 8 3 2" xfId="4685"/>
    <cellStyle name="Procent 2 8 3 2 2" xfId="7853"/>
    <cellStyle name="Procent 2 8 3 2 2 2" xfId="10608"/>
    <cellStyle name="Procent 2 8 3 2 3" xfId="9246"/>
    <cellStyle name="Procent 2 8 3 3" xfId="7229"/>
    <cellStyle name="Procent 2 8 3 3 2" xfId="9984"/>
    <cellStyle name="Procent 2 8 3 4" xfId="8622"/>
    <cellStyle name="Procent 2 8 4" xfId="4062"/>
    <cellStyle name="Procent 2 8 4 2" xfId="4686"/>
    <cellStyle name="Procent 2 8 4 2 2" xfId="7854"/>
    <cellStyle name="Procent 2 8 4 2 2 2" xfId="10609"/>
    <cellStyle name="Procent 2 8 4 2 3" xfId="9247"/>
    <cellStyle name="Procent 2 8 4 3" xfId="7230"/>
    <cellStyle name="Procent 2 8 4 3 2" xfId="9985"/>
    <cellStyle name="Procent 2 8 4 4" xfId="8623"/>
    <cellStyle name="Procent 2 8 5" xfId="4063"/>
    <cellStyle name="Procent 2 8 5 2" xfId="4687"/>
    <cellStyle name="Procent 2 8 5 2 2" xfId="7855"/>
    <cellStyle name="Procent 2 8 5 2 2 2" xfId="10610"/>
    <cellStyle name="Procent 2 8 5 2 3" xfId="9248"/>
    <cellStyle name="Procent 2 8 5 3" xfId="7231"/>
    <cellStyle name="Procent 2 8 5 3 2" xfId="9986"/>
    <cellStyle name="Procent 2 8 5 4" xfId="8624"/>
    <cellStyle name="Procent 2 8 6" xfId="4681"/>
    <cellStyle name="Procent 2 8 6 2" xfId="7849"/>
    <cellStyle name="Procent 2 8 6 2 2" xfId="10604"/>
    <cellStyle name="Procent 2 8 6 3" xfId="9242"/>
    <cellStyle name="Procent 2 8 7" xfId="7225"/>
    <cellStyle name="Procent 2 8 7 2" xfId="9980"/>
    <cellStyle name="Procent 2 8 8" xfId="8618"/>
    <cellStyle name="Procent 2 9" xfId="4064"/>
    <cellStyle name="Procent 2 9 2" xfId="4065"/>
    <cellStyle name="Procent 2 9 2 2" xfId="4689"/>
    <cellStyle name="Procent 2 9 2 2 2" xfId="7857"/>
    <cellStyle name="Procent 2 9 2 2 2 2" xfId="10612"/>
    <cellStyle name="Procent 2 9 2 2 3" xfId="9250"/>
    <cellStyle name="Procent 2 9 2 3" xfId="7233"/>
    <cellStyle name="Procent 2 9 2 3 2" xfId="9988"/>
    <cellStyle name="Procent 2 9 2 4" xfId="8626"/>
    <cellStyle name="Procent 2 9 3" xfId="4066"/>
    <cellStyle name="Procent 2 9 3 2" xfId="4690"/>
    <cellStyle name="Procent 2 9 3 2 2" xfId="7858"/>
    <cellStyle name="Procent 2 9 3 2 2 2" xfId="10613"/>
    <cellStyle name="Procent 2 9 3 2 3" xfId="9251"/>
    <cellStyle name="Procent 2 9 3 3" xfId="7234"/>
    <cellStyle name="Procent 2 9 3 3 2" xfId="9989"/>
    <cellStyle name="Procent 2 9 3 4" xfId="8627"/>
    <cellStyle name="Procent 2 9 4" xfId="4688"/>
    <cellStyle name="Procent 2 9 4 2" xfId="7856"/>
    <cellStyle name="Procent 2 9 4 2 2" xfId="10611"/>
    <cellStyle name="Procent 2 9 4 3" xfId="9249"/>
    <cellStyle name="Procent 2 9 5" xfId="7232"/>
    <cellStyle name="Procent 2 9 5 2" xfId="9987"/>
    <cellStyle name="Procent 2 9 6" xfId="8625"/>
    <cellStyle name="Procent 3" xfId="1988"/>
    <cellStyle name="Procent 3 2" xfId="1989"/>
    <cellStyle name="Procent 3 2 2" xfId="3479"/>
    <cellStyle name="Procent 3 2 2 2" xfId="4130"/>
    <cellStyle name="Procent 3 2 2 2 2" xfId="7298"/>
    <cellStyle name="Procent 3 2 2 2 2 2" xfId="10053"/>
    <cellStyle name="Procent 3 2 2 2 3" xfId="8691"/>
    <cellStyle name="Procent 3 2 2 3" xfId="6687"/>
    <cellStyle name="Procent 3 2 2 3 2" xfId="9442"/>
    <cellStyle name="Procent 3 2 2 4" xfId="8075"/>
    <cellStyle name="Procent 3 2 3" xfId="3495"/>
    <cellStyle name="Procent 3 2 3 2" xfId="4146"/>
    <cellStyle name="Procent 3 2 3 2 2" xfId="7314"/>
    <cellStyle name="Procent 3 2 3 2 2 2" xfId="10069"/>
    <cellStyle name="Procent 3 2 3 2 3" xfId="8707"/>
    <cellStyle name="Procent 3 2 3 3" xfId="6703"/>
    <cellStyle name="Procent 3 2 3 3 2" xfId="9458"/>
    <cellStyle name="Procent 3 2 3 4" xfId="8091"/>
    <cellStyle name="Procent 3 2 4" xfId="4114"/>
    <cellStyle name="Procent 3 2 4 2" xfId="7282"/>
    <cellStyle name="Procent 3 2 4 2 2" xfId="10037"/>
    <cellStyle name="Procent 3 2 4 3" xfId="8675"/>
    <cellStyle name="Procent 3 2 5" xfId="3463"/>
    <cellStyle name="Procent 3 2 5 2" xfId="6671"/>
    <cellStyle name="Procent 3 2 5 2 2" xfId="9426"/>
    <cellStyle name="Procent 3 2 5 3" xfId="8059"/>
    <cellStyle name="Procent 3 3" xfId="3471"/>
    <cellStyle name="Procent 3 3 2" xfId="4122"/>
    <cellStyle name="Procent 3 3 2 2" xfId="7290"/>
    <cellStyle name="Procent 3 3 2 2 2" xfId="10045"/>
    <cellStyle name="Procent 3 3 2 3" xfId="8683"/>
    <cellStyle name="Procent 3 3 3" xfId="6679"/>
    <cellStyle name="Procent 3 3 3 2" xfId="9434"/>
    <cellStyle name="Procent 3 3 4" xfId="8067"/>
    <cellStyle name="Procent 3 4" xfId="3487"/>
    <cellStyle name="Procent 3 4 2" xfId="4138"/>
    <cellStyle name="Procent 3 4 2 2" xfId="7306"/>
    <cellStyle name="Procent 3 4 2 2 2" xfId="10061"/>
    <cellStyle name="Procent 3 4 2 3" xfId="8699"/>
    <cellStyle name="Procent 3 4 3" xfId="6695"/>
    <cellStyle name="Procent 3 4 3 2" xfId="9450"/>
    <cellStyle name="Procent 3 4 4" xfId="8083"/>
    <cellStyle name="Procent 3 5" xfId="3508"/>
    <cellStyle name="Procent 3 6" xfId="4106"/>
    <cellStyle name="Procent 3 6 2" xfId="7274"/>
    <cellStyle name="Procent 3 6 2 2" xfId="10029"/>
    <cellStyle name="Procent 3 6 3" xfId="8667"/>
    <cellStyle name="Procent 3 7" xfId="3387"/>
    <cellStyle name="Procent 3 7 2" xfId="6655"/>
    <cellStyle name="Procent 3 7 2 2" xfId="9418"/>
    <cellStyle name="Procent 3 7 3" xfId="8047"/>
    <cellStyle name="Procent 4" xfId="1990"/>
    <cellStyle name="Procent 4 10" xfId="7951"/>
    <cellStyle name="Procent 4 2" xfId="3260"/>
    <cellStyle name="Procent 4 2 2" xfId="3309"/>
    <cellStyle name="Procent 4 2 2 2" xfId="4693"/>
    <cellStyle name="Procent 4 2 2 2 2" xfId="7861"/>
    <cellStyle name="Procent 4 2 2 2 2 2" xfId="10616"/>
    <cellStyle name="Procent 4 2 2 2 3" xfId="9254"/>
    <cellStyle name="Procent 4 2 2 3" xfId="4069"/>
    <cellStyle name="Procent 4 2 2 3 2" xfId="7237"/>
    <cellStyle name="Procent 4 2 2 3 2 2" xfId="9992"/>
    <cellStyle name="Procent 4 2 2 3 3" xfId="8630"/>
    <cellStyle name="Procent 4 2 2 4" xfId="6618"/>
    <cellStyle name="Procent 4 2 2 4 2" xfId="9382"/>
    <cellStyle name="Procent 4 2 2 5" xfId="8011"/>
    <cellStyle name="Procent 4 2 3" xfId="4070"/>
    <cellStyle name="Procent 4 2 3 2" xfId="4694"/>
    <cellStyle name="Procent 4 2 3 2 2" xfId="7862"/>
    <cellStyle name="Procent 4 2 3 2 2 2" xfId="10617"/>
    <cellStyle name="Procent 4 2 3 2 3" xfId="9255"/>
    <cellStyle name="Procent 4 2 3 3" xfId="7238"/>
    <cellStyle name="Procent 4 2 3 3 2" xfId="9993"/>
    <cellStyle name="Procent 4 2 3 4" xfId="8631"/>
    <cellStyle name="Procent 4 2 4" xfId="4692"/>
    <cellStyle name="Procent 4 2 4 2" xfId="7860"/>
    <cellStyle name="Procent 4 2 4 2 2" xfId="10615"/>
    <cellStyle name="Procent 4 2 4 3" xfId="9253"/>
    <cellStyle name="Procent 4 2 5" xfId="4068"/>
    <cellStyle name="Procent 4 2 5 2" xfId="7236"/>
    <cellStyle name="Procent 4 2 5 2 2" xfId="9991"/>
    <cellStyle name="Procent 4 2 5 3" xfId="8629"/>
    <cellStyle name="Procent 4 2 6" xfId="5675"/>
    <cellStyle name="Procent 4 2 6 2" xfId="9325"/>
    <cellStyle name="Procent 4 2 7" xfId="6597"/>
    <cellStyle name="Procent 4 2 7 2" xfId="9361"/>
    <cellStyle name="Procent 4 2 8" xfId="7991"/>
    <cellStyle name="Procent 4 3" xfId="3290"/>
    <cellStyle name="Procent 4 3 2" xfId="4695"/>
    <cellStyle name="Procent 4 3 2 2" xfId="7863"/>
    <cellStyle name="Procent 4 3 2 2 2" xfId="10618"/>
    <cellStyle name="Procent 4 3 2 3" xfId="9256"/>
    <cellStyle name="Procent 4 3 3" xfId="4071"/>
    <cellStyle name="Procent 4 3 3 2" xfId="7239"/>
    <cellStyle name="Procent 4 3 3 2 2" xfId="9994"/>
    <cellStyle name="Procent 4 3 3 3" xfId="8632"/>
    <cellStyle name="Procent 4 3 4" xfId="6608"/>
    <cellStyle name="Procent 4 3 4 2" xfId="9372"/>
    <cellStyle name="Procent 4 3 5" xfId="8001"/>
    <cellStyle name="Procent 4 4" xfId="4072"/>
    <cellStyle name="Procent 4 4 2" xfId="4696"/>
    <cellStyle name="Procent 4 4 2 2" xfId="7864"/>
    <cellStyle name="Procent 4 4 2 2 2" xfId="10619"/>
    <cellStyle name="Procent 4 4 2 3" xfId="9257"/>
    <cellStyle name="Procent 4 4 3" xfId="7240"/>
    <cellStyle name="Procent 4 4 3 2" xfId="9995"/>
    <cellStyle name="Procent 4 4 4" xfId="8633"/>
    <cellStyle name="Procent 4 5" xfId="4073"/>
    <cellStyle name="Procent 4 5 2" xfId="4697"/>
    <cellStyle name="Procent 4 5 2 2" xfId="7865"/>
    <cellStyle name="Procent 4 5 2 2 2" xfId="10620"/>
    <cellStyle name="Procent 4 5 2 3" xfId="9258"/>
    <cellStyle name="Procent 4 5 3" xfId="7241"/>
    <cellStyle name="Procent 4 5 3 2" xfId="9996"/>
    <cellStyle name="Procent 4 5 4" xfId="8634"/>
    <cellStyle name="Procent 4 6" xfId="4691"/>
    <cellStyle name="Procent 4 6 2" xfId="7859"/>
    <cellStyle name="Procent 4 6 2 2" xfId="10614"/>
    <cellStyle name="Procent 4 6 3" xfId="9252"/>
    <cellStyle name="Procent 4 7" xfId="4067"/>
    <cellStyle name="Procent 4 7 2" xfId="7235"/>
    <cellStyle name="Procent 4 7 2 2" xfId="9990"/>
    <cellStyle name="Procent 4 7 3" xfId="8628"/>
    <cellStyle name="Procent 4 8" xfId="5306"/>
    <cellStyle name="Procent 4 8 2" xfId="9311"/>
    <cellStyle name="Procent 4 9" xfId="6228"/>
    <cellStyle name="Procent 4 9 2" xfId="9344"/>
    <cellStyle name="Procent 5" xfId="3313"/>
    <cellStyle name="Procent 5 2" xfId="4075"/>
    <cellStyle name="Procent 5 2 2" xfId="4076"/>
    <cellStyle name="Procent 5 2 2 2" xfId="4700"/>
    <cellStyle name="Procent 5 2 2 2 2" xfId="7868"/>
    <cellStyle name="Procent 5 2 2 2 2 2" xfId="10623"/>
    <cellStyle name="Procent 5 2 2 2 3" xfId="9261"/>
    <cellStyle name="Procent 5 2 2 3" xfId="7244"/>
    <cellStyle name="Procent 5 2 2 3 2" xfId="9999"/>
    <cellStyle name="Procent 5 2 2 4" xfId="8637"/>
    <cellStyle name="Procent 5 2 3" xfId="4077"/>
    <cellStyle name="Procent 5 2 3 2" xfId="4701"/>
    <cellStyle name="Procent 5 2 3 2 2" xfId="7869"/>
    <cellStyle name="Procent 5 2 3 2 2 2" xfId="10624"/>
    <cellStyle name="Procent 5 2 3 2 3" xfId="9262"/>
    <cellStyle name="Procent 5 2 3 3" xfId="7245"/>
    <cellStyle name="Procent 5 2 3 3 2" xfId="10000"/>
    <cellStyle name="Procent 5 2 3 4" xfId="8638"/>
    <cellStyle name="Procent 5 2 4" xfId="4699"/>
    <cellStyle name="Procent 5 2 4 2" xfId="7867"/>
    <cellStyle name="Procent 5 2 4 2 2" xfId="10622"/>
    <cellStyle name="Procent 5 2 4 3" xfId="9260"/>
    <cellStyle name="Procent 5 2 5" xfId="7243"/>
    <cellStyle name="Procent 5 2 5 2" xfId="9998"/>
    <cellStyle name="Procent 5 2 6" xfId="8636"/>
    <cellStyle name="Procent 5 3" xfId="4078"/>
    <cellStyle name="Procent 5 3 2" xfId="4702"/>
    <cellStyle name="Procent 5 3 2 2" xfId="7870"/>
    <cellStyle name="Procent 5 3 2 2 2" xfId="10625"/>
    <cellStyle name="Procent 5 3 2 3" xfId="9263"/>
    <cellStyle name="Procent 5 3 3" xfId="7246"/>
    <cellStyle name="Procent 5 3 3 2" xfId="10001"/>
    <cellStyle name="Procent 5 3 4" xfId="8639"/>
    <cellStyle name="Procent 5 4" xfId="4079"/>
    <cellStyle name="Procent 5 4 2" xfId="4703"/>
    <cellStyle name="Procent 5 4 2 2" xfId="7871"/>
    <cellStyle name="Procent 5 4 2 2 2" xfId="10626"/>
    <cellStyle name="Procent 5 4 2 3" xfId="9264"/>
    <cellStyle name="Procent 5 4 3" xfId="7247"/>
    <cellStyle name="Procent 5 4 3 2" xfId="10002"/>
    <cellStyle name="Procent 5 4 4" xfId="8640"/>
    <cellStyle name="Procent 5 5" xfId="4080"/>
    <cellStyle name="Procent 5 5 2" xfId="4704"/>
    <cellStyle name="Procent 5 5 2 2" xfId="7872"/>
    <cellStyle name="Procent 5 5 2 2 2" xfId="10627"/>
    <cellStyle name="Procent 5 5 2 3" xfId="9265"/>
    <cellStyle name="Procent 5 5 3" xfId="7248"/>
    <cellStyle name="Procent 5 5 3 2" xfId="10003"/>
    <cellStyle name="Procent 5 5 4" xfId="8641"/>
    <cellStyle name="Procent 5 6" xfId="4698"/>
    <cellStyle name="Procent 5 6 2" xfId="7866"/>
    <cellStyle name="Procent 5 6 2 2" xfId="10621"/>
    <cellStyle name="Procent 5 6 3" xfId="9259"/>
    <cellStyle name="Procent 5 7" xfId="4074"/>
    <cellStyle name="Procent 5 7 2" xfId="7242"/>
    <cellStyle name="Procent 5 7 2 2" xfId="9997"/>
    <cellStyle name="Procent 5 7 3" xfId="8635"/>
    <cellStyle name="Procent 5 8" xfId="6622"/>
    <cellStyle name="Procent 5 8 2" xfId="9386"/>
    <cellStyle name="Procent 5 9" xfId="8015"/>
    <cellStyle name="Procent 6" xfId="3364"/>
    <cellStyle name="Procent 6 2" xfId="4081"/>
    <cellStyle name="Procent 6 2 2" xfId="4082"/>
    <cellStyle name="Procent 6 2 2 2" xfId="4707"/>
    <cellStyle name="Procent 6 2 2 2 2" xfId="7875"/>
    <cellStyle name="Procent 6 2 2 2 2 2" xfId="10630"/>
    <cellStyle name="Procent 6 2 2 2 3" xfId="9268"/>
    <cellStyle name="Procent 6 2 2 3" xfId="7250"/>
    <cellStyle name="Procent 6 2 2 3 2" xfId="10005"/>
    <cellStyle name="Procent 6 2 2 4" xfId="8643"/>
    <cellStyle name="Procent 6 2 3" xfId="4083"/>
    <cellStyle name="Procent 6 2 3 2" xfId="4708"/>
    <cellStyle name="Procent 6 2 3 2 2" xfId="7876"/>
    <cellStyle name="Procent 6 2 3 2 2 2" xfId="10631"/>
    <cellStyle name="Procent 6 2 3 2 3" xfId="9269"/>
    <cellStyle name="Procent 6 2 3 3" xfId="7251"/>
    <cellStyle name="Procent 6 2 3 3 2" xfId="10006"/>
    <cellStyle name="Procent 6 2 3 4" xfId="8644"/>
    <cellStyle name="Procent 6 2 4" xfId="4706"/>
    <cellStyle name="Procent 6 2 4 2" xfId="7874"/>
    <cellStyle name="Procent 6 2 4 2 2" xfId="10629"/>
    <cellStyle name="Procent 6 2 4 3" xfId="9267"/>
    <cellStyle name="Procent 6 2 5" xfId="7249"/>
    <cellStyle name="Procent 6 2 5 2" xfId="10004"/>
    <cellStyle name="Procent 6 2 6" xfId="8642"/>
    <cellStyle name="Procent 6 3" xfId="4084"/>
    <cellStyle name="Procent 6 3 2" xfId="4709"/>
    <cellStyle name="Procent 6 3 2 2" xfId="7877"/>
    <cellStyle name="Procent 6 3 2 2 2" xfId="10632"/>
    <cellStyle name="Procent 6 3 2 3" xfId="9270"/>
    <cellStyle name="Procent 6 3 3" xfId="7252"/>
    <cellStyle name="Procent 6 3 3 2" xfId="10007"/>
    <cellStyle name="Procent 6 3 4" xfId="8645"/>
    <cellStyle name="Procent 6 4" xfId="4085"/>
    <cellStyle name="Procent 6 4 2" xfId="4710"/>
    <cellStyle name="Procent 6 4 2 2" xfId="7878"/>
    <cellStyle name="Procent 6 4 2 2 2" xfId="10633"/>
    <cellStyle name="Procent 6 4 2 3" xfId="9271"/>
    <cellStyle name="Procent 6 4 3" xfId="7253"/>
    <cellStyle name="Procent 6 4 3 2" xfId="10008"/>
    <cellStyle name="Procent 6 4 4" xfId="8646"/>
    <cellStyle name="Procent 6 5" xfId="4086"/>
    <cellStyle name="Procent 6 5 2" xfId="4711"/>
    <cellStyle name="Procent 6 5 2 2" xfId="7879"/>
    <cellStyle name="Procent 6 5 2 2 2" xfId="10634"/>
    <cellStyle name="Procent 6 5 2 3" xfId="9272"/>
    <cellStyle name="Procent 6 5 3" xfId="7254"/>
    <cellStyle name="Procent 6 5 3 2" xfId="10009"/>
    <cellStyle name="Procent 6 5 4" xfId="8647"/>
    <cellStyle name="Procent 6 6" xfId="4705"/>
    <cellStyle name="Procent 6 6 2" xfId="7873"/>
    <cellStyle name="Procent 6 6 2 2" xfId="10628"/>
    <cellStyle name="Procent 6 6 3" xfId="9266"/>
    <cellStyle name="Procent 6 7" xfId="6648"/>
    <cellStyle name="Procent 6 7 2" xfId="9412"/>
    <cellStyle name="Procent 6 8" xfId="8041"/>
    <cellStyle name="Procent 7" xfId="4087"/>
    <cellStyle name="Procent 7 2" xfId="4088"/>
    <cellStyle name="Procent 7 2 2" xfId="4089"/>
    <cellStyle name="Procent 7 2 2 2" xfId="4714"/>
    <cellStyle name="Procent 7 2 2 2 2" xfId="7882"/>
    <cellStyle name="Procent 7 2 2 2 2 2" xfId="10637"/>
    <cellStyle name="Procent 7 2 2 2 3" xfId="9275"/>
    <cellStyle name="Procent 7 2 2 3" xfId="7257"/>
    <cellStyle name="Procent 7 2 2 3 2" xfId="10012"/>
    <cellStyle name="Procent 7 2 2 4" xfId="8650"/>
    <cellStyle name="Procent 7 2 3" xfId="4090"/>
    <cellStyle name="Procent 7 2 3 2" xfId="4715"/>
    <cellStyle name="Procent 7 2 3 2 2" xfId="7883"/>
    <cellStyle name="Procent 7 2 3 2 2 2" xfId="10638"/>
    <cellStyle name="Procent 7 2 3 2 3" xfId="9276"/>
    <cellStyle name="Procent 7 2 3 3" xfId="7258"/>
    <cellStyle name="Procent 7 2 3 3 2" xfId="10013"/>
    <cellStyle name="Procent 7 2 3 4" xfId="8651"/>
    <cellStyle name="Procent 7 2 4" xfId="4713"/>
    <cellStyle name="Procent 7 2 4 2" xfId="7881"/>
    <cellStyle name="Procent 7 2 4 2 2" xfId="10636"/>
    <cellStyle name="Procent 7 2 4 3" xfId="9274"/>
    <cellStyle name="Procent 7 2 5" xfId="7256"/>
    <cellStyle name="Procent 7 2 5 2" xfId="10011"/>
    <cellStyle name="Procent 7 2 6" xfId="8649"/>
    <cellStyle name="Procent 7 3" xfId="4091"/>
    <cellStyle name="Procent 7 3 2" xfId="4716"/>
    <cellStyle name="Procent 7 3 2 2" xfId="7884"/>
    <cellStyle name="Procent 7 3 2 2 2" xfId="10639"/>
    <cellStyle name="Procent 7 3 2 3" xfId="9277"/>
    <cellStyle name="Procent 7 3 3" xfId="7259"/>
    <cellStyle name="Procent 7 3 3 2" xfId="10014"/>
    <cellStyle name="Procent 7 3 4" xfId="8652"/>
    <cellStyle name="Procent 7 4" xfId="4092"/>
    <cellStyle name="Procent 7 4 2" xfId="4717"/>
    <cellStyle name="Procent 7 4 2 2" xfId="7885"/>
    <cellStyle name="Procent 7 4 2 2 2" xfId="10640"/>
    <cellStyle name="Procent 7 4 2 3" xfId="9278"/>
    <cellStyle name="Procent 7 4 3" xfId="7260"/>
    <cellStyle name="Procent 7 4 3 2" xfId="10015"/>
    <cellStyle name="Procent 7 4 4" xfId="8653"/>
    <cellStyle name="Procent 7 5" xfId="4093"/>
    <cellStyle name="Procent 7 5 2" xfId="4718"/>
    <cellStyle name="Procent 7 5 2 2" xfId="7886"/>
    <cellStyle name="Procent 7 5 2 2 2" xfId="10641"/>
    <cellStyle name="Procent 7 5 2 3" xfId="9279"/>
    <cellStyle name="Procent 7 5 3" xfId="7261"/>
    <cellStyle name="Procent 7 5 3 2" xfId="10016"/>
    <cellStyle name="Procent 7 5 4" xfId="8654"/>
    <cellStyle name="Procent 7 6" xfId="4712"/>
    <cellStyle name="Procent 7 6 2" xfId="7880"/>
    <cellStyle name="Procent 7 6 2 2" xfId="10635"/>
    <cellStyle name="Procent 7 6 3" xfId="9273"/>
    <cellStyle name="Procent 7 7" xfId="7255"/>
    <cellStyle name="Procent 7 7 2" xfId="10010"/>
    <cellStyle name="Procent 7 8" xfId="8648"/>
    <cellStyle name="Procent 8" xfId="4094"/>
    <cellStyle name="Procent 8 2" xfId="4095"/>
    <cellStyle name="Procent 8 2 2" xfId="4096"/>
    <cellStyle name="Procent 8 2 2 2" xfId="4721"/>
    <cellStyle name="Procent 8 2 2 2 2" xfId="7889"/>
    <cellStyle name="Procent 8 2 2 2 2 2" xfId="10644"/>
    <cellStyle name="Procent 8 2 2 2 3" xfId="9282"/>
    <cellStyle name="Procent 8 2 2 3" xfId="7264"/>
    <cellStyle name="Procent 8 2 2 3 2" xfId="10019"/>
    <cellStyle name="Procent 8 2 2 4" xfId="8657"/>
    <cellStyle name="Procent 8 2 3" xfId="4097"/>
    <cellStyle name="Procent 8 2 3 2" xfId="4722"/>
    <cellStyle name="Procent 8 2 3 2 2" xfId="7890"/>
    <cellStyle name="Procent 8 2 3 2 2 2" xfId="10645"/>
    <cellStyle name="Procent 8 2 3 2 3" xfId="9283"/>
    <cellStyle name="Procent 8 2 3 3" xfId="7265"/>
    <cellStyle name="Procent 8 2 3 3 2" xfId="10020"/>
    <cellStyle name="Procent 8 2 3 4" xfId="8658"/>
    <cellStyle name="Procent 8 2 4" xfId="4720"/>
    <cellStyle name="Procent 8 2 4 2" xfId="7888"/>
    <cellStyle name="Procent 8 2 4 2 2" xfId="10643"/>
    <cellStyle name="Procent 8 2 4 3" xfId="9281"/>
    <cellStyle name="Procent 8 2 5" xfId="7263"/>
    <cellStyle name="Procent 8 2 5 2" xfId="10018"/>
    <cellStyle name="Procent 8 2 6" xfId="8656"/>
    <cellStyle name="Procent 8 3" xfId="4098"/>
    <cellStyle name="Procent 8 3 2" xfId="4723"/>
    <cellStyle name="Procent 8 3 2 2" xfId="7891"/>
    <cellStyle name="Procent 8 3 2 2 2" xfId="10646"/>
    <cellStyle name="Procent 8 3 2 3" xfId="9284"/>
    <cellStyle name="Procent 8 3 3" xfId="7266"/>
    <cellStyle name="Procent 8 3 3 2" xfId="10021"/>
    <cellStyle name="Procent 8 3 4" xfId="8659"/>
    <cellStyle name="Procent 8 4" xfId="4099"/>
    <cellStyle name="Procent 8 4 2" xfId="4724"/>
    <cellStyle name="Procent 8 4 2 2" xfId="7892"/>
    <cellStyle name="Procent 8 4 2 2 2" xfId="10647"/>
    <cellStyle name="Procent 8 4 2 3" xfId="9285"/>
    <cellStyle name="Procent 8 4 3" xfId="7267"/>
    <cellStyle name="Procent 8 4 3 2" xfId="10022"/>
    <cellStyle name="Procent 8 4 4" xfId="8660"/>
    <cellStyle name="Procent 8 5" xfId="4719"/>
    <cellStyle name="Procent 8 5 2" xfId="7887"/>
    <cellStyle name="Procent 8 5 2 2" xfId="10642"/>
    <cellStyle name="Procent 8 5 3" xfId="9280"/>
    <cellStyle name="Procent 8 6" xfId="7262"/>
    <cellStyle name="Procent 8 6 2" xfId="10017"/>
    <cellStyle name="Procent 8 7" xfId="8655"/>
    <cellStyle name="Procent 9" xfId="4100"/>
    <cellStyle name="Procent 9 2" xfId="4101"/>
    <cellStyle name="Procent 9 2 2" xfId="4726"/>
    <cellStyle name="Procent 9 2 2 2" xfId="7894"/>
    <cellStyle name="Procent 9 2 2 2 2" xfId="10649"/>
    <cellStyle name="Procent 9 2 2 3" xfId="9287"/>
    <cellStyle name="Procent 9 2 3" xfId="7269"/>
    <cellStyle name="Procent 9 2 3 2" xfId="10024"/>
    <cellStyle name="Procent 9 2 4" xfId="8662"/>
    <cellStyle name="Procent 9 3" xfId="4102"/>
    <cellStyle name="Procent 9 3 2" xfId="4727"/>
    <cellStyle name="Procent 9 3 2 2" xfId="7895"/>
    <cellStyle name="Procent 9 3 2 2 2" xfId="10650"/>
    <cellStyle name="Procent 9 3 2 3" xfId="9288"/>
    <cellStyle name="Procent 9 3 3" xfId="7270"/>
    <cellStyle name="Procent 9 3 3 2" xfId="10025"/>
    <cellStyle name="Procent 9 3 4" xfId="8663"/>
    <cellStyle name="Procent 9 4" xfId="4725"/>
    <cellStyle name="Procent 9 4 2" xfId="7893"/>
    <cellStyle name="Procent 9 4 2 2" xfId="10648"/>
    <cellStyle name="Procent 9 4 3" xfId="9286"/>
    <cellStyle name="Procent 9 5" xfId="7268"/>
    <cellStyle name="Procent 9 5 2" xfId="10023"/>
    <cellStyle name="Procent 9 6" xfId="8661"/>
    <cellStyle name="Sammenkædet celle" xfId="3333" builtinId="24" customBuiltin="1"/>
    <cellStyle name="Standard_Sce_D_Extraction" xfId="1991"/>
    <cellStyle name="Testo avviso" xfId="1992"/>
    <cellStyle name="Testo descrittivo" xfId="1993"/>
    <cellStyle name="Titel" xfId="3330" builtinId="15" customBuiltin="1"/>
    <cellStyle name="Titel 2" xfId="3453"/>
    <cellStyle name="Title 2" xfId="3454"/>
    <cellStyle name="Titolo" xfId="1994"/>
    <cellStyle name="Titolo 1" xfId="1995"/>
    <cellStyle name="Titolo 2" xfId="1996"/>
    <cellStyle name="Titolo 3" xfId="1997"/>
    <cellStyle name="Titolo 3 2" xfId="7952"/>
    <cellStyle name="Titolo 4" xfId="1998"/>
    <cellStyle name="Total" xfId="3337" builtinId="25" customBuiltin="1"/>
    <cellStyle name="Total 2" xfId="3455"/>
    <cellStyle name="Total 2 2" xfId="3524"/>
    <cellStyle name="Total 2 2 2" xfId="8108"/>
    <cellStyle name="Total 2 2 3" xfId="9301"/>
    <cellStyle name="Total 2 2 4" xfId="9347"/>
    <cellStyle name="Total 2 2 5" xfId="7956"/>
    <cellStyle name="Total 2 2 6" xfId="10660"/>
    <cellStyle name="Total 2 3" xfId="8054"/>
    <cellStyle name="Total 2 4" xfId="9318"/>
    <cellStyle name="Total 2 5" xfId="10680"/>
    <cellStyle name="Total 2 6" xfId="10677"/>
    <cellStyle name="Total 2 7" xfId="7913"/>
    <cellStyle name="Totale" xfId="1999"/>
    <cellStyle name="Totale 2" xfId="7953"/>
    <cellStyle name="Totale 3" xfId="9356"/>
    <cellStyle name="Totale 4" xfId="7940"/>
    <cellStyle name="Totale 5" xfId="7920"/>
    <cellStyle name="Totale 6" xfId="7934"/>
    <cellStyle name="Ugyldig" xfId="3331" builtinId="27" customBuiltin="1"/>
    <cellStyle name="Ugyldig 2" xfId="3318"/>
    <cellStyle name="Uncertain" xfId="2000"/>
    <cellStyle name="Valore non valido" xfId="2001"/>
    <cellStyle name="Valore valido" xfId="2002"/>
    <cellStyle name="Warning Text 2" xfId="3456"/>
    <cellStyle name="X08_Total Oil" xfId="3457"/>
    <cellStyle name="X12_Total Figs 1 dec" xfId="3458"/>
    <cellStyle name="Years" xfId="2003"/>
    <cellStyle name="Обычный_CRF2002 (1)" xfId="2004"/>
  </cellStyles>
  <dxfs count="48">
    <dxf>
      <fill>
        <patternFill>
          <bgColor theme="4" tint="0.79998168889431442"/>
        </patternFill>
      </fill>
    </dxf>
    <dxf>
      <fill>
        <patternFill>
          <bgColor theme="4" tint="0.79998168889431442"/>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0.xml"/><Relationship Id="rId21" Type="http://schemas.openxmlformats.org/officeDocument/2006/relationships/worksheet" Target="worksheets/sheet21.xml"/><Relationship Id="rId34" Type="http://schemas.openxmlformats.org/officeDocument/2006/relationships/externalLink" Target="externalLinks/externalLink5.xml"/><Relationship Id="rId42" Type="http://schemas.openxmlformats.org/officeDocument/2006/relationships/externalLink" Target="externalLinks/externalLink13.xml"/><Relationship Id="rId47" Type="http://schemas.openxmlformats.org/officeDocument/2006/relationships/externalLink" Target="externalLinks/externalLink18.xml"/><Relationship Id="rId50" Type="http://schemas.openxmlformats.org/officeDocument/2006/relationships/externalLink" Target="externalLinks/externalLink21.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12.xml"/><Relationship Id="rId54" Type="http://schemas.openxmlformats.org/officeDocument/2006/relationships/externalLink" Target="externalLinks/externalLink2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externalLink" Target="externalLinks/externalLink8.xml"/><Relationship Id="rId40" Type="http://schemas.openxmlformats.org/officeDocument/2006/relationships/externalLink" Target="externalLinks/externalLink11.xml"/><Relationship Id="rId45" Type="http://schemas.openxmlformats.org/officeDocument/2006/relationships/externalLink" Target="externalLinks/externalLink16.xml"/><Relationship Id="rId53" Type="http://schemas.openxmlformats.org/officeDocument/2006/relationships/externalLink" Target="externalLinks/externalLink24.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7.xml"/><Relationship Id="rId49" Type="http://schemas.openxmlformats.org/officeDocument/2006/relationships/externalLink" Target="externalLinks/externalLink20.xml"/><Relationship Id="rId57" Type="http://schemas.openxmlformats.org/officeDocument/2006/relationships/sharedStrings" Target="sharedStrings.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4" Type="http://schemas.openxmlformats.org/officeDocument/2006/relationships/externalLink" Target="externalLinks/externalLink15.xml"/><Relationship Id="rId52" Type="http://schemas.openxmlformats.org/officeDocument/2006/relationships/externalLink" Target="externalLinks/externalLink23.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externalLink" Target="externalLinks/externalLink6.xml"/><Relationship Id="rId43" Type="http://schemas.openxmlformats.org/officeDocument/2006/relationships/externalLink" Target="externalLinks/externalLink14.xml"/><Relationship Id="rId48" Type="http://schemas.openxmlformats.org/officeDocument/2006/relationships/externalLink" Target="externalLinks/externalLink19.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2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38" Type="http://schemas.openxmlformats.org/officeDocument/2006/relationships/externalLink" Target="externalLinks/externalLink9.xml"/><Relationship Id="rId46" Type="http://schemas.openxmlformats.org/officeDocument/2006/relationships/externalLink" Target="externalLinks/externalLink17.xml"/><Relationship Id="rId59"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14</xdr:col>
      <xdr:colOff>0</xdr:colOff>
      <xdr:row>14</xdr:row>
      <xdr:rowOff>0</xdr:rowOff>
    </xdr:from>
    <xdr:to>
      <xdr:col>23</xdr:col>
      <xdr:colOff>348279</xdr:colOff>
      <xdr:row>33</xdr:row>
      <xdr:rowOff>83483</xdr:rowOff>
    </xdr:to>
    <xdr:sp macro="" textlink="">
      <xdr:nvSpPr>
        <xdr:cNvPr id="2" name="TextBox 1">
          <a:extLst>
            <a:ext uri="{FF2B5EF4-FFF2-40B4-BE49-F238E27FC236}">
              <a16:creationId xmlns:a16="http://schemas.microsoft.com/office/drawing/2014/main" xmlns="" id="{727C6037-582B-4B42-A4E5-5075172862F4}"/>
            </a:ext>
          </a:extLst>
        </xdr:cNvPr>
        <xdr:cNvSpPr txBox="1"/>
      </xdr:nvSpPr>
      <xdr:spPr>
        <a:xfrm>
          <a:off x="7924800" y="2438400"/>
          <a:ext cx="5834679" cy="31600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Rafs 25 Jan 2018</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table contained in the TIMES-DK version was disabled because not clear its function. We can define emissions linked to the activity of refineries and to the activity of oil and gas extraction (flares), but so far, this is neglected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Martin Hagberg 2019-10-01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t>Activated table . In</a:t>
          </a:r>
          <a:r>
            <a:rPr lang="en-US" sz="1100" baseline="0"/>
            <a:t> other files there are SUP* fuel production technologies using fossil fuels that should give CO2 emissions.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Put "0" for WST because this waste fraction represents organic waste for biogas production.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r>
            <a:rPr lang="en-US" sz="1100" b="1">
              <a:solidFill>
                <a:schemeClr val="dk1"/>
              </a:solidFill>
              <a:effectLst/>
              <a:latin typeface="+mn-lt"/>
              <a:ea typeface="+mn-ea"/>
              <a:cs typeface="+mn-cs"/>
            </a:rPr>
            <a:t>Mibsi 11/10-19</a:t>
          </a:r>
          <a:endParaRPr lang="en-GB">
            <a:effectLst/>
          </a:endParaRPr>
        </a:p>
        <a:p>
          <a:pPr eaLnBrk="1" fontAlgn="auto" latinLnBrk="0" hangingPunct="1"/>
          <a:r>
            <a:rPr lang="en-GB" sz="1100">
              <a:solidFill>
                <a:schemeClr val="dk1"/>
              </a:solidFill>
              <a:effectLst/>
              <a:latin typeface="+mn-lt"/>
              <a:ea typeface="+mn-ea"/>
              <a:cs typeface="+mn-cs"/>
            </a:rPr>
            <a:t>The table is used from TIMES-DK,</a:t>
          </a:r>
          <a:r>
            <a:rPr lang="en-GB" sz="1100" baseline="0">
              <a:solidFill>
                <a:schemeClr val="dk1"/>
              </a:solidFill>
              <a:effectLst/>
              <a:latin typeface="+mn-lt"/>
              <a:ea typeface="+mn-ea"/>
              <a:cs typeface="+mn-cs"/>
            </a:rPr>
            <a:t> Simplified to have seperate SUP fuelsand allocated SUP emissions</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9525</xdr:rowOff>
    </xdr:from>
    <xdr:to>
      <xdr:col>3</xdr:col>
      <xdr:colOff>19050</xdr:colOff>
      <xdr:row>99</xdr:row>
      <xdr:rowOff>66675</xdr:rowOff>
    </xdr:to>
    <xdr:pic>
      <xdr:nvPicPr>
        <xdr:cNvPr id="2" name="Bilde 1">
          <a:extLst>
            <a:ext uri="{FF2B5EF4-FFF2-40B4-BE49-F238E27FC236}">
              <a16:creationId xmlns:a16="http://schemas.microsoft.com/office/drawing/2014/main" xmlns="" id="{874F1AA5-9CF1-40D7-95F0-AAB6089FCE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80085"/>
          <a:ext cx="2396490" cy="15982950"/>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68580</xdr:colOff>
      <xdr:row>5</xdr:row>
      <xdr:rowOff>179070</xdr:rowOff>
    </xdr:from>
    <xdr:to>
      <xdr:col>20</xdr:col>
      <xdr:colOff>144780</xdr:colOff>
      <xdr:row>21</xdr:row>
      <xdr:rowOff>175260</xdr:rowOff>
    </xdr:to>
    <xdr:sp macro="" textlink="">
      <xdr:nvSpPr>
        <xdr:cNvPr id="2" name="TextBox 1">
          <a:extLst>
            <a:ext uri="{FF2B5EF4-FFF2-40B4-BE49-F238E27FC236}">
              <a16:creationId xmlns:a16="http://schemas.microsoft.com/office/drawing/2014/main" xmlns="" id="{80E12343-A1AD-4224-B25B-D30FBE4B67C2}"/>
            </a:ext>
          </a:extLst>
        </xdr:cNvPr>
        <xdr:cNvSpPr txBox="1"/>
      </xdr:nvSpPr>
      <xdr:spPr>
        <a:xfrm>
          <a:off x="8816340" y="1002030"/>
          <a:ext cx="3825240" cy="268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(25th April</a:t>
          </a:r>
          <a:r>
            <a:rPr lang="da-DK" sz="1100" b="1" baseline="0"/>
            <a:t> 2017):</a:t>
          </a:r>
        </a:p>
        <a:p>
          <a:endParaRPr lang="da-DK" sz="1100" b="1" baseline="0"/>
        </a:p>
        <a:p>
          <a:r>
            <a:rPr lang="da-DK" sz="1100" b="0" baseline="0"/>
            <a:t>The present sheet includes information taken from the excel workbook containing the inputs to the Balmorel model used by EA for the NETP 2016 project ("NETP 2050 graphs base" placed in the Dropbox folder). Fuel prices are extracted from a pivot table in the sheet: "Fuel-prices". The original unit is declared as OMONEY/GJ, OMONEY should refer to Euro 2015.</a:t>
          </a:r>
        </a:p>
        <a:p>
          <a:endParaRPr lang="da-DK" sz="1100" b="0" baseline="0"/>
        </a:p>
        <a:p>
          <a:r>
            <a:rPr lang="da-DK" sz="1100" b="0" baseline="0"/>
            <a:t>Fuel prices are given for two different cases: "01_grid-invest_11" and "01_grid-invest_8".</a:t>
          </a:r>
        </a:p>
        <a:p>
          <a:endParaRPr lang="da-DK" sz="1100" b="0" baseline="0"/>
        </a:p>
        <a:p>
          <a:r>
            <a:rPr lang="da-DK" sz="1100" b="0" baseline="0"/>
            <a:t>We agreed on using the </a:t>
          </a:r>
          <a:r>
            <a:rPr lang="da-DK" sz="1100" b="0" baseline="0">
              <a:solidFill>
                <a:schemeClr val="dk1"/>
              </a:solidFill>
              <a:effectLst/>
              <a:latin typeface="+mn-lt"/>
              <a:ea typeface="+mn-ea"/>
              <a:cs typeface="+mn-cs"/>
            </a:rPr>
            <a:t>"01_grid-invest_11" set </a:t>
          </a:r>
          <a:endParaRPr lang="da-DK" sz="1100" b="1" baseline="0"/>
        </a:p>
        <a:p>
          <a:endParaRPr lang="da-DK" sz="110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24493</xdr:colOff>
      <xdr:row>40</xdr:row>
      <xdr:rowOff>16328</xdr:rowOff>
    </xdr:from>
    <xdr:to>
      <xdr:col>13</xdr:col>
      <xdr:colOff>1300843</xdr:colOff>
      <xdr:row>52</xdr:row>
      <xdr:rowOff>16329</xdr:rowOff>
    </xdr:to>
    <xdr:sp macro="" textlink="">
      <xdr:nvSpPr>
        <xdr:cNvPr id="2" name="TextBox 1">
          <a:extLst>
            <a:ext uri="{FF2B5EF4-FFF2-40B4-BE49-F238E27FC236}">
              <a16:creationId xmlns:a16="http://schemas.microsoft.com/office/drawing/2014/main" xmlns="" id="{A8E6E792-0423-427E-AFF6-65D808879182}"/>
            </a:ext>
          </a:extLst>
        </xdr:cNvPr>
        <xdr:cNvSpPr txBox="1"/>
      </xdr:nvSpPr>
      <xdr:spPr>
        <a:xfrm>
          <a:off x="3148693" y="6721928"/>
          <a:ext cx="5596890" cy="2011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(25th April</a:t>
          </a:r>
          <a:r>
            <a:rPr lang="da-DK" sz="1100" b="1" baseline="0"/>
            <a:t> 2017):</a:t>
          </a:r>
        </a:p>
        <a:p>
          <a:endParaRPr lang="da-DK" sz="1100" b="1" baseline="0"/>
        </a:p>
        <a:p>
          <a:r>
            <a:rPr lang="da-DK" sz="1100" b="0" baseline="0"/>
            <a:t>The present sheet is taken directly from the Flex4RES database ("Data" excel workbook, sheet "39"). </a:t>
          </a:r>
        </a:p>
        <a:p>
          <a:endParaRPr lang="da-DK" sz="1100" b="1" baseline="0"/>
        </a:p>
        <a:p>
          <a:endParaRPr lang="da-DK" sz="1100" b="1" baseline="0"/>
        </a:p>
        <a:p>
          <a:endParaRPr lang="da-DK" sz="1100" baseline="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Spot/Office/temphold/TMPL_RE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C:/VEDA/VEDA_Models/Denmark/TIMES-DK_Power_master/_VT_DK_SUP_V1p9.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TIMES%20models/TIMES-Nordic%20-%20Copy/VT_NO_SUP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Mikkel/TIMES-DK/SubRES_TMPL/SubRes_ELC_Plants202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VEDA/VEDA_Models/Denmark/TIMES-DK_Updated_COMETS-XS/VT_DK_ELC.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bosac/Downloads/AZE_ghg_profile%20(1).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C:/VEDA/VEDA_Models/TIMES-DK-TRA_20140623/TIMES-DK-TRA_20140623/Supply-Use_OilProduct.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C:/RAMSES/Simuleringer/2012/2012-08-27/Rettelser_foretaget_i_DATA69_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EsApplNT/ESTAT-E5/Documents%20and%20Settings/meyered/Local%20Settings/Temporary%20Internet%20Files/OLK111/TMP/BALANCE.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TIMES%20models/TIMES_AZ/VT_AZ_ELC.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c0ee8d5d29f1698f/Desktop/GitHub/Bachelor_Git/TIMES-AZ/VT_AZ_ELC.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Lame12/f$/Documents%20and%20Settings/labriet/Local%20Settings/Temp/TMPL_RES.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TIMES%20models/TIMES-Nordic/VT_DK_SUP.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ocumentation/Energy%20Balance/Energy%20Balance%20Nordic.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RAMSES/RAMSES%20Dat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Users/B003206/AppData/Local/Microsoft/Windows/Temporary%20Internet%20Files/Content.Outlook/I9492QGX/Alternativ%20Drivmiddelmodel%20v%20%203%200%20MHO%202014-12-02.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sApplNT/ESTAT-E5/TEMP/Common%20Reporting%20Format%20V1.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VEDA/VEDA_Models/TIMES-DK-TRA_20140623/TIMES-DK-TRA_20140623/SubRES_TMPL/ad_beregningsmodel_version_2_1_maj_2013_(4)(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O:/03%20Team%20Modeller%20og%20analyser/Br&#230;ndselspriser/Br&#230;ndselspriser%202012/Regneark/Br&#230;ndselspriser%202012%20-%2020120628.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 val="IEA Data"/>
      <sheetName val="E&amp;D Driver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row r="2">
          <cell r="A2" t="str">
            <v>^FI_ST: TCH, PRC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MIN-IMP-EXP"/>
      <sheetName val="BiomassCost"/>
      <sheetName val="MIN-IMP-EXP_Data"/>
      <sheetName val="Refineries"/>
      <sheetName val="Refinery_data"/>
      <sheetName val="Fuel Tech"/>
      <sheetName val="Mining NGA&amp;CRD"/>
    </sheetNames>
    <sheetDataSet>
      <sheetData sheetId="0"/>
      <sheetData sheetId="1"/>
      <sheetData sheetId="2"/>
      <sheetData sheetId="3"/>
      <sheetData sheetId="4"/>
      <sheetData sheetId="5"/>
      <sheetData sheetId="6"/>
      <sheetData sheetId="7"/>
      <sheetData sheetId="8"/>
      <sheetData sheetId="9">
        <row r="13">
          <cell r="N13">
            <v>1970</v>
          </cell>
          <cell r="O13">
            <v>0</v>
          </cell>
          <cell r="P13">
            <v>1970</v>
          </cell>
          <cell r="Q13">
            <v>0</v>
          </cell>
        </row>
        <row r="14">
          <cell r="N14">
            <v>1971</v>
          </cell>
          <cell r="O14">
            <v>0</v>
          </cell>
          <cell r="P14">
            <v>1971</v>
          </cell>
          <cell r="Q14">
            <v>0</v>
          </cell>
        </row>
        <row r="15">
          <cell r="N15">
            <v>1972</v>
          </cell>
          <cell r="O15">
            <v>3.9063762799999999</v>
          </cell>
          <cell r="P15">
            <v>1972</v>
          </cell>
          <cell r="Q15">
            <v>0</v>
          </cell>
        </row>
        <row r="16">
          <cell r="N16">
            <v>1973</v>
          </cell>
          <cell r="O16">
            <v>5.6249426600000003</v>
          </cell>
          <cell r="P16">
            <v>1973</v>
          </cell>
          <cell r="Q16">
            <v>0</v>
          </cell>
        </row>
        <row r="17">
          <cell r="N17">
            <v>1974</v>
          </cell>
          <cell r="O17">
            <v>3.8189121299999997</v>
          </cell>
          <cell r="P17">
            <v>1974</v>
          </cell>
          <cell r="Q17">
            <v>0</v>
          </cell>
        </row>
        <row r="18">
          <cell r="N18">
            <v>1975</v>
          </cell>
          <cell r="O18">
            <v>6.938282844999998</v>
          </cell>
          <cell r="P18">
            <v>1975</v>
          </cell>
          <cell r="Q18">
            <v>0</v>
          </cell>
        </row>
        <row r="19">
          <cell r="N19">
            <v>1976</v>
          </cell>
          <cell r="O19">
            <v>8.240310805</v>
          </cell>
          <cell r="P19">
            <v>1976</v>
          </cell>
          <cell r="Q19">
            <v>0</v>
          </cell>
        </row>
        <row r="20">
          <cell r="N20">
            <v>1977</v>
          </cell>
          <cell r="O20">
            <v>21.33919118</v>
          </cell>
          <cell r="P20">
            <v>1977</v>
          </cell>
          <cell r="Q20">
            <v>0</v>
          </cell>
        </row>
        <row r="21">
          <cell r="N21">
            <v>1978</v>
          </cell>
          <cell r="O21">
            <v>17.937365719999999</v>
          </cell>
          <cell r="P21">
            <v>1978</v>
          </cell>
          <cell r="Q21">
            <v>0</v>
          </cell>
        </row>
        <row r="22">
          <cell r="N22">
            <v>1979</v>
          </cell>
          <cell r="O22">
            <v>17.869240174999998</v>
          </cell>
          <cell r="P22">
            <v>1979</v>
          </cell>
          <cell r="Q22">
            <v>0</v>
          </cell>
        </row>
        <row r="23">
          <cell r="N23">
            <v>1980</v>
          </cell>
          <cell r="O23">
            <v>12.373183779999996</v>
          </cell>
          <cell r="P23">
            <v>1980</v>
          </cell>
          <cell r="Q23">
            <v>0</v>
          </cell>
        </row>
        <row r="24">
          <cell r="N24">
            <v>1981</v>
          </cell>
          <cell r="O24">
            <v>32.128483999499998</v>
          </cell>
          <cell r="P24">
            <v>1981</v>
          </cell>
          <cell r="Q24">
            <v>0</v>
          </cell>
        </row>
        <row r="25">
          <cell r="N25">
            <v>1982</v>
          </cell>
          <cell r="O25">
            <v>72.038446551499987</v>
          </cell>
          <cell r="P25">
            <v>1982</v>
          </cell>
          <cell r="Q25">
            <v>0</v>
          </cell>
        </row>
        <row r="26">
          <cell r="N26">
            <v>1983</v>
          </cell>
          <cell r="O26">
            <v>92.17126623850001</v>
          </cell>
          <cell r="P26">
            <v>1983</v>
          </cell>
          <cell r="Q26">
            <v>0</v>
          </cell>
        </row>
        <row r="27">
          <cell r="N27">
            <v>1984</v>
          </cell>
          <cell r="O27">
            <v>99.119662102999996</v>
          </cell>
          <cell r="P27">
            <v>1984</v>
          </cell>
          <cell r="Q27">
            <v>8.1751533650999999</v>
          </cell>
        </row>
        <row r="28">
          <cell r="N28">
            <v>1985</v>
          </cell>
          <cell r="O28">
            <v>126.40816951749997</v>
          </cell>
          <cell r="P28">
            <v>1985</v>
          </cell>
          <cell r="Q28">
            <v>39.534091679219991</v>
          </cell>
        </row>
        <row r="29">
          <cell r="N29">
            <v>1986</v>
          </cell>
          <cell r="O29">
            <v>156.71466416049998</v>
          </cell>
          <cell r="P29">
            <v>1986</v>
          </cell>
          <cell r="Q29">
            <v>67.011070619999998</v>
          </cell>
        </row>
        <row r="30">
          <cell r="N30">
            <v>1987</v>
          </cell>
          <cell r="O30">
            <v>198.05099557949995</v>
          </cell>
          <cell r="P30">
            <v>1987</v>
          </cell>
          <cell r="Q30">
            <v>85.441607171640001</v>
          </cell>
        </row>
        <row r="31">
          <cell r="N31">
            <v>1988</v>
          </cell>
          <cell r="O31">
            <v>203.59257536499999</v>
          </cell>
          <cell r="P31">
            <v>1988</v>
          </cell>
          <cell r="Q31">
            <v>84.357604739999999</v>
          </cell>
        </row>
        <row r="32">
          <cell r="N32">
            <v>1989</v>
          </cell>
          <cell r="O32">
            <v>236.83774117799993</v>
          </cell>
          <cell r="P32">
            <v>1989</v>
          </cell>
          <cell r="Q32">
            <v>99.710055120000007</v>
          </cell>
        </row>
        <row r="33">
          <cell r="N33">
            <v>1990</v>
          </cell>
          <cell r="O33">
            <v>255.83014421249996</v>
          </cell>
          <cell r="P33">
            <v>1990</v>
          </cell>
          <cell r="Q33">
            <v>102.20894573999999</v>
          </cell>
        </row>
        <row r="34">
          <cell r="N34">
            <v>1991</v>
          </cell>
          <cell r="O34">
            <v>301.74428235600004</v>
          </cell>
          <cell r="P34">
            <v>1991</v>
          </cell>
          <cell r="Q34">
            <v>130.33458492</v>
          </cell>
        </row>
        <row r="35">
          <cell r="N35">
            <v>1992</v>
          </cell>
          <cell r="O35">
            <v>333.50782849450002</v>
          </cell>
          <cell r="P35">
            <v>1992</v>
          </cell>
          <cell r="Q35">
            <v>134.75320500000001</v>
          </cell>
        </row>
        <row r="36">
          <cell r="N36">
            <v>1993</v>
          </cell>
          <cell r="O36">
            <v>355.40463378449994</v>
          </cell>
          <cell r="P36">
            <v>1993</v>
          </cell>
          <cell r="Q36">
            <v>148.736853252</v>
          </cell>
        </row>
        <row r="37">
          <cell r="N37">
            <v>1994</v>
          </cell>
          <cell r="O37">
            <v>392.08539908499995</v>
          </cell>
          <cell r="P37">
            <v>1994</v>
          </cell>
          <cell r="Q37">
            <v>160.69365657</v>
          </cell>
        </row>
        <row r="38">
          <cell r="N38">
            <v>1995</v>
          </cell>
          <cell r="O38">
            <v>394.31718960000001</v>
          </cell>
          <cell r="P38">
            <v>1995</v>
          </cell>
          <cell r="Q38">
            <v>174.36045233999997</v>
          </cell>
        </row>
        <row r="39">
          <cell r="N39">
            <v>1996</v>
          </cell>
          <cell r="O39">
            <v>441.76722453349998</v>
          </cell>
          <cell r="P39">
            <v>1996</v>
          </cell>
          <cell r="Q39">
            <v>212.07110844000002</v>
          </cell>
        </row>
        <row r="40">
          <cell r="N40">
            <v>1997</v>
          </cell>
          <cell r="O40">
            <v>488.55306848099985</v>
          </cell>
          <cell r="P40">
            <v>1997</v>
          </cell>
          <cell r="Q40">
            <v>258.60563430000002</v>
          </cell>
        </row>
        <row r="41">
          <cell r="N41">
            <v>1998</v>
          </cell>
          <cell r="O41">
            <v>504.77021831949997</v>
          </cell>
          <cell r="P41">
            <v>1998</v>
          </cell>
          <cell r="Q41">
            <v>246.34854178865999</v>
          </cell>
        </row>
        <row r="42">
          <cell r="N42">
            <v>1999</v>
          </cell>
          <cell r="O42">
            <v>634.57442889399988</v>
          </cell>
          <cell r="P42">
            <v>1999</v>
          </cell>
          <cell r="Q42">
            <v>251.45193919800002</v>
          </cell>
        </row>
        <row r="43">
          <cell r="N43">
            <v>2000</v>
          </cell>
          <cell r="O43">
            <v>772.4471115450001</v>
          </cell>
          <cell r="P43">
            <v>2000</v>
          </cell>
          <cell r="Q43">
            <v>264.9077108733</v>
          </cell>
        </row>
        <row r="44">
          <cell r="N44">
            <v>2001</v>
          </cell>
          <cell r="O44">
            <v>738.56745381399969</v>
          </cell>
          <cell r="P44">
            <v>2001</v>
          </cell>
          <cell r="Q44">
            <v>272.09152744379998</v>
          </cell>
        </row>
        <row r="45">
          <cell r="N45">
            <v>2002</v>
          </cell>
          <cell r="O45">
            <v>786.00341114949993</v>
          </cell>
          <cell r="P45">
            <v>2002</v>
          </cell>
          <cell r="Q45">
            <v>271.06723825847996</v>
          </cell>
        </row>
        <row r="46">
          <cell r="N46">
            <v>2003</v>
          </cell>
          <cell r="O46">
            <v>779.4855574720001</v>
          </cell>
          <cell r="P46">
            <v>2003</v>
          </cell>
          <cell r="Q46">
            <v>256.26093243269997</v>
          </cell>
        </row>
        <row r="47">
          <cell r="N47">
            <v>2004</v>
          </cell>
          <cell r="O47">
            <v>826.48621490699998</v>
          </cell>
          <cell r="P47">
            <v>2004</v>
          </cell>
          <cell r="Q47">
            <v>306.90174222611995</v>
          </cell>
        </row>
        <row r="48">
          <cell r="N48">
            <v>2005</v>
          </cell>
          <cell r="O48">
            <v>799.92979010349995</v>
          </cell>
          <cell r="P48">
            <v>2005</v>
          </cell>
          <cell r="Q48">
            <v>342.25197658242001</v>
          </cell>
        </row>
        <row r="49">
          <cell r="N49">
            <v>2006</v>
          </cell>
          <cell r="O49">
            <v>725.39404141000011</v>
          </cell>
          <cell r="P49">
            <v>2006</v>
          </cell>
          <cell r="Q49">
            <v>340.34999666268004</v>
          </cell>
        </row>
        <row r="50">
          <cell r="N50">
            <v>2007</v>
          </cell>
          <cell r="O50">
            <v>660.97930423949992</v>
          </cell>
          <cell r="P50">
            <v>2007</v>
          </cell>
          <cell r="Q50">
            <v>298.94690504946004</v>
          </cell>
        </row>
        <row r="51">
          <cell r="N51">
            <v>2008</v>
          </cell>
          <cell r="O51">
            <v>609.3534128</v>
          </cell>
          <cell r="P51">
            <v>2008</v>
          </cell>
          <cell r="Q51">
            <v>329.25697641185997</v>
          </cell>
        </row>
        <row r="52">
          <cell r="N52">
            <v>2009</v>
          </cell>
          <cell r="O52">
            <v>554.41616080549989</v>
          </cell>
          <cell r="P52">
            <v>2009</v>
          </cell>
          <cell r="Q52">
            <v>272.01112376345998</v>
          </cell>
        </row>
        <row r="53">
          <cell r="N53">
            <v>2010</v>
          </cell>
          <cell r="O53">
            <v>519.86831128894983</v>
          </cell>
          <cell r="P53">
            <v>2010</v>
          </cell>
          <cell r="Q53">
            <v>265.23685714097996</v>
          </cell>
        </row>
        <row r="54">
          <cell r="N54">
            <v>2011</v>
          </cell>
          <cell r="O54">
            <v>469.09851343060012</v>
          </cell>
          <cell r="P54">
            <v>2011</v>
          </cell>
          <cell r="Q54">
            <v>209.27847161760002</v>
          </cell>
        </row>
        <row r="55">
          <cell r="N55">
            <v>2012</v>
          </cell>
          <cell r="O55">
            <v>428.63451951864329</v>
          </cell>
          <cell r="P55">
            <v>2012</v>
          </cell>
          <cell r="Q55">
            <v>180.60129782946001</v>
          </cell>
        </row>
        <row r="56">
          <cell r="N56">
            <v>2013</v>
          </cell>
          <cell r="O56">
            <v>372.26210088398392</v>
          </cell>
          <cell r="P56">
            <v>2013</v>
          </cell>
          <cell r="Q56">
            <v>147.85709381958</v>
          </cell>
        </row>
        <row r="57">
          <cell r="N57">
            <v>2014</v>
          </cell>
          <cell r="O57">
            <v>360.69536617999637</v>
          </cell>
          <cell r="P57">
            <v>2014</v>
          </cell>
          <cell r="Q57">
            <v>165.28979713044848</v>
          </cell>
        </row>
        <row r="58">
          <cell r="N58">
            <v>2015</v>
          </cell>
          <cell r="O58">
            <v>346.42491625077844</v>
          </cell>
          <cell r="P58">
            <v>2015</v>
          </cell>
          <cell r="Q58">
            <v>147.9204524829976</v>
          </cell>
        </row>
        <row r="59">
          <cell r="N59">
            <v>2016</v>
          </cell>
          <cell r="O59">
            <v>359.37763530935962</v>
          </cell>
          <cell r="P59">
            <v>2016</v>
          </cell>
          <cell r="Q59">
            <v>137.98415725870768</v>
          </cell>
        </row>
        <row r="60">
          <cell r="N60">
            <v>2017</v>
          </cell>
          <cell r="O60">
            <v>373.83988905959052</v>
          </cell>
          <cell r="P60">
            <v>2017</v>
          </cell>
          <cell r="Q60">
            <v>140.06521490048914</v>
          </cell>
        </row>
        <row r="61">
          <cell r="N61">
            <v>2018</v>
          </cell>
          <cell r="O61">
            <v>341.44882521063067</v>
          </cell>
          <cell r="P61">
            <v>2018</v>
          </cell>
          <cell r="Q61">
            <v>142.63499572318014</v>
          </cell>
        </row>
        <row r="62">
          <cell r="N62">
            <v>2019</v>
          </cell>
          <cell r="O62">
            <v>319.51083534163627</v>
          </cell>
          <cell r="P62">
            <v>2019</v>
          </cell>
          <cell r="Q62">
            <v>147.0249989189474</v>
          </cell>
        </row>
        <row r="63">
          <cell r="N63">
            <v>2020</v>
          </cell>
          <cell r="O63">
            <v>346.12686523704082</v>
          </cell>
          <cell r="P63">
            <v>2020</v>
          </cell>
          <cell r="Q63">
            <v>134.61703455286113</v>
          </cell>
        </row>
        <row r="64">
          <cell r="N64">
            <v>2021</v>
          </cell>
          <cell r="O64">
            <v>310.39012010638231</v>
          </cell>
          <cell r="P64">
            <v>2021</v>
          </cell>
          <cell r="Q64">
            <v>117.43914602328036</v>
          </cell>
        </row>
        <row r="65">
          <cell r="N65">
            <v>2022</v>
          </cell>
          <cell r="O65">
            <v>272.44698156336995</v>
          </cell>
          <cell r="P65">
            <v>2022</v>
          </cell>
          <cell r="Q65">
            <v>105.0668244019039</v>
          </cell>
        </row>
        <row r="66">
          <cell r="N66">
            <v>2023</v>
          </cell>
          <cell r="O66">
            <v>230.1973862930702</v>
          </cell>
          <cell r="P66">
            <v>2023</v>
          </cell>
          <cell r="Q66">
            <v>93.572026320342005</v>
          </cell>
        </row>
        <row r="67">
          <cell r="N67">
            <v>2024</v>
          </cell>
          <cell r="O67">
            <v>198.31298736701311</v>
          </cell>
          <cell r="P67">
            <v>2024</v>
          </cell>
          <cell r="Q67">
            <v>82.718244404631108</v>
          </cell>
        </row>
        <row r="68">
          <cell r="N68">
            <v>2025</v>
          </cell>
          <cell r="O68">
            <v>172.73874918542745</v>
          </cell>
          <cell r="P68">
            <v>2025</v>
          </cell>
          <cell r="Q68">
            <v>83.165323453694839</v>
          </cell>
        </row>
        <row r="69">
          <cell r="N69">
            <v>2026</v>
          </cell>
          <cell r="O69">
            <v>152.17745425926154</v>
          </cell>
          <cell r="P69">
            <v>2026</v>
          </cell>
          <cell r="Q69">
            <v>73.381128938120071</v>
          </cell>
        </row>
        <row r="70">
          <cell r="N70">
            <v>2027</v>
          </cell>
          <cell r="O70">
            <v>135.62297626584467</v>
          </cell>
          <cell r="P70">
            <v>2027</v>
          </cell>
          <cell r="Q70">
            <v>61.633926702864862</v>
          </cell>
        </row>
        <row r="71">
          <cell r="N71">
            <v>2028</v>
          </cell>
          <cell r="O71">
            <v>120.66965691216404</v>
          </cell>
          <cell r="P71">
            <v>2028</v>
          </cell>
          <cell r="Q71">
            <v>50.941033193664481</v>
          </cell>
        </row>
        <row r="72">
          <cell r="N72">
            <v>2029</v>
          </cell>
          <cell r="O72">
            <v>106.96724207455215</v>
          </cell>
          <cell r="P72">
            <v>2029</v>
          </cell>
          <cell r="Q72">
            <v>41.149732286283594</v>
          </cell>
        </row>
        <row r="73">
          <cell r="N73">
            <v>2030</v>
          </cell>
          <cell r="O73">
            <v>97.946105969636946</v>
          </cell>
          <cell r="P73">
            <v>2030</v>
          </cell>
          <cell r="Q73">
            <v>36.600982586539267</v>
          </cell>
        </row>
        <row r="74">
          <cell r="N74">
            <v>2031</v>
          </cell>
          <cell r="O74">
            <v>89.247617806244889</v>
          </cell>
          <cell r="P74">
            <v>2031</v>
          </cell>
          <cell r="Q74">
            <v>35.141098751516111</v>
          </cell>
        </row>
        <row r="75">
          <cell r="N75">
            <v>2032</v>
          </cell>
          <cell r="O75">
            <v>81.555274196473732</v>
          </cell>
          <cell r="P75">
            <v>2032</v>
          </cell>
          <cell r="Q75">
            <v>27.047692823138334</v>
          </cell>
        </row>
        <row r="76">
          <cell r="N76">
            <v>2033</v>
          </cell>
          <cell r="O76">
            <v>74.824049423119121</v>
          </cell>
          <cell r="P76">
            <v>2033</v>
          </cell>
          <cell r="Q76">
            <v>14.109119613333579</v>
          </cell>
        </row>
        <row r="77">
          <cell r="N77">
            <v>2034</v>
          </cell>
          <cell r="O77">
            <v>67.990348317121516</v>
          </cell>
          <cell r="P77">
            <v>2034</v>
          </cell>
          <cell r="Q77">
            <v>10.544761254977002</v>
          </cell>
        </row>
        <row r="78">
          <cell r="N78">
            <v>2035</v>
          </cell>
          <cell r="O78">
            <v>63.035195129590818</v>
          </cell>
          <cell r="P78">
            <v>2035</v>
          </cell>
          <cell r="Q78">
            <v>8.7361544991781486</v>
          </cell>
        </row>
        <row r="79">
          <cell r="N79">
            <v>2036</v>
          </cell>
          <cell r="O79">
            <v>58.993686280687413</v>
          </cell>
          <cell r="P79">
            <v>2036</v>
          </cell>
          <cell r="Q79">
            <v>7.9136172262211169</v>
          </cell>
        </row>
        <row r="80">
          <cell r="N80">
            <v>2037</v>
          </cell>
          <cell r="O80">
            <v>54.629544719497872</v>
          </cell>
          <cell r="P80">
            <v>2037</v>
          </cell>
          <cell r="Q80">
            <v>7.1974607536135915</v>
          </cell>
        </row>
        <row r="81">
          <cell r="N81">
            <v>2038</v>
          </cell>
          <cell r="O81">
            <v>50.996951627073798</v>
          </cell>
          <cell r="P81">
            <v>2038</v>
          </cell>
          <cell r="Q81">
            <v>6.6397426927836616</v>
          </cell>
        </row>
        <row r="82">
          <cell r="N82">
            <v>2039</v>
          </cell>
          <cell r="O82">
            <v>47.389538373197347</v>
          </cell>
          <cell r="P82">
            <v>2039</v>
          </cell>
          <cell r="Q82">
            <v>6.1329731323866126</v>
          </cell>
        </row>
        <row r="83">
          <cell r="N83">
            <v>2040</v>
          </cell>
          <cell r="O83">
            <v>43.16659817762703</v>
          </cell>
          <cell r="P83">
            <v>2040</v>
          </cell>
          <cell r="Q83">
            <v>4.2868271675929117</v>
          </cell>
        </row>
        <row r="84">
          <cell r="N84">
            <v>2041</v>
          </cell>
          <cell r="O84">
            <v>38.465218850844352</v>
          </cell>
          <cell r="P84">
            <v>2041</v>
          </cell>
          <cell r="Q84">
            <v>0.44869245083362064</v>
          </cell>
        </row>
        <row r="85">
          <cell r="N85">
            <v>2042</v>
          </cell>
          <cell r="O85">
            <v>36.31459420882797</v>
          </cell>
          <cell r="P85">
            <v>2042</v>
          </cell>
          <cell r="Q85">
            <v>0.40382320575025876</v>
          </cell>
        </row>
        <row r="86">
          <cell r="N86">
            <v>2043</v>
          </cell>
          <cell r="O86">
            <v>0</v>
          </cell>
          <cell r="P86">
            <v>2043</v>
          </cell>
          <cell r="Q86">
            <v>0</v>
          </cell>
        </row>
        <row r="87">
          <cell r="N87">
            <v>2044</v>
          </cell>
          <cell r="O87">
            <v>0</v>
          </cell>
          <cell r="P87">
            <v>2044</v>
          </cell>
          <cell r="Q87">
            <v>0</v>
          </cell>
        </row>
        <row r="88">
          <cell r="N88">
            <v>2045</v>
          </cell>
          <cell r="O88">
            <v>0</v>
          </cell>
          <cell r="P88">
            <v>2045</v>
          </cell>
          <cell r="Q88">
            <v>0</v>
          </cell>
        </row>
        <row r="89">
          <cell r="N89">
            <v>2046</v>
          </cell>
          <cell r="O89">
            <v>0</v>
          </cell>
          <cell r="P89">
            <v>2046</v>
          </cell>
          <cell r="Q89">
            <v>0</v>
          </cell>
        </row>
        <row r="90">
          <cell r="N90">
            <v>2047</v>
          </cell>
          <cell r="O90">
            <v>0</v>
          </cell>
          <cell r="P90">
            <v>2047</v>
          </cell>
          <cell r="Q90">
            <v>0</v>
          </cell>
        </row>
        <row r="91">
          <cell r="N91">
            <v>2048</v>
          </cell>
          <cell r="O91">
            <v>0</v>
          </cell>
          <cell r="P91">
            <v>2048</v>
          </cell>
          <cell r="Q91">
            <v>0</v>
          </cell>
        </row>
        <row r="92">
          <cell r="N92">
            <v>2049</v>
          </cell>
          <cell r="O92">
            <v>0</v>
          </cell>
          <cell r="P92">
            <v>2049</v>
          </cell>
          <cell r="Q92">
            <v>0</v>
          </cell>
        </row>
        <row r="93">
          <cell r="N93">
            <v>2050</v>
          </cell>
          <cell r="O93">
            <v>0</v>
          </cell>
          <cell r="P93">
            <v>2050</v>
          </cell>
          <cell r="Q93">
            <v>0</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Oil &amp; Gas Extraction"/>
      <sheetName val="Refineries"/>
      <sheetName val="ETS_NETS_Prices"/>
      <sheetName val="Emis"/>
      <sheetName val="Fuel Tech"/>
    </sheetNames>
    <sheetDataSet>
      <sheetData sheetId="0" refreshError="1"/>
      <sheetData sheetId="1" refreshError="1"/>
      <sheetData sheetId="2" refreshError="1">
        <row r="19">
          <cell r="D19" t="str">
            <v>CRD</v>
          </cell>
        </row>
        <row r="20">
          <cell r="D20" t="str">
            <v>LPG</v>
          </cell>
        </row>
        <row r="21">
          <cell r="D21" t="str">
            <v>LVN</v>
          </cell>
        </row>
        <row r="22">
          <cell r="D22" t="str">
            <v>GSL</v>
          </cell>
        </row>
        <row r="23">
          <cell r="D23" t="str">
            <v>KER</v>
          </cell>
        </row>
        <row r="24">
          <cell r="D24" t="str">
            <v>DSL</v>
          </cell>
        </row>
        <row r="25">
          <cell r="D25" t="str">
            <v>HFO</v>
          </cell>
        </row>
        <row r="34">
          <cell r="D34" t="str">
            <v>SUPELC</v>
          </cell>
        </row>
        <row r="35">
          <cell r="D35" t="str">
            <v>SUPHETC</v>
          </cell>
        </row>
      </sheetData>
      <sheetData sheetId="3" refreshError="1"/>
      <sheetData sheetId="4" refreshError="1">
        <row r="4">
          <cell r="P4">
            <v>4.1868000000000002E-2</v>
          </cell>
        </row>
        <row r="30">
          <cell r="AD30">
            <v>0.75</v>
          </cell>
          <cell r="AE30">
            <v>0.25</v>
          </cell>
        </row>
      </sheetData>
      <sheetData sheetId="5" refreshError="1"/>
      <sheetData sheetId="6" refreshError="1"/>
      <sheetData sheetId="7" refreshError="1"/>
      <sheetData sheetId="8" refreshError="1"/>
      <sheetData sheetId="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Adjusted O&amp;M waste and wind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by_sector"/>
      <sheetName val="Data_by_gas"/>
      <sheetName val="Summary Data"/>
      <sheetName val="ChartData"/>
    </sheetNames>
    <sheetDataSet>
      <sheetData sheetId="0"/>
      <sheetData sheetId="1">
        <row r="1">
          <cell r="A1" t="str">
            <v>GHG emissions, Gg CO2 equivalent</v>
          </cell>
          <cell r="B1" t="str">
            <v>1990</v>
          </cell>
          <cell r="C1" t="str">
            <v>1991</v>
          </cell>
          <cell r="D1" t="str">
            <v>1992</v>
          </cell>
          <cell r="E1" t="str">
            <v>1993</v>
          </cell>
          <cell r="F1" t="str">
            <v>1994</v>
          </cell>
          <cell r="G1" t="str">
            <v>1995</v>
          </cell>
          <cell r="H1" t="str">
            <v>1996</v>
          </cell>
          <cell r="I1" t="str">
            <v>1997</v>
          </cell>
          <cell r="J1" t="str">
            <v>1998</v>
          </cell>
          <cell r="K1" t="str">
            <v>1999</v>
          </cell>
          <cell r="L1" t="str">
            <v>2000</v>
          </cell>
          <cell r="M1" t="str">
            <v>2001</v>
          </cell>
          <cell r="N1" t="str">
            <v>2002</v>
          </cell>
          <cell r="O1" t="str">
            <v>2003</v>
          </cell>
          <cell r="P1" t="str">
            <v>2004</v>
          </cell>
          <cell r="Q1" t="str">
            <v>2005</v>
          </cell>
          <cell r="R1" t="str">
            <v>2006</v>
          </cell>
          <cell r="S1" t="str">
            <v>2007</v>
          </cell>
          <cell r="T1" t="str">
            <v>2008</v>
          </cell>
          <cell r="U1" t="str">
            <v>2009</v>
          </cell>
          <cell r="V1" t="str">
            <v>2010</v>
          </cell>
          <cell r="W1" t="str">
            <v>2011</v>
          </cell>
          <cell r="X1" t="str">
            <v>2012</v>
          </cell>
          <cell r="Y1" t="str">
            <v>2013</v>
          </cell>
          <cell r="Z1">
            <v>0</v>
          </cell>
        </row>
        <row r="3">
          <cell r="A3" t="str">
            <v>CO₂</v>
          </cell>
        </row>
        <row r="10">
          <cell r="A10" t="str">
            <v>Non-CO₂</v>
          </cell>
        </row>
        <row r="11">
          <cell r="A11" t="str">
            <v>Total GHG</v>
          </cell>
        </row>
        <row r="14">
          <cell r="A14" t="str">
            <v>CO₂</v>
          </cell>
        </row>
        <row r="21">
          <cell r="A21" t="str">
            <v>Non-CO₂</v>
          </cell>
        </row>
        <row r="22">
          <cell r="A22" t="str">
            <v>Total GHG</v>
          </cell>
        </row>
      </sheetData>
      <sheetData sheetId="2"/>
      <sheetData sheetId="3"/>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Fuel Tech"/>
      <sheetName val="BiomassCost"/>
      <sheetName val="MIN-IMP-EXP_Data"/>
      <sheetName val="Refinery_data"/>
      <sheetName val="Table1.A(a)s1"/>
      <sheetName val="Oversigt energibalance"/>
      <sheetName val="Produktion af primær energi"/>
    </sheetNames>
    <sheetDataSet>
      <sheetData sheetId="0"/>
      <sheetData sheetId="1"/>
      <sheetData sheetId="2"/>
      <sheetData sheetId="3"/>
      <sheetData sheetId="4"/>
      <sheetData sheetId="5"/>
      <sheetData sheetId="6"/>
      <sheetData sheetId="7"/>
      <sheetData sheetId="8"/>
      <sheetData sheetId="9">
        <row r="30">
          <cell r="G30">
            <v>72.400000000000006</v>
          </cell>
        </row>
        <row r="31">
          <cell r="G31">
            <v>10.6</v>
          </cell>
        </row>
        <row r="33">
          <cell r="G33">
            <v>101.7</v>
          </cell>
        </row>
        <row r="43">
          <cell r="G43">
            <v>207.6</v>
          </cell>
        </row>
      </sheetData>
      <sheetData sheetId="10"/>
      <sheetData sheetId="11"/>
      <sheetData sheetId="12"/>
      <sheetData sheetId="13"/>
      <sheetData sheetId="1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inerie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4">
          <cell r="C4" t="str">
            <v>European Community</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energinet.dk/SiteCollectionDocuments/Danske%20dokumenter/El/Redeg%C3%B8relse%20for%20elforsyningssikkerhed%202015.pdf"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2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sheetPr>
  <dimension ref="A3:E50"/>
  <sheetViews>
    <sheetView zoomScaleNormal="100" workbookViewId="0">
      <selection activeCell="B5" sqref="B5"/>
    </sheetView>
  </sheetViews>
  <sheetFormatPr defaultColWidth="9.21875" defaultRowHeight="13.2"/>
  <cols>
    <col min="1" max="1" width="11" style="91" bestFit="1" customWidth="1"/>
    <col min="2" max="2" width="23.21875" style="91" bestFit="1" customWidth="1"/>
    <col min="3" max="3" width="28" style="91" bestFit="1" customWidth="1"/>
    <col min="4" max="4" width="16.44140625" style="91" bestFit="1" customWidth="1"/>
    <col min="5" max="5" width="144.44140625" style="91" bestFit="1" customWidth="1"/>
    <col min="6" max="8" width="9.21875" style="91"/>
    <col min="9" max="9" width="13" style="91" customWidth="1"/>
    <col min="10" max="10" width="14.44140625" style="91" bestFit="1" customWidth="1"/>
    <col min="11" max="16384" width="9.21875" style="91"/>
  </cols>
  <sheetData>
    <row r="3" spans="1:5">
      <c r="A3" s="89" t="s">
        <v>173</v>
      </c>
      <c r="B3" s="90" t="s">
        <v>174</v>
      </c>
      <c r="C3" s="90" t="s">
        <v>175</v>
      </c>
      <c r="D3" s="90" t="s">
        <v>176</v>
      </c>
      <c r="E3" s="90" t="s">
        <v>177</v>
      </c>
    </row>
    <row r="4" spans="1:5">
      <c r="A4" s="405">
        <v>43028</v>
      </c>
      <c r="B4" s="406" t="s">
        <v>720</v>
      </c>
      <c r="C4" s="406" t="s">
        <v>275</v>
      </c>
      <c r="D4" s="406"/>
      <c r="E4" s="406" t="s">
        <v>721</v>
      </c>
    </row>
    <row r="5" spans="1:5">
      <c r="A5" s="405">
        <v>42632</v>
      </c>
      <c r="B5" s="406" t="s">
        <v>699</v>
      </c>
      <c r="C5" s="406" t="s">
        <v>700</v>
      </c>
      <c r="D5" s="406"/>
      <c r="E5" s="406" t="s">
        <v>701</v>
      </c>
    </row>
    <row r="6" spans="1:5">
      <c r="A6" s="405">
        <v>42515</v>
      </c>
      <c r="B6" s="440" t="s">
        <v>628</v>
      </c>
      <c r="C6" s="440" t="s">
        <v>275</v>
      </c>
      <c r="D6" s="440"/>
      <c r="E6" s="440" t="s">
        <v>691</v>
      </c>
    </row>
    <row r="7" spans="1:5">
      <c r="A7" s="405">
        <v>42478</v>
      </c>
      <c r="B7" s="440" t="s">
        <v>299</v>
      </c>
      <c r="C7" s="440" t="s">
        <v>666</v>
      </c>
      <c r="D7" s="440"/>
      <c r="E7" s="440" t="s">
        <v>683</v>
      </c>
    </row>
    <row r="8" spans="1:5">
      <c r="A8" s="405">
        <v>42478</v>
      </c>
      <c r="B8" s="440" t="s">
        <v>299</v>
      </c>
      <c r="C8" s="440" t="s">
        <v>667</v>
      </c>
      <c r="D8" s="440"/>
      <c r="E8" s="440" t="s">
        <v>684</v>
      </c>
    </row>
    <row r="9" spans="1:5">
      <c r="A9" s="405">
        <v>42478</v>
      </c>
      <c r="B9" s="440" t="s">
        <v>299</v>
      </c>
      <c r="C9" s="440" t="s">
        <v>275</v>
      </c>
      <c r="D9" s="440" t="s">
        <v>688</v>
      </c>
      <c r="E9" s="440" t="s">
        <v>687</v>
      </c>
    </row>
    <row r="10" spans="1:5">
      <c r="A10" s="405">
        <v>42474</v>
      </c>
      <c r="B10" s="440" t="s">
        <v>681</v>
      </c>
      <c r="C10" s="406"/>
      <c r="D10" s="440"/>
      <c r="E10" s="440" t="s">
        <v>682</v>
      </c>
    </row>
    <row r="11" spans="1:5">
      <c r="A11" s="405">
        <v>42430</v>
      </c>
      <c r="B11" s="440" t="s">
        <v>628</v>
      </c>
      <c r="C11" s="406" t="s">
        <v>496</v>
      </c>
      <c r="D11" s="440" t="s">
        <v>656</v>
      </c>
      <c r="E11" s="440" t="s">
        <v>657</v>
      </c>
    </row>
    <row r="12" spans="1:5">
      <c r="A12" s="405">
        <v>42430</v>
      </c>
      <c r="B12" s="440" t="s">
        <v>628</v>
      </c>
      <c r="C12" s="91" t="s">
        <v>574</v>
      </c>
      <c r="D12" s="91" t="s">
        <v>658</v>
      </c>
      <c r="E12" s="91" t="s">
        <v>659</v>
      </c>
    </row>
    <row r="13" spans="1:5">
      <c r="A13" s="405">
        <v>42430</v>
      </c>
      <c r="B13" s="440" t="s">
        <v>628</v>
      </c>
      <c r="C13" s="406" t="s">
        <v>275</v>
      </c>
      <c r="D13" s="440" t="s">
        <v>655</v>
      </c>
      <c r="E13" s="440" t="s">
        <v>654</v>
      </c>
    </row>
    <row r="14" spans="1:5">
      <c r="A14" s="405">
        <v>42430</v>
      </c>
      <c r="B14" s="440" t="s">
        <v>628</v>
      </c>
      <c r="C14" s="406" t="s">
        <v>275</v>
      </c>
      <c r="D14" s="440" t="s">
        <v>629</v>
      </c>
      <c r="E14" s="440" t="s">
        <v>630</v>
      </c>
    </row>
    <row r="15" spans="1:5" s="407" customFormat="1">
      <c r="A15" s="405">
        <v>42318</v>
      </c>
      <c r="B15" s="406" t="s">
        <v>332</v>
      </c>
      <c r="C15" s="406" t="s">
        <v>574</v>
      </c>
      <c r="D15" s="406" t="str">
        <f>ADDRESS(ROW(ETS_NETS_Prices!E6),COLUMN(ETS_NETS_Prices!E6),4,1)&amp;":"&amp;ADDRESS(ROW(ETS_NETS_Prices!AS6),COLUMN(ETS_NETS_Prices!AS6),4,1)</f>
        <v>E6:AS6</v>
      </c>
      <c r="E15" s="406" t="s">
        <v>625</v>
      </c>
    </row>
    <row r="16" spans="1:5" s="407" customFormat="1">
      <c r="A16" s="405">
        <v>42313</v>
      </c>
      <c r="B16" s="406" t="s">
        <v>332</v>
      </c>
      <c r="C16" s="406" t="s">
        <v>275</v>
      </c>
      <c r="D16" s="406" t="e">
        <f>ADDRESS(ROW(#REF!),COLUMN(#REF!),4,1)&amp;":"&amp;ADDRESS(ROW(#REF!),COLUMN(#REF!),4,1)</f>
        <v>#REF!</v>
      </c>
      <c r="E16" s="406" t="s">
        <v>623</v>
      </c>
    </row>
    <row r="17" spans="1:5" s="407" customFormat="1">
      <c r="A17" s="405">
        <v>42313</v>
      </c>
      <c r="B17" s="406" t="s">
        <v>332</v>
      </c>
      <c r="C17" s="406" t="s">
        <v>574</v>
      </c>
      <c r="D17" s="406" t="str">
        <f>ADDRESS(ROW(ETS_NETS_Prices!B7),COLUMN(ETS_NETS_Prices!B7),4,1)&amp;":"&amp;ADDRESS(ROW(ETS_NETS_Prices!AS7),COLUMN(ETS_NETS_Prices!AS7),4,1)</f>
        <v>B7:AS7</v>
      </c>
      <c r="E17" s="406" t="s">
        <v>624</v>
      </c>
    </row>
    <row r="18" spans="1:5" s="403" customFormat="1">
      <c r="A18" s="396">
        <v>42312</v>
      </c>
      <c r="B18" s="395" t="s">
        <v>332</v>
      </c>
      <c r="C18" s="395" t="s">
        <v>287</v>
      </c>
      <c r="D18" s="395" t="e">
        <f>ADDRESS(ROW(#REF!),COLUMN(#REF!),4,1)&amp;":"&amp;ADDRESS(ROW(#REF!),COLUMN(#REF!),4,1)</f>
        <v>#REF!</v>
      </c>
      <c r="E18" s="395" t="s">
        <v>608</v>
      </c>
    </row>
    <row r="19" spans="1:5">
      <c r="A19" s="396">
        <v>42116</v>
      </c>
      <c r="B19" s="204" t="s">
        <v>332</v>
      </c>
      <c r="C19" s="395" t="s">
        <v>275</v>
      </c>
      <c r="D19" s="204" t="s">
        <v>576</v>
      </c>
      <c r="E19" s="395" t="s">
        <v>577</v>
      </c>
    </row>
    <row r="20" spans="1:5">
      <c r="A20" s="203">
        <v>42116</v>
      </c>
      <c r="B20" s="204" t="s">
        <v>332</v>
      </c>
      <c r="C20" s="395" t="s">
        <v>574</v>
      </c>
      <c r="D20" s="204"/>
      <c r="E20" s="395" t="s">
        <v>575</v>
      </c>
    </row>
    <row r="21" spans="1:5" s="205" customFormat="1">
      <c r="A21" s="203">
        <v>42046</v>
      </c>
      <c r="B21" s="204" t="s">
        <v>332</v>
      </c>
      <c r="C21" s="204" t="s">
        <v>496</v>
      </c>
      <c r="D21" s="204" t="e">
        <f>ADDRESS(ROW(#REF!),COLUMN(#REF!),4,1)&amp;":"&amp;ADDRESS(ROW(#REF!),COLUMN(#REF!),4,1)</f>
        <v>#REF!</v>
      </c>
      <c r="E21" s="204" t="s">
        <v>566</v>
      </c>
    </row>
    <row r="22" spans="1:5" s="205" customFormat="1">
      <c r="A22" s="203">
        <v>42045</v>
      </c>
      <c r="B22" s="204" t="s">
        <v>332</v>
      </c>
      <c r="C22" s="204" t="s">
        <v>496</v>
      </c>
      <c r="D22" s="204" t="str">
        <f>ADDRESS(ROW(BiomassCost!B22),COLUMN(BiomassCost!B22),4,1)&amp;":"&amp;ADDRESS(ROW(BiomassCost!AC183),COLUMN(BiomassCost!AC183),4,1)</f>
        <v>B22:AC183</v>
      </c>
      <c r="E22" s="204" t="s">
        <v>497</v>
      </c>
    </row>
    <row r="23" spans="1:5" s="205" customFormat="1">
      <c r="A23" s="203">
        <v>42044</v>
      </c>
      <c r="B23" s="204" t="s">
        <v>299</v>
      </c>
      <c r="C23" s="204" t="s">
        <v>275</v>
      </c>
      <c r="D23" s="204" t="e">
        <f>ADDRESS(ROW(#REF!),COLUMN(#REF!),4,1)&amp;":"&amp;ADDRESS(ROW(#REF!),COLUMN(#REF!),4,1)</f>
        <v>#REF!</v>
      </c>
      <c r="E23" s="204" t="s">
        <v>369</v>
      </c>
    </row>
    <row r="24" spans="1:5" s="205" customFormat="1">
      <c r="A24" s="203">
        <v>42044</v>
      </c>
      <c r="B24" s="204" t="s">
        <v>299</v>
      </c>
      <c r="C24" s="204" t="s">
        <v>187</v>
      </c>
      <c r="D24" s="204" t="e">
        <f>ADDRESS(ROW(Processes!#REF!),COLUMN(Processes!#REF!),4,1)&amp;":"&amp;ADDRESS(ROW(Processes!#REF!),COLUMN(Processes!#REF!),4,1)</f>
        <v>#REF!</v>
      </c>
      <c r="E24" s="204" t="s">
        <v>368</v>
      </c>
    </row>
    <row r="25" spans="1:5" s="205" customFormat="1">
      <c r="A25" s="203">
        <v>42044</v>
      </c>
      <c r="B25" s="204" t="s">
        <v>299</v>
      </c>
      <c r="C25" s="204" t="s">
        <v>180</v>
      </c>
      <c r="D25" s="204" t="str">
        <f>ADDRESS(ROW(Commodities!C52),COLUMN(Commodities!C52),4,1)&amp;":"&amp;ADDRESS(ROW(Commodities!K69),COLUMN(Commodities!K69),4,1)</f>
        <v>C52:K69</v>
      </c>
      <c r="E25" s="204" t="s">
        <v>367</v>
      </c>
    </row>
    <row r="26" spans="1:5" s="205" customFormat="1">
      <c r="A26" s="203">
        <v>42044</v>
      </c>
      <c r="B26" s="204" t="s">
        <v>299</v>
      </c>
      <c r="C26" s="204" t="s">
        <v>216</v>
      </c>
      <c r="D26" s="204" t="str">
        <f>ADDRESS(ROW('Fuel Tech'!B7),COLUMN('Fuel Tech'!B7),4,1)&amp;":"&amp;ADDRESS(ROW('Fuel Tech'!G8),COLUMN('Fuel Tech'!G8),4,1)</f>
        <v>B7:G8</v>
      </c>
      <c r="E26" s="204" t="s">
        <v>346</v>
      </c>
    </row>
    <row r="27" spans="1:5" s="205" customFormat="1">
      <c r="A27" s="203">
        <v>42044</v>
      </c>
      <c r="B27" s="204" t="s">
        <v>299</v>
      </c>
      <c r="C27" s="204" t="s">
        <v>187</v>
      </c>
      <c r="D27" s="204" t="e">
        <f>ADDRESS(ROW(Processes!#REF!),COLUMN(Processes!#REF!),4,1)&amp;":"&amp;ADDRESS(ROW(Processes!#REF!),COLUMN(Processes!#REF!),4,1)</f>
        <v>#REF!</v>
      </c>
      <c r="E27" s="204" t="s">
        <v>345</v>
      </c>
    </row>
    <row r="28" spans="1:5" s="205" customFormat="1">
      <c r="A28" s="203">
        <v>42044</v>
      </c>
      <c r="B28" s="204" t="s">
        <v>299</v>
      </c>
      <c r="C28" s="204" t="s">
        <v>180</v>
      </c>
      <c r="D28" s="204" t="str">
        <f>ADDRESS(ROW(Commodities!C73),COLUMN(Commodities!C73),4,1)&amp;":"&amp;ADDRESS(ROW(Commodities!K79),COLUMN(Commodities!K79),4,1)</f>
        <v>C73:K79</v>
      </c>
      <c r="E28" s="204" t="s">
        <v>344</v>
      </c>
    </row>
    <row r="29" spans="1:5" s="205" customFormat="1">
      <c r="A29" s="203">
        <v>42026</v>
      </c>
      <c r="B29" s="204" t="s">
        <v>332</v>
      </c>
      <c r="C29" s="204" t="s">
        <v>275</v>
      </c>
      <c r="D29" s="204" t="e">
        <f>ADDRESS(ROW(#REF!),COLUMN(#REF!),4,1)&amp;":"&amp;ADDRESS(ROW(#REF!),COLUMN(#REF!),4,1)</f>
        <v>#REF!</v>
      </c>
      <c r="E29" s="204" t="s">
        <v>337</v>
      </c>
    </row>
    <row r="30" spans="1:5" s="205" customFormat="1">
      <c r="A30" s="203">
        <v>42026</v>
      </c>
      <c r="B30" s="204" t="s">
        <v>332</v>
      </c>
      <c r="C30" s="204" t="s">
        <v>335</v>
      </c>
      <c r="D30" s="204"/>
      <c r="E30" s="204" t="s">
        <v>336</v>
      </c>
    </row>
    <row r="31" spans="1:5" s="205" customFormat="1">
      <c r="A31" s="203">
        <v>42026</v>
      </c>
      <c r="B31" s="204" t="s">
        <v>332</v>
      </c>
      <c r="C31" s="204" t="s">
        <v>275</v>
      </c>
      <c r="D31" s="204" t="e">
        <f>ADDRESS(ROW(#REF!),COLUMN(#REF!),4,1)&amp;":"&amp;ADDRESS(ROW(#REF!),COLUMN(#REF!),4,1)</f>
        <v>#REF!</v>
      </c>
      <c r="E31" s="204" t="s">
        <v>334</v>
      </c>
    </row>
    <row r="32" spans="1:5" s="205" customFormat="1">
      <c r="A32" s="203">
        <v>42026</v>
      </c>
      <c r="B32" s="204" t="s">
        <v>332</v>
      </c>
      <c r="C32" s="204" t="s">
        <v>275</v>
      </c>
      <c r="D32" s="204" t="e">
        <f>ADDRESS(ROW(#REF!),COLUMN(#REF!),4,1)&amp;":"&amp;ADDRESS(ROW(#REF!),COLUMN(#REF!),4,1)</f>
        <v>#REF!</v>
      </c>
      <c r="E32" s="204" t="s">
        <v>333</v>
      </c>
    </row>
    <row r="33" spans="1:5" s="205" customFormat="1">
      <c r="A33" s="203">
        <v>41956</v>
      </c>
      <c r="B33" s="204" t="s">
        <v>178</v>
      </c>
      <c r="C33" s="204" t="s">
        <v>275</v>
      </c>
      <c r="D33" s="204" t="e">
        <f>ADDRESS(ROW(#REF!),COLUMN(#REF!),4,1)</f>
        <v>#REF!</v>
      </c>
      <c r="E33" s="204" t="s">
        <v>301</v>
      </c>
    </row>
    <row r="34" spans="1:5">
      <c r="A34" s="203">
        <v>41909</v>
      </c>
      <c r="B34" s="204" t="s">
        <v>299</v>
      </c>
      <c r="C34" s="204" t="s">
        <v>275</v>
      </c>
      <c r="D34" s="204" t="e">
        <f>ADDRESS(ROW(#REF!),COLUMN(#REF!),4,1)</f>
        <v>#REF!</v>
      </c>
      <c r="E34" s="204" t="s">
        <v>300</v>
      </c>
    </row>
    <row r="35" spans="1:5" s="94" customFormat="1">
      <c r="A35" s="92">
        <v>41801</v>
      </c>
      <c r="B35" s="93" t="s">
        <v>178</v>
      </c>
      <c r="C35" s="93" t="s">
        <v>189</v>
      </c>
      <c r="D35" s="93" t="s">
        <v>190</v>
      </c>
      <c r="E35" s="93" t="s">
        <v>191</v>
      </c>
    </row>
    <row r="36" spans="1:5" s="94" customFormat="1">
      <c r="A36" s="92">
        <v>41801</v>
      </c>
      <c r="B36" s="93" t="s">
        <v>178</v>
      </c>
      <c r="C36" s="93" t="s">
        <v>187</v>
      </c>
      <c r="D36" s="93" t="s">
        <v>182</v>
      </c>
      <c r="E36" s="93" t="s">
        <v>188</v>
      </c>
    </row>
    <row r="37" spans="1:5" s="94" customFormat="1">
      <c r="A37" s="92">
        <v>41801</v>
      </c>
      <c r="B37" s="93" t="s">
        <v>178</v>
      </c>
      <c r="C37" s="93" t="s">
        <v>180</v>
      </c>
      <c r="D37" s="93" t="s">
        <v>185</v>
      </c>
      <c r="E37" s="93" t="s">
        <v>186</v>
      </c>
    </row>
    <row r="38" spans="1:5" s="94" customFormat="1">
      <c r="A38" s="92">
        <v>41801</v>
      </c>
      <c r="B38" s="93" t="s">
        <v>178</v>
      </c>
      <c r="C38" s="93" t="s">
        <v>180</v>
      </c>
      <c r="D38" s="93" t="s">
        <v>183</v>
      </c>
      <c r="E38" s="93" t="s">
        <v>184</v>
      </c>
    </row>
    <row r="39" spans="1:5" s="94" customFormat="1">
      <c r="A39" s="92">
        <v>41801</v>
      </c>
      <c r="B39" s="93" t="s">
        <v>178</v>
      </c>
      <c r="C39" s="93" t="s">
        <v>180</v>
      </c>
      <c r="D39" s="93" t="s">
        <v>182</v>
      </c>
      <c r="E39" s="93" t="s">
        <v>181</v>
      </c>
    </row>
    <row r="40" spans="1:5" s="94" customFormat="1">
      <c r="A40" s="92">
        <v>41802</v>
      </c>
      <c r="B40" s="93" t="s">
        <v>201</v>
      </c>
      <c r="C40" s="93" t="s">
        <v>189</v>
      </c>
      <c r="D40" s="93" t="s">
        <v>203</v>
      </c>
      <c r="E40" s="93" t="s">
        <v>202</v>
      </c>
    </row>
    <row r="41" spans="1:5" s="94" customFormat="1">
      <c r="A41" s="92">
        <v>41802</v>
      </c>
      <c r="B41" s="93" t="s">
        <v>208</v>
      </c>
      <c r="C41" s="93" t="s">
        <v>189</v>
      </c>
      <c r="D41" s="94" t="s">
        <v>210</v>
      </c>
      <c r="E41" s="93" t="s">
        <v>209</v>
      </c>
    </row>
    <row r="42" spans="1:5" s="94" customFormat="1">
      <c r="A42" s="92">
        <v>41802</v>
      </c>
      <c r="B42" s="93" t="s">
        <v>208</v>
      </c>
      <c r="C42" s="93" t="s">
        <v>216</v>
      </c>
      <c r="D42" s="94" t="s">
        <v>217</v>
      </c>
      <c r="E42" s="93" t="s">
        <v>218</v>
      </c>
    </row>
    <row r="43" spans="1:5" s="94" customFormat="1">
      <c r="A43" s="92">
        <v>41827</v>
      </c>
      <c r="B43" s="93" t="s">
        <v>274</v>
      </c>
      <c r="C43" s="93" t="s">
        <v>275</v>
      </c>
      <c r="D43" s="93" t="s">
        <v>277</v>
      </c>
      <c r="E43" s="93" t="s">
        <v>276</v>
      </c>
    </row>
    <row r="44" spans="1:5" s="94" customFormat="1">
      <c r="A44" s="92">
        <v>41828</v>
      </c>
      <c r="B44" s="93" t="s">
        <v>208</v>
      </c>
      <c r="C44" s="93" t="s">
        <v>284</v>
      </c>
      <c r="D44" s="93"/>
      <c r="E44" s="93" t="s">
        <v>285</v>
      </c>
    </row>
    <row r="45" spans="1:5" s="94" customFormat="1">
      <c r="A45" s="203">
        <v>41828</v>
      </c>
      <c r="B45" s="204" t="s">
        <v>286</v>
      </c>
      <c r="C45" s="204" t="s">
        <v>287</v>
      </c>
      <c r="D45" s="204" t="s">
        <v>288</v>
      </c>
      <c r="E45" s="204" t="s">
        <v>289</v>
      </c>
    </row>
    <row r="46" spans="1:5" s="94" customFormat="1">
      <c r="A46" s="203">
        <v>41828</v>
      </c>
      <c r="B46" s="204" t="s">
        <v>286</v>
      </c>
      <c r="C46" s="204" t="s">
        <v>287</v>
      </c>
      <c r="D46" s="204" t="s">
        <v>290</v>
      </c>
      <c r="E46" s="204" t="s">
        <v>291</v>
      </c>
    </row>
    <row r="47" spans="1:5" s="94" customFormat="1">
      <c r="A47" s="203">
        <v>41828</v>
      </c>
      <c r="B47" s="204" t="s">
        <v>286</v>
      </c>
      <c r="C47" s="204" t="s">
        <v>287</v>
      </c>
      <c r="D47" s="204" t="s">
        <v>292</v>
      </c>
      <c r="E47" s="204" t="s">
        <v>293</v>
      </c>
    </row>
    <row r="48" spans="1:5">
      <c r="A48" s="92"/>
      <c r="B48" s="95"/>
      <c r="C48" s="95"/>
      <c r="D48" s="96"/>
      <c r="E48" s="95"/>
    </row>
    <row r="49" spans="1:5">
      <c r="A49" s="97"/>
      <c r="B49" s="95"/>
      <c r="C49" s="95"/>
      <c r="D49" s="98"/>
      <c r="E49" s="98"/>
    </row>
    <row r="50" spans="1:5">
      <c r="A50" s="97"/>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P29"/>
  <sheetViews>
    <sheetView workbookViewId="0">
      <selection activeCell="F11" sqref="F11:F12"/>
    </sheetView>
  </sheetViews>
  <sheetFormatPr defaultColWidth="8.44140625" defaultRowHeight="13.2"/>
  <cols>
    <col min="5" max="5" width="8.44140625" style="602"/>
  </cols>
  <sheetData>
    <row r="1" spans="1:16" ht="13.8">
      <c r="A1" s="508"/>
      <c r="B1" s="508"/>
      <c r="C1" s="508"/>
      <c r="D1" s="508"/>
      <c r="E1" s="508"/>
      <c r="F1" s="508"/>
      <c r="G1" s="508"/>
      <c r="H1" s="508"/>
      <c r="I1" s="508"/>
      <c r="J1" s="508"/>
    </row>
    <row r="2" spans="1:16" ht="13.8">
      <c r="A2" s="508"/>
      <c r="B2" s="509" t="s">
        <v>713</v>
      </c>
      <c r="C2" s="508"/>
      <c r="D2" s="508"/>
      <c r="E2" s="508"/>
      <c r="F2" s="508"/>
      <c r="G2" s="508"/>
      <c r="H2" s="508"/>
      <c r="I2" s="508"/>
      <c r="J2" s="508"/>
    </row>
    <row r="3" spans="1:16" ht="13.8">
      <c r="A3" s="508"/>
      <c r="B3" s="508"/>
      <c r="C3" s="508"/>
      <c r="D3" s="508"/>
      <c r="E3" s="508"/>
      <c r="F3" s="508"/>
      <c r="G3" s="508"/>
      <c r="H3" s="508"/>
      <c r="I3" s="508"/>
      <c r="J3" s="508"/>
    </row>
    <row r="4" spans="1:16" ht="13.8">
      <c r="A4" s="508"/>
      <c r="B4" s="510" t="s">
        <v>714</v>
      </c>
      <c r="C4" s="508"/>
      <c r="D4" s="508"/>
      <c r="E4" s="508"/>
      <c r="F4" s="508"/>
      <c r="G4" s="508"/>
      <c r="H4" s="508"/>
      <c r="I4" s="508"/>
      <c r="J4" s="508"/>
    </row>
    <row r="5" spans="1:16" ht="13.8">
      <c r="A5" s="508"/>
      <c r="B5" s="509" t="s">
        <v>715</v>
      </c>
      <c r="C5" s="508"/>
      <c r="D5" s="508"/>
      <c r="E5" s="508"/>
      <c r="F5" s="508"/>
      <c r="G5" s="508"/>
      <c r="H5" s="508"/>
      <c r="I5" s="508"/>
      <c r="J5" s="508"/>
    </row>
    <row r="6" spans="1:16" ht="13.8">
      <c r="A6" s="508"/>
      <c r="B6" s="509"/>
      <c r="C6" s="508"/>
      <c r="D6" s="508"/>
      <c r="E6" s="508"/>
      <c r="F6" s="508"/>
      <c r="G6" s="508"/>
      <c r="H6" s="508"/>
      <c r="I6" s="508"/>
      <c r="J6" s="508"/>
    </row>
    <row r="7" spans="1:16" ht="13.8">
      <c r="A7" s="508"/>
      <c r="B7" s="508"/>
      <c r="C7" s="508"/>
      <c r="D7" s="511" t="s">
        <v>716</v>
      </c>
      <c r="E7" s="511"/>
      <c r="F7" s="511" t="s">
        <v>49</v>
      </c>
      <c r="G7" s="511" t="s">
        <v>51</v>
      </c>
      <c r="H7" s="511" t="s">
        <v>50</v>
      </c>
      <c r="I7" s="511" t="s">
        <v>75</v>
      </c>
      <c r="J7" s="515" t="s">
        <v>56</v>
      </c>
      <c r="K7" s="538" t="s">
        <v>742</v>
      </c>
      <c r="L7" s="538" t="s">
        <v>743</v>
      </c>
    </row>
    <row r="8" spans="1:16" ht="14.4" thickBot="1">
      <c r="A8" s="508"/>
      <c r="B8" s="512" t="s">
        <v>717</v>
      </c>
      <c r="C8" s="513"/>
      <c r="D8" s="513" t="s">
        <v>380</v>
      </c>
      <c r="E8" s="1126"/>
      <c r="F8" s="513" t="s">
        <v>380</v>
      </c>
      <c r="G8" s="513" t="s">
        <v>380</v>
      </c>
      <c r="H8" s="513" t="s">
        <v>380</v>
      </c>
      <c r="I8" s="513" t="s">
        <v>380</v>
      </c>
      <c r="J8" s="516" t="s">
        <v>380</v>
      </c>
      <c r="K8" s="534" t="s">
        <v>380</v>
      </c>
      <c r="L8" s="534" t="s">
        <v>380</v>
      </c>
    </row>
    <row r="9" spans="1:16" ht="13.8">
      <c r="A9" s="508"/>
      <c r="B9" s="508"/>
      <c r="C9" s="508"/>
      <c r="D9" s="508"/>
      <c r="E9" s="508"/>
      <c r="F9" s="508"/>
      <c r="G9" s="508"/>
      <c r="H9" s="508"/>
      <c r="I9" s="508"/>
      <c r="J9" s="517"/>
      <c r="K9" s="518"/>
      <c r="L9" s="518"/>
    </row>
    <row r="10" spans="1:16" ht="13.8">
      <c r="A10" s="508"/>
      <c r="B10" s="508"/>
      <c r="C10" s="514" t="s">
        <v>728</v>
      </c>
      <c r="D10" s="508"/>
      <c r="E10" s="508"/>
      <c r="F10" s="508"/>
      <c r="G10" s="508"/>
      <c r="H10" s="508"/>
      <c r="I10" s="508"/>
      <c r="J10" s="517"/>
      <c r="K10" s="518"/>
      <c r="L10" s="518"/>
      <c r="M10" s="484"/>
      <c r="N10" s="484"/>
    </row>
    <row r="11" spans="1:16" ht="27.6">
      <c r="A11" s="508"/>
      <c r="B11" s="527" t="s">
        <v>1</v>
      </c>
      <c r="C11" s="528" t="s">
        <v>3</v>
      </c>
      <c r="D11" s="529" t="s">
        <v>729</v>
      </c>
      <c r="E11" s="1127" t="s">
        <v>1590</v>
      </c>
      <c r="F11" s="529" t="s">
        <v>730</v>
      </c>
      <c r="G11" s="529" t="s">
        <v>731</v>
      </c>
      <c r="H11" s="529" t="s">
        <v>732</v>
      </c>
      <c r="I11" s="529" t="s">
        <v>733</v>
      </c>
      <c r="J11" s="530" t="s">
        <v>734</v>
      </c>
      <c r="K11" s="535" t="s">
        <v>735</v>
      </c>
      <c r="L11" s="535" t="s">
        <v>736</v>
      </c>
      <c r="M11" s="531"/>
      <c r="N11" s="531"/>
    </row>
    <row r="12" spans="1:16" ht="13.8">
      <c r="A12" s="508"/>
      <c r="B12" s="508"/>
      <c r="C12" s="508" t="s">
        <v>213</v>
      </c>
      <c r="D12" s="532">
        <v>56.95</v>
      </c>
      <c r="E12" s="532">
        <f>H12</f>
        <v>79.28</v>
      </c>
      <c r="F12" s="532">
        <v>94.6</v>
      </c>
      <c r="G12" s="532">
        <v>74</v>
      </c>
      <c r="H12" s="532">
        <v>79.28</v>
      </c>
      <c r="I12" s="533">
        <v>63.1</v>
      </c>
      <c r="J12" s="484"/>
      <c r="K12" s="518"/>
      <c r="L12" s="518"/>
      <c r="M12" s="484"/>
      <c r="N12" s="484"/>
    </row>
    <row r="13" spans="1:16" ht="13.8">
      <c r="A13" s="508"/>
      <c r="B13" s="508"/>
      <c r="C13" s="508" t="s">
        <v>718</v>
      </c>
      <c r="D13" s="508"/>
      <c r="E13" s="508"/>
      <c r="F13" s="508"/>
      <c r="G13" s="508"/>
      <c r="H13" s="508"/>
      <c r="I13" s="508"/>
      <c r="J13" s="532">
        <v>0</v>
      </c>
      <c r="K13" s="518"/>
      <c r="L13" s="518"/>
      <c r="M13" s="484"/>
      <c r="N13" s="484"/>
    </row>
    <row r="14" spans="1:16" ht="13.8">
      <c r="A14" s="508"/>
      <c r="B14" s="508"/>
      <c r="C14" s="537" t="s">
        <v>741</v>
      </c>
      <c r="K14">
        <v>0</v>
      </c>
      <c r="L14">
        <v>0</v>
      </c>
      <c r="M14" s="484"/>
      <c r="N14" s="484" t="s">
        <v>1613</v>
      </c>
      <c r="P14" t="s">
        <v>1612</v>
      </c>
    </row>
    <row r="15" spans="1:16" ht="13.8">
      <c r="A15" s="508"/>
      <c r="B15" s="508"/>
      <c r="C15" s="508"/>
      <c r="D15" s="508"/>
      <c r="E15" s="508"/>
      <c r="F15" s="508"/>
      <c r="G15" s="508"/>
      <c r="H15" s="508"/>
      <c r="I15" s="508"/>
      <c r="J15" s="508"/>
      <c r="K15" s="518"/>
      <c r="L15" s="518"/>
      <c r="M15" s="484"/>
      <c r="N15" s="484"/>
    </row>
    <row r="16" spans="1:16" ht="14.4">
      <c r="A16" s="508"/>
      <c r="B16" s="508"/>
      <c r="D16" s="508"/>
      <c r="E16" s="508"/>
      <c r="F16" s="508"/>
      <c r="G16" s="508"/>
      <c r="H16" s="508"/>
      <c r="I16" s="508"/>
      <c r="J16" s="508"/>
      <c r="K16" s="536"/>
      <c r="L16" s="536"/>
    </row>
    <row r="17" spans="1:13" ht="14.4">
      <c r="A17" s="508"/>
      <c r="B17" s="508"/>
      <c r="C17" s="508"/>
      <c r="K17" s="536"/>
      <c r="L17" s="536">
        <v>55</v>
      </c>
      <c r="M17" t="s">
        <v>1610</v>
      </c>
    </row>
    <row r="18" spans="1:13" ht="13.8">
      <c r="A18" s="508"/>
      <c r="B18" s="508"/>
      <c r="C18" s="508"/>
      <c r="L18">
        <v>42</v>
      </c>
      <c r="M18" t="s">
        <v>1611</v>
      </c>
    </row>
    <row r="19" spans="1:13" ht="13.8">
      <c r="A19" s="508"/>
      <c r="B19" s="508"/>
      <c r="C19" s="508"/>
    </row>
    <row r="20" spans="1:13" ht="13.8">
      <c r="A20" s="508"/>
      <c r="B20" s="508"/>
      <c r="C20" s="508"/>
    </row>
    <row r="21" spans="1:13" ht="13.8">
      <c r="A21" s="508"/>
      <c r="B21" s="508"/>
      <c r="C21" s="508"/>
    </row>
    <row r="22" spans="1:13" ht="13.8">
      <c r="A22" s="508"/>
      <c r="B22" s="508"/>
      <c r="C22" s="508"/>
    </row>
    <row r="23" spans="1:13" ht="13.8">
      <c r="A23" s="508"/>
      <c r="B23" s="508"/>
      <c r="C23" s="508"/>
    </row>
    <row r="24" spans="1:13" ht="13.8">
      <c r="A24" s="508"/>
      <c r="B24" s="508"/>
      <c r="C24" s="508"/>
    </row>
    <row r="25" spans="1:13" ht="13.8">
      <c r="A25" s="508"/>
      <c r="B25" s="508"/>
      <c r="C25" s="508"/>
    </row>
    <row r="26" spans="1:13" ht="13.8">
      <c r="A26" s="508"/>
      <c r="B26" s="508"/>
      <c r="C26" s="508"/>
    </row>
    <row r="27" spans="1:13" ht="13.8">
      <c r="A27" s="508"/>
    </row>
    <row r="28" spans="1:13" ht="13.8">
      <c r="A28" s="508"/>
    </row>
    <row r="29" spans="1:13" ht="13.8">
      <c r="A29" s="508"/>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theme="9" tint="0.39997558519241921"/>
  </sheetPr>
  <dimension ref="A1:AV177"/>
  <sheetViews>
    <sheetView topLeftCell="A16" zoomScale="85" zoomScaleNormal="85" workbookViewId="0">
      <selection activeCell="F23" sqref="F23"/>
    </sheetView>
  </sheetViews>
  <sheetFormatPr defaultColWidth="3.77734375" defaultRowHeight="14.4"/>
  <cols>
    <col min="1" max="1" width="26" style="1239" customWidth="1"/>
    <col min="2" max="2" width="3.77734375" style="1239"/>
    <col min="3" max="24" width="6" style="1239" customWidth="1"/>
    <col min="25" max="33" width="5.21875" style="1239" customWidth="1"/>
    <col min="34" max="16384" width="3.77734375" style="1239"/>
  </cols>
  <sheetData>
    <row r="1" spans="1:48">
      <c r="A1" s="1239" t="s">
        <v>2131</v>
      </c>
      <c r="B1" s="1246"/>
      <c r="C1" s="1246"/>
      <c r="D1" s="1246"/>
      <c r="E1" s="1246"/>
      <c r="F1" s="1246"/>
      <c r="G1" s="1246"/>
      <c r="H1" s="1246"/>
      <c r="I1" s="1246"/>
      <c r="J1" s="1246"/>
      <c r="K1" s="1246"/>
      <c r="L1" s="1246"/>
      <c r="M1" s="1246"/>
      <c r="N1" s="1246"/>
      <c r="O1" s="1246"/>
      <c r="P1" s="1246"/>
      <c r="Q1" s="1246"/>
      <c r="R1" s="1246"/>
      <c r="S1" s="1246"/>
      <c r="Y1" s="1244"/>
      <c r="Z1" s="1244"/>
      <c r="AA1" s="1244"/>
      <c r="AB1" s="1244"/>
      <c r="AC1" s="1244"/>
      <c r="AD1" s="1244"/>
      <c r="AE1" s="1244"/>
      <c r="AF1" s="1244"/>
      <c r="AG1" s="1244"/>
      <c r="AH1" s="1244"/>
      <c r="AI1" s="1244"/>
      <c r="AJ1" s="1244"/>
      <c r="AK1" s="1244"/>
      <c r="AL1" s="1244"/>
      <c r="AM1" s="1244"/>
      <c r="AN1" s="1244"/>
      <c r="AO1" s="1244"/>
      <c r="AP1" s="1244"/>
      <c r="AQ1" s="1244"/>
      <c r="AR1" s="1244"/>
      <c r="AS1" s="1244"/>
      <c r="AT1" s="1244"/>
      <c r="AU1" s="1244"/>
      <c r="AV1" s="1244"/>
    </row>
    <row r="2" spans="1:48">
      <c r="A2" s="1239" t="s">
        <v>2130</v>
      </c>
      <c r="B2" s="1246"/>
      <c r="C2" s="1246"/>
      <c r="D2" s="1246"/>
      <c r="E2" s="1246"/>
      <c r="F2" s="1246"/>
      <c r="G2" s="1246"/>
      <c r="H2" s="1246"/>
      <c r="I2" s="1246"/>
      <c r="J2" s="1246"/>
      <c r="K2" s="1246"/>
      <c r="L2" s="1246"/>
      <c r="M2" s="1246"/>
      <c r="N2" s="1246"/>
      <c r="O2" s="1246"/>
      <c r="P2" s="1246"/>
      <c r="Q2" s="1246"/>
      <c r="R2" s="1246"/>
      <c r="S2" s="1246"/>
      <c r="Y2" s="1244"/>
      <c r="Z2" s="1244"/>
      <c r="AA2" s="1244"/>
      <c r="AB2" s="1244"/>
      <c r="AC2" s="1244"/>
      <c r="AD2" s="1244"/>
      <c r="AE2" s="1244"/>
      <c r="AF2" s="1244"/>
      <c r="AG2" s="1244"/>
      <c r="AH2" s="1244"/>
      <c r="AI2" s="1244"/>
      <c r="AJ2" s="1244"/>
      <c r="AK2" s="1244"/>
      <c r="AL2" s="1244"/>
      <c r="AM2" s="1244"/>
      <c r="AN2" s="1244"/>
      <c r="AO2" s="1244"/>
      <c r="AP2" s="1244"/>
      <c r="AQ2" s="1244"/>
      <c r="AR2" s="1244"/>
      <c r="AS2" s="1244"/>
      <c r="AT2" s="1244"/>
      <c r="AU2" s="1244"/>
      <c r="AV2" s="1244"/>
    </row>
    <row r="3" spans="1:48">
      <c r="A3" s="1239" t="s">
        <v>2129</v>
      </c>
      <c r="B3" s="1246"/>
      <c r="C3" s="1246"/>
      <c r="D3" s="1246"/>
      <c r="E3" s="1246"/>
      <c r="F3" s="1246"/>
      <c r="G3" s="1246"/>
      <c r="H3" s="1246"/>
      <c r="I3" s="1246"/>
      <c r="J3" s="1246"/>
      <c r="K3" s="1246"/>
      <c r="L3" s="1246"/>
      <c r="M3" s="1246"/>
      <c r="N3" s="1246"/>
      <c r="O3" s="1246"/>
      <c r="P3" s="1246"/>
      <c r="Q3" s="1246"/>
      <c r="R3" s="1246"/>
      <c r="S3" s="1246"/>
      <c r="Y3" s="1244"/>
      <c r="Z3" s="1244"/>
      <c r="AA3" s="1244"/>
      <c r="AB3" s="1244"/>
      <c r="AC3" s="1244"/>
      <c r="AD3" s="1244"/>
      <c r="AE3" s="1244"/>
      <c r="AF3" s="1244"/>
      <c r="AG3" s="1244"/>
      <c r="AH3" s="1244"/>
      <c r="AI3" s="1244"/>
      <c r="AJ3" s="1244"/>
      <c r="AK3" s="1244"/>
      <c r="AL3" s="1244"/>
      <c r="AM3" s="1244"/>
      <c r="AN3" s="1244"/>
      <c r="AO3" s="1244"/>
      <c r="AP3" s="1244"/>
      <c r="AQ3" s="1244"/>
      <c r="AR3" s="1244"/>
      <c r="AS3" s="1244"/>
      <c r="AT3" s="1244"/>
      <c r="AU3" s="1244"/>
      <c r="AV3" s="1244"/>
    </row>
    <row r="4" spans="1:48">
      <c r="B4" s="1246"/>
      <c r="C4" s="1246"/>
      <c r="D4" s="1246"/>
      <c r="E4" s="1246"/>
      <c r="F4" s="1246"/>
      <c r="G4" s="1246"/>
      <c r="H4" s="1246"/>
      <c r="I4" s="1246"/>
      <c r="J4" s="1246"/>
      <c r="K4" s="1246"/>
      <c r="L4" s="1246"/>
      <c r="M4" s="1246"/>
      <c r="N4" s="1246"/>
      <c r="O4" s="1246"/>
      <c r="P4" s="1246"/>
      <c r="Q4" s="1246"/>
      <c r="R4" s="1246"/>
      <c r="S4" s="1246"/>
      <c r="Y4" s="1244"/>
      <c r="Z4" s="1244"/>
      <c r="AA4" s="1244"/>
      <c r="AB4" s="1244"/>
      <c r="AC4" s="1244"/>
      <c r="AD4" s="1244"/>
      <c r="AE4" s="1244"/>
      <c r="AF4" s="1244"/>
      <c r="AG4" s="1244"/>
      <c r="AH4" s="1244"/>
      <c r="AI4" s="1244"/>
      <c r="AJ4" s="1244"/>
      <c r="AK4" s="1244"/>
      <c r="AL4" s="1244"/>
      <c r="AM4" s="1244"/>
      <c r="AN4" s="1244"/>
      <c r="AO4" s="1244"/>
      <c r="AP4" s="1244"/>
      <c r="AQ4" s="1244"/>
      <c r="AR4" s="1244"/>
      <c r="AS4" s="1244"/>
      <c r="AT4" s="1244"/>
      <c r="AU4" s="1244"/>
      <c r="AV4" s="1244"/>
    </row>
    <row r="5" spans="1:48">
      <c r="A5" s="1239" t="s">
        <v>2128</v>
      </c>
      <c r="B5" s="1246"/>
      <c r="C5" s="1246"/>
      <c r="D5" s="1246"/>
      <c r="E5" s="1246"/>
      <c r="F5" s="1246"/>
      <c r="G5" s="1246"/>
      <c r="H5" s="1246"/>
      <c r="I5" s="1246"/>
      <c r="J5" s="1246"/>
      <c r="K5" s="1246"/>
      <c r="L5" s="1246"/>
      <c r="M5" s="1246"/>
      <c r="N5" s="1246"/>
      <c r="O5" s="1246"/>
      <c r="P5" s="1246"/>
      <c r="Q5" s="1246"/>
      <c r="R5" s="1246"/>
      <c r="S5" s="1246"/>
      <c r="Y5" s="1244"/>
      <c r="Z5" s="1244"/>
      <c r="AA5" s="1244"/>
      <c r="AB5" s="1244"/>
      <c r="AC5" s="1244"/>
      <c r="AD5" s="1244"/>
      <c r="AE5" s="1244"/>
      <c r="AF5" s="1244"/>
      <c r="AG5" s="1244"/>
      <c r="AH5" s="1244"/>
      <c r="AI5" s="1244"/>
      <c r="AJ5" s="1244"/>
      <c r="AK5" s="1244"/>
      <c r="AL5" s="1244"/>
      <c r="AM5" s="1244"/>
      <c r="AN5" s="1244"/>
      <c r="AO5" s="1244"/>
      <c r="AP5" s="1244"/>
      <c r="AQ5" s="1244"/>
      <c r="AR5" s="1244"/>
      <c r="AS5" s="1244"/>
      <c r="AT5" s="1244"/>
      <c r="AU5" s="1244"/>
      <c r="AV5" s="1244"/>
    </row>
    <row r="6" spans="1:48">
      <c r="A6" s="1239" t="s">
        <v>2127</v>
      </c>
      <c r="B6" s="1246"/>
      <c r="C6" s="1246"/>
      <c r="D6" s="1246"/>
      <c r="E6" s="1246"/>
      <c r="F6" s="1246"/>
      <c r="G6" s="1246"/>
      <c r="H6" s="1246"/>
      <c r="I6" s="1246"/>
      <c r="J6" s="1246"/>
      <c r="K6" s="1246"/>
      <c r="L6" s="1246"/>
      <c r="M6" s="1246"/>
      <c r="N6" s="1246"/>
      <c r="O6" s="1246"/>
      <c r="P6" s="1246"/>
      <c r="Q6" s="1246"/>
      <c r="R6" s="1246"/>
      <c r="S6" s="1246"/>
      <c r="Y6" s="1244"/>
      <c r="Z6" s="1244"/>
      <c r="AA6" s="1244"/>
      <c r="AB6" s="1244"/>
      <c r="AC6" s="1244"/>
      <c r="AD6" s="1244"/>
      <c r="AE6" s="1244"/>
      <c r="AF6" s="1244"/>
      <c r="AG6" s="1244"/>
      <c r="AH6" s="1244"/>
      <c r="AI6" s="1244"/>
      <c r="AJ6" s="1244"/>
      <c r="AK6" s="1244"/>
      <c r="AL6" s="1244"/>
      <c r="AM6" s="1244"/>
      <c r="AN6" s="1244"/>
      <c r="AO6" s="1244"/>
      <c r="AP6" s="1244"/>
      <c r="AQ6" s="1244"/>
      <c r="AR6" s="1244"/>
      <c r="AS6" s="1244"/>
      <c r="AT6" s="1244"/>
      <c r="AU6" s="1244"/>
      <c r="AV6" s="1244"/>
    </row>
    <row r="7" spans="1:48">
      <c r="A7" s="1239" t="s">
        <v>2126</v>
      </c>
      <c r="B7" s="1246"/>
      <c r="C7" s="1246"/>
      <c r="D7" s="1246"/>
      <c r="E7" s="1246"/>
      <c r="F7" s="1246"/>
      <c r="G7" s="1246"/>
      <c r="H7" s="1246"/>
      <c r="I7" s="1246"/>
      <c r="J7" s="1246"/>
      <c r="K7" s="1246"/>
      <c r="L7" s="1246"/>
      <c r="M7" s="1246"/>
      <c r="N7" s="1246"/>
      <c r="O7" s="1246"/>
      <c r="P7" s="1246"/>
      <c r="Q7" s="1246"/>
      <c r="R7" s="1246"/>
      <c r="S7" s="1246"/>
      <c r="Y7" s="1244"/>
      <c r="Z7" s="1244"/>
      <c r="AA7" s="1244"/>
      <c r="AB7" s="1244"/>
      <c r="AC7" s="1244"/>
      <c r="AD7" s="1244"/>
      <c r="AE7" s="1244"/>
      <c r="AF7" s="1244"/>
      <c r="AG7" s="1244"/>
      <c r="AH7" s="1244"/>
      <c r="AI7" s="1244"/>
      <c r="AJ7" s="1244"/>
      <c r="AK7" s="1244"/>
      <c r="AL7" s="1244"/>
      <c r="AM7" s="1244"/>
      <c r="AN7" s="1244"/>
      <c r="AO7" s="1244"/>
      <c r="AP7" s="1244"/>
      <c r="AQ7" s="1244"/>
      <c r="AR7" s="1244"/>
      <c r="AS7" s="1244"/>
      <c r="AT7" s="1244"/>
      <c r="AU7" s="1244"/>
      <c r="AV7" s="1244"/>
    </row>
    <row r="8" spans="1:48">
      <c r="A8" s="1239" t="s">
        <v>2125</v>
      </c>
      <c r="B8" s="1246"/>
      <c r="C8" s="1246"/>
      <c r="D8" s="1246"/>
      <c r="E8" s="1246"/>
      <c r="F8" s="1246"/>
      <c r="G8" s="1246"/>
      <c r="H8" s="1246"/>
      <c r="I8" s="1246"/>
      <c r="J8" s="1246"/>
      <c r="K8" s="1246"/>
      <c r="L8" s="1246"/>
      <c r="M8" s="1246"/>
      <c r="N8" s="1246"/>
      <c r="O8" s="1246"/>
      <c r="P8" s="1246"/>
      <c r="Q8" s="1246"/>
      <c r="R8" s="1246"/>
      <c r="S8" s="1246"/>
      <c r="Y8" s="1244"/>
      <c r="Z8" s="1244"/>
      <c r="AA8" s="1244"/>
      <c r="AB8" s="1244"/>
      <c r="AC8" s="1244"/>
      <c r="AD8" s="1244"/>
      <c r="AE8" s="1244"/>
      <c r="AF8" s="1244"/>
      <c r="AG8" s="1244"/>
      <c r="AH8" s="1244"/>
      <c r="AI8" s="1244"/>
      <c r="AJ8" s="1244"/>
      <c r="AK8" s="1244"/>
      <c r="AL8" s="1244"/>
      <c r="AM8" s="1244"/>
      <c r="AN8" s="1244"/>
      <c r="AO8" s="1244"/>
      <c r="AP8" s="1244"/>
      <c r="AQ8" s="1244"/>
      <c r="AR8" s="1244"/>
      <c r="AS8" s="1244"/>
      <c r="AT8" s="1244"/>
      <c r="AU8" s="1244"/>
      <c r="AV8" s="1244"/>
    </row>
    <row r="9" spans="1:48">
      <c r="A9" s="1239" t="s">
        <v>2124</v>
      </c>
      <c r="B9" s="1246"/>
      <c r="C9" s="1246"/>
      <c r="D9" s="1246"/>
      <c r="E9" s="1246"/>
      <c r="F9" s="1246"/>
      <c r="G9" s="1246"/>
      <c r="H9" s="1246"/>
      <c r="I9" s="1246"/>
      <c r="J9" s="1246"/>
      <c r="K9" s="1246"/>
      <c r="L9" s="1246"/>
      <c r="M9" s="1246"/>
      <c r="N9" s="1246"/>
      <c r="O9" s="1246"/>
      <c r="P9" s="1246"/>
      <c r="Q9" s="1246"/>
      <c r="R9" s="1246"/>
      <c r="S9" s="1246"/>
      <c r="Y9" s="1244"/>
      <c r="Z9" s="1244"/>
      <c r="AA9" s="1244"/>
      <c r="AB9" s="1244"/>
      <c r="AC9" s="1244"/>
      <c r="AD9" s="1244"/>
      <c r="AE9" s="1244"/>
      <c r="AF9" s="1244"/>
      <c r="AG9" s="1244"/>
      <c r="AH9" s="1244"/>
      <c r="AI9" s="1244"/>
      <c r="AJ9" s="1244"/>
      <c r="AK9" s="1244"/>
      <c r="AL9" s="1244"/>
      <c r="AM9" s="1244"/>
      <c r="AN9" s="1244"/>
      <c r="AO9" s="1244"/>
      <c r="AP9" s="1244"/>
      <c r="AQ9" s="1244"/>
      <c r="AR9" s="1244"/>
      <c r="AS9" s="1244"/>
      <c r="AT9" s="1244"/>
      <c r="AU9" s="1244"/>
      <c r="AV9" s="1244"/>
    </row>
    <row r="10" spans="1:48">
      <c r="A10" s="1239" t="s">
        <v>1503</v>
      </c>
      <c r="B10" s="1246"/>
      <c r="C10" s="1246"/>
      <c r="D10" s="1246"/>
      <c r="E10" s="1246"/>
      <c r="F10" s="1246"/>
      <c r="G10" s="1246"/>
      <c r="H10" s="1246"/>
      <c r="I10" s="1246"/>
      <c r="J10" s="1246"/>
      <c r="K10" s="1246"/>
      <c r="L10" s="1246"/>
      <c r="M10" s="1246"/>
      <c r="N10" s="1246"/>
      <c r="O10" s="1246"/>
      <c r="P10" s="1246"/>
      <c r="Q10" s="1246"/>
      <c r="R10" s="1246"/>
      <c r="S10" s="1246"/>
      <c r="Y10" s="1244"/>
      <c r="Z10" s="1244"/>
      <c r="AA10" s="1244"/>
      <c r="AB10" s="1244"/>
      <c r="AC10" s="1244"/>
      <c r="AD10" s="1244"/>
      <c r="AE10" s="1244"/>
      <c r="AF10" s="1244"/>
      <c r="AG10" s="1244"/>
      <c r="AH10" s="1244"/>
      <c r="AI10" s="1244"/>
      <c r="AJ10" s="1244"/>
      <c r="AK10" s="1244"/>
      <c r="AL10" s="1244"/>
      <c r="AM10" s="1244"/>
      <c r="AN10" s="1244"/>
      <c r="AO10" s="1244"/>
      <c r="AP10" s="1244"/>
      <c r="AQ10" s="1244"/>
      <c r="AR10" s="1244"/>
      <c r="AS10" s="1244"/>
      <c r="AT10" s="1244"/>
      <c r="AU10" s="1244"/>
      <c r="AV10" s="1244"/>
    </row>
    <row r="11" spans="1:48">
      <c r="A11" s="1261" t="s">
        <v>2123</v>
      </c>
      <c r="B11" s="1246"/>
      <c r="C11" s="1246"/>
      <c r="D11" s="1246"/>
      <c r="E11" s="1246"/>
      <c r="F11" s="1246"/>
      <c r="G11" s="1246"/>
      <c r="H11" s="1246"/>
      <c r="I11" s="1246"/>
      <c r="J11" s="1246"/>
      <c r="K11" s="1246"/>
      <c r="L11" s="1246"/>
      <c r="M11" s="1246"/>
      <c r="N11" s="1246"/>
      <c r="O11" s="1246"/>
      <c r="P11" s="1246"/>
      <c r="Q11" s="1246"/>
      <c r="R11" s="1246"/>
      <c r="S11" s="1246"/>
      <c r="Y11" s="1244"/>
      <c r="Z11" s="1244"/>
      <c r="AA11" s="1244"/>
      <c r="AB11" s="1244"/>
      <c r="AC11" s="1244"/>
      <c r="AD11" s="1244"/>
      <c r="AE11" s="1244"/>
      <c r="AF11" s="1244"/>
      <c r="AG11" s="1244"/>
      <c r="AH11" s="1244"/>
      <c r="AI11" s="1244"/>
      <c r="AJ11" s="1244"/>
      <c r="AK11" s="1244"/>
      <c r="AL11" s="1244"/>
      <c r="AM11" s="1244"/>
      <c r="AN11" s="1244"/>
      <c r="AO11" s="1244"/>
      <c r="AP11" s="1244"/>
      <c r="AQ11" s="1244"/>
      <c r="AR11" s="1244"/>
      <c r="AS11" s="1244"/>
      <c r="AT11" s="1244"/>
      <c r="AU11" s="1244"/>
      <c r="AV11" s="1244"/>
    </row>
    <row r="12" spans="1:48">
      <c r="A12" s="1261" t="s">
        <v>2122</v>
      </c>
      <c r="B12" s="1246"/>
      <c r="C12" s="1246"/>
      <c r="D12" s="1246"/>
      <c r="E12" s="1246"/>
      <c r="F12" s="1246"/>
      <c r="G12" s="1246"/>
      <c r="H12" s="1246"/>
      <c r="I12" s="1246"/>
      <c r="J12" s="1246"/>
      <c r="K12" s="1246"/>
      <c r="L12" s="1246"/>
      <c r="M12" s="1246"/>
      <c r="N12" s="1246"/>
      <c r="O12" s="1246"/>
      <c r="P12" s="1246"/>
      <c r="Q12" s="1246"/>
      <c r="R12" s="1246"/>
      <c r="S12" s="1246"/>
      <c r="T12" s="1244"/>
      <c r="U12" s="1244"/>
      <c r="V12" s="1244"/>
      <c r="Y12" s="1244"/>
      <c r="Z12" s="1244"/>
      <c r="AA12" s="1244"/>
      <c r="AB12" s="1244"/>
      <c r="AC12" s="1244"/>
      <c r="AD12" s="1244"/>
      <c r="AE12" s="1244"/>
      <c r="AF12" s="1244"/>
      <c r="AG12" s="1244"/>
      <c r="AH12" s="1244"/>
      <c r="AI12" s="1244"/>
      <c r="AJ12" s="1244"/>
      <c r="AK12" s="1244"/>
      <c r="AL12" s="1244"/>
      <c r="AM12" s="1244"/>
      <c r="AN12" s="1244"/>
      <c r="AO12" s="1244"/>
      <c r="AP12" s="1244"/>
      <c r="AQ12" s="1244"/>
      <c r="AR12" s="1244"/>
      <c r="AS12" s="1244"/>
      <c r="AT12" s="1244"/>
      <c r="AU12" s="1244"/>
      <c r="AV12" s="1244"/>
    </row>
    <row r="13" spans="1:48">
      <c r="A13" s="1261" t="s">
        <v>2121</v>
      </c>
      <c r="B13" s="1246"/>
      <c r="C13" s="1246"/>
      <c r="D13" s="1246"/>
      <c r="E13" s="1246"/>
      <c r="F13" s="1246"/>
      <c r="G13" s="1246"/>
      <c r="H13" s="1246"/>
      <c r="I13" s="1246"/>
      <c r="J13" s="1246"/>
      <c r="K13" s="1246"/>
      <c r="L13" s="1246"/>
      <c r="M13" s="1246"/>
      <c r="N13" s="1246"/>
      <c r="O13" s="1246"/>
      <c r="P13" s="1246"/>
      <c r="Q13" s="1246"/>
      <c r="R13" s="1246"/>
      <c r="S13" s="1246"/>
      <c r="T13" s="1244"/>
      <c r="U13" s="1244"/>
      <c r="V13" s="1244"/>
      <c r="Y13" s="1244"/>
      <c r="Z13" s="1244"/>
      <c r="AA13" s="1244"/>
      <c r="AB13" s="1244"/>
      <c r="AC13" s="1244"/>
      <c r="AD13" s="1244"/>
      <c r="AE13" s="1244"/>
      <c r="AF13" s="1244"/>
      <c r="AG13" s="1244"/>
      <c r="AH13" s="1244"/>
      <c r="AI13" s="1244"/>
      <c r="AJ13" s="1244"/>
      <c r="AK13" s="1244"/>
      <c r="AL13" s="1244"/>
      <c r="AM13" s="1244"/>
      <c r="AN13" s="1244"/>
      <c r="AO13" s="1244"/>
      <c r="AP13" s="1244"/>
      <c r="AQ13" s="1244"/>
      <c r="AR13" s="1244"/>
      <c r="AS13" s="1244"/>
      <c r="AT13" s="1244"/>
      <c r="AU13" s="1244"/>
      <c r="AV13" s="1244"/>
    </row>
    <row r="14" spans="1:48">
      <c r="A14" s="1261" t="s">
        <v>2120</v>
      </c>
      <c r="B14" s="1246"/>
      <c r="C14" s="1246"/>
      <c r="D14" s="1246"/>
      <c r="E14" s="1246"/>
      <c r="F14" s="1246"/>
      <c r="G14" s="1246"/>
      <c r="H14" s="1246"/>
      <c r="I14" s="1246"/>
      <c r="J14" s="1246"/>
      <c r="K14" s="1246"/>
      <c r="L14" s="1246"/>
      <c r="M14" s="1246"/>
      <c r="N14" s="1246"/>
      <c r="O14" s="1246"/>
      <c r="P14" s="1246"/>
      <c r="Q14" s="1246"/>
      <c r="R14" s="1246"/>
      <c r="S14" s="1246"/>
      <c r="T14" s="1244"/>
      <c r="U14" s="1244"/>
      <c r="V14" s="1244"/>
      <c r="Y14" s="1244"/>
      <c r="Z14" s="1244"/>
      <c r="AA14" s="1244"/>
      <c r="AB14" s="1244"/>
      <c r="AC14" s="1244"/>
      <c r="AD14" s="1244"/>
      <c r="AE14" s="1244"/>
      <c r="AF14" s="1244"/>
      <c r="AG14" s="1244"/>
      <c r="AH14" s="1244"/>
      <c r="AI14" s="1244"/>
      <c r="AJ14" s="1244"/>
      <c r="AK14" s="1244"/>
      <c r="AL14" s="1244"/>
      <c r="AM14" s="1244"/>
      <c r="AN14" s="1244"/>
      <c r="AO14" s="1244"/>
      <c r="AP14" s="1244"/>
      <c r="AQ14" s="1244"/>
      <c r="AR14" s="1244"/>
      <c r="AS14" s="1244"/>
      <c r="AT14" s="1244"/>
      <c r="AU14" s="1244"/>
      <c r="AV14" s="1244"/>
    </row>
    <row r="15" spans="1:48">
      <c r="A15" s="1261"/>
      <c r="B15" s="1246"/>
      <c r="C15" s="1246"/>
      <c r="D15" s="1246"/>
      <c r="E15" s="1246"/>
      <c r="F15" s="1246"/>
      <c r="G15" s="1246"/>
      <c r="H15" s="1246"/>
      <c r="I15" s="1246"/>
      <c r="J15" s="1246"/>
      <c r="K15" s="1246"/>
      <c r="L15" s="1246"/>
      <c r="M15" s="1246"/>
      <c r="N15" s="1246"/>
      <c r="O15" s="1246"/>
      <c r="P15" s="1246"/>
      <c r="Q15" s="1246"/>
      <c r="R15" s="1246"/>
      <c r="S15" s="1246"/>
      <c r="T15" s="1244"/>
      <c r="U15" s="1244"/>
      <c r="V15" s="1244"/>
      <c r="Y15" s="1244"/>
      <c r="Z15" s="1244"/>
      <c r="AA15" s="1244"/>
      <c r="AB15" s="1244"/>
      <c r="AC15" s="1244"/>
      <c r="AD15" s="1244"/>
      <c r="AE15" s="1244"/>
      <c r="AF15" s="1244"/>
      <c r="AG15" s="1244"/>
      <c r="AH15" s="1244"/>
      <c r="AI15" s="1244"/>
      <c r="AJ15" s="1244"/>
      <c r="AK15" s="1244"/>
      <c r="AL15" s="1244"/>
      <c r="AM15" s="1244"/>
      <c r="AN15" s="1244"/>
      <c r="AO15" s="1244"/>
      <c r="AP15" s="1244"/>
      <c r="AQ15" s="1244"/>
      <c r="AR15" s="1244"/>
      <c r="AS15" s="1244"/>
      <c r="AT15" s="1244"/>
      <c r="AU15" s="1244"/>
      <c r="AV15" s="1244"/>
    </row>
    <row r="16" spans="1:48">
      <c r="B16" s="1246"/>
      <c r="C16" s="1246"/>
      <c r="D16" s="1246"/>
      <c r="E16" s="1246"/>
      <c r="F16" s="1246"/>
      <c r="G16" s="1246"/>
      <c r="H16" s="1246"/>
      <c r="I16" s="1246"/>
      <c r="J16" s="1246"/>
      <c r="K16" s="1246"/>
      <c r="L16" s="1246"/>
      <c r="M16" s="1246"/>
      <c r="N16" s="1246"/>
      <c r="O16" s="1246"/>
      <c r="P16" s="1246"/>
      <c r="Q16" s="1246"/>
      <c r="R16" s="1246"/>
      <c r="S16" s="1246"/>
      <c r="Y16" s="1244"/>
      <c r="Z16" s="1244"/>
      <c r="AA16" s="1244"/>
      <c r="AB16" s="1244"/>
      <c r="AC16" s="1244"/>
      <c r="AD16" s="1244"/>
      <c r="AE16" s="1244"/>
      <c r="AF16" s="1244"/>
      <c r="AG16" s="1244"/>
      <c r="AH16" s="1244"/>
      <c r="AI16" s="1244"/>
      <c r="AJ16" s="1244"/>
      <c r="AK16" s="1244"/>
      <c r="AL16" s="1244"/>
      <c r="AM16" s="1244"/>
      <c r="AN16" s="1244"/>
      <c r="AO16" s="1244"/>
      <c r="AP16" s="1244"/>
      <c r="AQ16" s="1244"/>
      <c r="AR16" s="1244"/>
      <c r="AS16" s="1244"/>
      <c r="AT16" s="1244"/>
      <c r="AU16" s="1244"/>
      <c r="AV16" s="1244"/>
    </row>
    <row r="17" spans="1:48">
      <c r="A17" s="1239" t="s">
        <v>2119</v>
      </c>
      <c r="B17" s="1246"/>
      <c r="C17" s="1246"/>
      <c r="D17" s="1246"/>
      <c r="E17" s="1246"/>
      <c r="F17" s="1246"/>
      <c r="G17" s="1246"/>
      <c r="H17" s="1246"/>
      <c r="I17" s="1246"/>
      <c r="J17" s="1246"/>
      <c r="K17" s="1246"/>
      <c r="L17" s="1246"/>
      <c r="M17" s="1246"/>
      <c r="N17" s="1246"/>
      <c r="O17" s="1246"/>
      <c r="P17" s="1246"/>
      <c r="Q17" s="1246"/>
      <c r="R17" s="1246"/>
      <c r="S17" s="1246"/>
      <c r="T17" s="1244"/>
      <c r="U17" s="1244"/>
      <c r="V17" s="1244"/>
      <c r="W17" s="1244"/>
      <c r="X17" s="1244"/>
      <c r="Y17" s="1244"/>
      <c r="Z17" s="1244"/>
      <c r="AA17" s="1244"/>
      <c r="AB17" s="1244"/>
      <c r="AC17" s="1244"/>
      <c r="AD17" s="1244"/>
      <c r="AE17" s="1244"/>
      <c r="AF17" s="1244"/>
      <c r="AG17" s="1244"/>
      <c r="AH17" s="1244"/>
      <c r="AI17" s="1244"/>
      <c r="AJ17" s="1244"/>
      <c r="AK17" s="1244"/>
      <c r="AL17" s="1244"/>
      <c r="AM17" s="1244"/>
      <c r="AN17" s="1244"/>
      <c r="AO17" s="1244"/>
      <c r="AP17" s="1244"/>
      <c r="AQ17" s="1244"/>
      <c r="AR17" s="1244"/>
      <c r="AS17" s="1244"/>
      <c r="AT17" s="1244"/>
      <c r="AU17" s="1244"/>
      <c r="AV17" s="1244"/>
    </row>
    <row r="18" spans="1:48">
      <c r="B18" s="1246"/>
      <c r="C18" s="1246"/>
      <c r="D18" s="1246" t="s">
        <v>2118</v>
      </c>
      <c r="E18" s="1246" t="s">
        <v>2117</v>
      </c>
      <c r="F18" s="1246" t="s">
        <v>2116</v>
      </c>
      <c r="G18" s="1246" t="s">
        <v>2115</v>
      </c>
      <c r="H18" s="1246" t="s">
        <v>2114</v>
      </c>
      <c r="I18" s="1239" t="s">
        <v>2113</v>
      </c>
      <c r="J18" s="1244" t="s">
        <v>2112</v>
      </c>
      <c r="K18" s="1239" t="s">
        <v>2111</v>
      </c>
      <c r="L18" s="1239" t="s">
        <v>2110</v>
      </c>
      <c r="M18" s="1239" t="s">
        <v>2109</v>
      </c>
      <c r="N18" s="1239" t="s">
        <v>2108</v>
      </c>
      <c r="O18" s="1239" t="s">
        <v>2107</v>
      </c>
      <c r="P18" s="1239" t="s">
        <v>2106</v>
      </c>
      <c r="Q18" s="1239" t="s">
        <v>2105</v>
      </c>
      <c r="R18" s="1239" t="s">
        <v>2104</v>
      </c>
      <c r="S18" s="1239" t="s">
        <v>893</v>
      </c>
      <c r="T18" s="1239" t="s">
        <v>2103</v>
      </c>
      <c r="U18" s="1239" t="s">
        <v>2102</v>
      </c>
      <c r="V18" s="1239" t="s">
        <v>2101</v>
      </c>
      <c r="W18" s="1239" t="s">
        <v>2100</v>
      </c>
      <c r="X18" s="1239" t="s">
        <v>2099</v>
      </c>
      <c r="Y18" s="1239" t="s">
        <v>2098</v>
      </c>
      <c r="Z18" s="1239" t="s">
        <v>2097</v>
      </c>
      <c r="AA18" s="1239" t="s">
        <v>2096</v>
      </c>
      <c r="AB18" s="1250" t="s">
        <v>2095</v>
      </c>
      <c r="AC18" s="1250" t="s">
        <v>2094</v>
      </c>
      <c r="AD18" s="1250" t="s">
        <v>2093</v>
      </c>
      <c r="AE18" s="1250" t="s">
        <v>2092</v>
      </c>
      <c r="AF18" s="1250" t="s">
        <v>2091</v>
      </c>
      <c r="AG18" s="1250" t="s">
        <v>2090</v>
      </c>
      <c r="AH18" s="1244"/>
      <c r="AI18" s="1244"/>
      <c r="AJ18" s="1244"/>
      <c r="AK18" s="1244"/>
      <c r="AL18" s="1244"/>
      <c r="AM18" s="1244"/>
      <c r="AN18" s="1244"/>
      <c r="AO18" s="1244"/>
      <c r="AP18" s="1244"/>
      <c r="AQ18" s="1244"/>
      <c r="AR18" s="1244"/>
      <c r="AS18" s="1244"/>
      <c r="AT18" s="1244"/>
      <c r="AU18" s="1244"/>
      <c r="AV18" s="1244"/>
    </row>
    <row r="19" spans="1:48">
      <c r="A19" s="1239">
        <v>2016</v>
      </c>
      <c r="B19" s="1246" t="s">
        <v>932</v>
      </c>
      <c r="C19" s="1246" t="s">
        <v>2118</v>
      </c>
      <c r="D19" s="1251"/>
      <c r="E19" s="1257"/>
      <c r="F19" s="1257"/>
      <c r="G19" s="1257"/>
      <c r="H19" s="1257"/>
      <c r="I19" s="1256"/>
      <c r="J19" s="1256"/>
      <c r="M19" s="1239">
        <v>1800</v>
      </c>
      <c r="Q19" s="1239">
        <v>2400</v>
      </c>
      <c r="R19" s="1255"/>
      <c r="S19" s="1255"/>
      <c r="T19" s="1255"/>
      <c r="U19" s="1255"/>
      <c r="V19" s="1255"/>
      <c r="X19" s="1253"/>
      <c r="Y19" s="1253"/>
      <c r="Z19" s="1253"/>
      <c r="AA19" s="1253"/>
      <c r="AB19" s="1250"/>
      <c r="AC19" s="1250"/>
      <c r="AD19" s="1250"/>
      <c r="AE19" s="1250"/>
      <c r="AF19" s="1250"/>
      <c r="AG19" s="1250"/>
      <c r="AH19" s="1244"/>
      <c r="AI19" s="1244"/>
      <c r="AJ19" s="1244"/>
      <c r="AK19" s="1244"/>
      <c r="AL19" s="1244"/>
      <c r="AM19" s="1244"/>
      <c r="AN19" s="1244"/>
      <c r="AO19" s="1244"/>
      <c r="AP19" s="1244"/>
      <c r="AQ19" s="1244"/>
      <c r="AR19" s="1244"/>
      <c r="AS19" s="1244"/>
      <c r="AT19" s="1244"/>
      <c r="AU19" s="1244"/>
      <c r="AV19" s="1244"/>
    </row>
    <row r="20" spans="1:48">
      <c r="A20" s="1239">
        <v>2016</v>
      </c>
      <c r="B20" s="1246" t="s">
        <v>932</v>
      </c>
      <c r="C20" s="1246" t="s">
        <v>2117</v>
      </c>
      <c r="D20" s="1257"/>
      <c r="E20" s="1251"/>
      <c r="F20" s="1260">
        <v>8634</v>
      </c>
      <c r="G20" s="1260">
        <v>3010</v>
      </c>
      <c r="H20" s="1260"/>
      <c r="I20" s="1254">
        <v>1500</v>
      </c>
      <c r="J20" s="1254"/>
      <c r="K20" s="1257"/>
      <c r="L20" s="1257"/>
      <c r="M20" s="1257"/>
      <c r="N20" s="1257"/>
      <c r="O20" s="1257"/>
      <c r="P20" s="1257"/>
      <c r="Q20" s="1257"/>
      <c r="R20" s="1254"/>
      <c r="S20" s="1254"/>
      <c r="T20" s="1254"/>
      <c r="U20" s="1254"/>
      <c r="V20" s="1254"/>
      <c r="W20" s="1257"/>
      <c r="X20" s="1254"/>
      <c r="Y20" s="1254"/>
      <c r="Z20" s="1254"/>
      <c r="AA20" s="1254">
        <v>600</v>
      </c>
      <c r="AB20" s="1250"/>
      <c r="AC20" s="1250"/>
      <c r="AD20" s="1250"/>
      <c r="AE20" s="1250"/>
      <c r="AF20" s="1250"/>
      <c r="AG20" s="1250"/>
      <c r="AH20" s="1244"/>
      <c r="AI20" s="1244"/>
      <c r="AJ20" s="1244"/>
      <c r="AK20" s="1244"/>
      <c r="AL20" s="1244"/>
      <c r="AM20" s="1244"/>
      <c r="AN20" s="1244"/>
      <c r="AO20" s="1244"/>
      <c r="AP20" s="1244"/>
      <c r="AQ20" s="1244"/>
      <c r="AR20" s="1244"/>
      <c r="AS20" s="1244"/>
      <c r="AT20" s="1244"/>
      <c r="AU20" s="1244"/>
      <c r="AV20" s="1244"/>
    </row>
    <row r="21" spans="1:48">
      <c r="A21" s="1239">
        <v>2016</v>
      </c>
      <c r="B21" s="1246" t="s">
        <v>932</v>
      </c>
      <c r="C21" s="1246" t="s">
        <v>2116</v>
      </c>
      <c r="D21" s="1257"/>
      <c r="E21" s="1260">
        <v>8634</v>
      </c>
      <c r="F21" s="1251"/>
      <c r="G21" s="1260">
        <v>6020</v>
      </c>
      <c r="H21" s="1260">
        <v>14416</v>
      </c>
      <c r="I21" s="1254"/>
      <c r="J21" s="1254"/>
      <c r="K21" s="1257"/>
      <c r="L21" s="1257"/>
      <c r="M21" s="1257"/>
      <c r="N21" s="1257"/>
      <c r="O21" s="1257"/>
      <c r="P21" s="1257"/>
      <c r="Q21" s="1257">
        <v>3900</v>
      </c>
      <c r="R21" s="1254"/>
      <c r="S21" s="1254"/>
      <c r="T21" s="1254"/>
      <c r="U21" s="1254"/>
      <c r="V21" s="1254"/>
      <c r="W21" s="1257"/>
      <c r="X21" s="1254"/>
      <c r="Y21" s="1254"/>
      <c r="Z21" s="1254"/>
      <c r="AA21" s="1254"/>
      <c r="AB21" s="1250"/>
      <c r="AC21" s="1250"/>
      <c r="AD21" s="1250"/>
      <c r="AE21" s="1250"/>
      <c r="AF21" s="1250"/>
      <c r="AG21" s="1250"/>
      <c r="AH21" s="1244"/>
      <c r="AI21" s="1244"/>
      <c r="AJ21" s="1244"/>
      <c r="AK21" s="1244"/>
      <c r="AL21" s="1244"/>
      <c r="AM21" s="1244"/>
      <c r="AN21" s="1244"/>
      <c r="AO21" s="1244"/>
      <c r="AP21" s="1244"/>
      <c r="AQ21" s="1244"/>
      <c r="AR21" s="1244"/>
      <c r="AS21" s="1244"/>
      <c r="AT21" s="1244"/>
      <c r="AU21" s="1244"/>
      <c r="AV21" s="1244"/>
    </row>
    <row r="22" spans="1:48">
      <c r="A22" s="1239">
        <v>2016</v>
      </c>
      <c r="B22" s="1246" t="s">
        <v>932</v>
      </c>
      <c r="C22" s="1246" t="s">
        <v>2115</v>
      </c>
      <c r="D22" s="1257"/>
      <c r="E22" s="1260">
        <v>3010</v>
      </c>
      <c r="F22" s="1260">
        <v>6020</v>
      </c>
      <c r="G22" s="1251"/>
      <c r="H22" s="1260">
        <v>3010</v>
      </c>
      <c r="I22" s="1254"/>
      <c r="J22" s="1254">
        <v>600</v>
      </c>
      <c r="K22" s="1257"/>
      <c r="L22" s="1257"/>
      <c r="M22" s="1257"/>
      <c r="N22" s="1257"/>
      <c r="O22" s="1257"/>
      <c r="P22" s="1257"/>
      <c r="Q22" s="1257"/>
      <c r="R22" s="1254"/>
      <c r="S22" s="1254"/>
      <c r="T22" s="1254"/>
      <c r="U22" s="1254"/>
      <c r="V22" s="1254"/>
      <c r="W22" s="1257">
        <v>500</v>
      </c>
      <c r="X22" s="1254"/>
      <c r="Y22" s="1254"/>
      <c r="Z22" s="1254"/>
      <c r="AA22" s="1254"/>
      <c r="AB22" s="1250"/>
      <c r="AC22" s="1250"/>
      <c r="AD22" s="1250"/>
      <c r="AE22" s="1250">
        <v>750</v>
      </c>
      <c r="AF22" s="1250"/>
      <c r="AG22" s="1250"/>
      <c r="AH22" s="1244"/>
      <c r="AI22" s="1244"/>
      <c r="AJ22" s="1244"/>
      <c r="AK22" s="1244"/>
      <c r="AL22" s="1244"/>
      <c r="AM22" s="1244"/>
      <c r="AN22" s="1244"/>
      <c r="AO22" s="1244"/>
      <c r="AP22" s="1244"/>
      <c r="AQ22" s="1244"/>
      <c r="AR22" s="1244"/>
      <c r="AS22" s="1244"/>
      <c r="AT22" s="1244"/>
      <c r="AU22" s="1244"/>
      <c r="AV22" s="1244"/>
    </row>
    <row r="23" spans="1:48">
      <c r="A23" s="1239">
        <v>2016</v>
      </c>
      <c r="B23" s="1246" t="s">
        <v>932</v>
      </c>
      <c r="C23" s="1246" t="s">
        <v>2114</v>
      </c>
      <c r="D23" s="1257"/>
      <c r="E23" s="1260"/>
      <c r="F23" s="1260">
        <v>14416</v>
      </c>
      <c r="G23" s="1260">
        <v>3010</v>
      </c>
      <c r="H23" s="1251"/>
      <c r="I23" s="1254"/>
      <c r="J23" s="1254"/>
      <c r="K23" s="1257"/>
      <c r="L23" s="1257"/>
      <c r="M23" s="1257">
        <v>2300</v>
      </c>
      <c r="N23" s="1257"/>
      <c r="O23" s="1257"/>
      <c r="P23" s="1257"/>
      <c r="Q23" s="1257"/>
      <c r="R23" s="1254"/>
      <c r="S23" s="1254"/>
      <c r="T23" s="1254"/>
      <c r="U23" s="1254"/>
      <c r="V23" s="1254"/>
      <c r="W23" s="1257"/>
      <c r="X23" s="1254"/>
      <c r="Y23" s="1254"/>
      <c r="Z23" s="1254"/>
      <c r="AA23" s="1254"/>
      <c r="AB23" s="1250"/>
      <c r="AC23" s="1250">
        <v>2700</v>
      </c>
      <c r="AD23" s="1250">
        <v>5000</v>
      </c>
      <c r="AE23" s="1250">
        <v>750</v>
      </c>
      <c r="AF23" s="1250"/>
      <c r="AG23" s="1250"/>
      <c r="AH23" s="1244"/>
      <c r="AI23" s="1244"/>
      <c r="AJ23" s="1244"/>
      <c r="AK23" s="1244"/>
      <c r="AL23" s="1244"/>
      <c r="AM23" s="1244"/>
      <c r="AN23" s="1244"/>
      <c r="AO23" s="1244"/>
      <c r="AP23" s="1244"/>
      <c r="AQ23" s="1244"/>
      <c r="AR23" s="1244"/>
      <c r="AS23" s="1244"/>
      <c r="AT23" s="1244"/>
      <c r="AU23" s="1244"/>
      <c r="AV23" s="1244"/>
    </row>
    <row r="24" spans="1:48">
      <c r="A24" s="1239">
        <v>2016</v>
      </c>
      <c r="B24" s="1246" t="s">
        <v>932</v>
      </c>
      <c r="C24" s="1246" t="s">
        <v>2113</v>
      </c>
      <c r="D24" s="1256"/>
      <c r="E24" s="1254">
        <v>1780</v>
      </c>
      <c r="F24" s="1254"/>
      <c r="G24" s="1254"/>
      <c r="H24" s="1254"/>
      <c r="I24" s="1251"/>
      <c r="J24" s="1259">
        <v>590</v>
      </c>
      <c r="K24" s="1256"/>
      <c r="L24" s="1256"/>
      <c r="M24" s="1256"/>
      <c r="N24" s="1256"/>
      <c r="O24" s="1256"/>
      <c r="P24" s="1256"/>
      <c r="Q24" s="1256"/>
      <c r="R24" s="1254"/>
      <c r="S24" s="1254">
        <v>1632</v>
      </c>
      <c r="T24" s="1254"/>
      <c r="U24" s="1254"/>
      <c r="V24" s="1254"/>
      <c r="W24" s="1256"/>
      <c r="X24" s="1254"/>
      <c r="Y24" s="1254"/>
      <c r="Z24" s="1254">
        <v>740</v>
      </c>
      <c r="AA24" s="1254"/>
      <c r="AB24" s="1250"/>
      <c r="AC24" s="1250"/>
      <c r="AD24" s="1250"/>
      <c r="AE24" s="1250"/>
      <c r="AF24" s="1250"/>
      <c r="AG24" s="1250"/>
      <c r="AH24" s="1244"/>
      <c r="AI24" s="1244"/>
      <c r="AJ24" s="1244"/>
      <c r="AK24" s="1244"/>
      <c r="AL24" s="1244"/>
      <c r="AM24" s="1244"/>
      <c r="AN24" s="1244"/>
      <c r="AO24" s="1244"/>
      <c r="AP24" s="1244"/>
      <c r="AQ24" s="1244"/>
      <c r="AR24" s="1244"/>
      <c r="AS24" s="1244"/>
      <c r="AT24" s="1244"/>
      <c r="AU24" s="1244"/>
      <c r="AV24" s="1244"/>
    </row>
    <row r="25" spans="1:48">
      <c r="A25" s="1239">
        <v>2016</v>
      </c>
      <c r="B25" s="1246" t="s">
        <v>932</v>
      </c>
      <c r="C25" s="1246" t="s">
        <v>2112</v>
      </c>
      <c r="D25" s="1256"/>
      <c r="E25" s="1254"/>
      <c r="F25" s="1254"/>
      <c r="G25" s="1254">
        <v>585</v>
      </c>
      <c r="H25" s="1254"/>
      <c r="I25" s="1259">
        <v>600</v>
      </c>
      <c r="J25" s="1251"/>
      <c r="K25" s="1256"/>
      <c r="L25" s="1256"/>
      <c r="M25" s="1256"/>
      <c r="N25" s="1256"/>
      <c r="O25" s="1256"/>
      <c r="P25" s="1256"/>
      <c r="Q25" s="1256"/>
      <c r="R25" s="1254"/>
      <c r="S25" s="1254"/>
      <c r="T25" s="1254"/>
      <c r="U25" s="1254"/>
      <c r="V25" s="1254"/>
      <c r="W25" s="1256"/>
      <c r="X25" s="1254"/>
      <c r="Y25" s="1254"/>
      <c r="Z25" s="1254"/>
      <c r="AA25" s="1254">
        <v>1700</v>
      </c>
      <c r="AB25" s="1250"/>
      <c r="AC25" s="1250"/>
      <c r="AD25" s="1250"/>
      <c r="AE25" s="1250"/>
      <c r="AF25" s="1250"/>
      <c r="AG25" s="1250"/>
      <c r="AH25" s="1244"/>
      <c r="AI25" s="1244"/>
      <c r="AJ25" s="1244"/>
      <c r="AK25" s="1244"/>
      <c r="AL25" s="1244"/>
      <c r="AM25" s="1244"/>
      <c r="AN25" s="1244"/>
      <c r="AO25" s="1244"/>
      <c r="AP25" s="1244"/>
      <c r="AQ25" s="1244"/>
      <c r="AR25" s="1244"/>
      <c r="AS25" s="1244"/>
      <c r="AT25" s="1244"/>
      <c r="AU25" s="1244"/>
      <c r="AV25" s="1244"/>
    </row>
    <row r="26" spans="1:48">
      <c r="A26" s="1239">
        <v>2016</v>
      </c>
      <c r="B26" s="1246" t="s">
        <v>932</v>
      </c>
      <c r="C26" s="1246" t="s">
        <v>2111</v>
      </c>
      <c r="E26" s="1257"/>
      <c r="F26" s="1257"/>
      <c r="G26" s="1257"/>
      <c r="H26" s="1257"/>
      <c r="I26" s="1256"/>
      <c r="J26" s="1256"/>
      <c r="K26" s="1251"/>
      <c r="L26" s="1239">
        <v>1016</v>
      </c>
      <c r="P26" s="1239">
        <v>1000</v>
      </c>
      <c r="R26" s="1255"/>
      <c r="S26" s="1255"/>
      <c r="T26" s="1255"/>
      <c r="U26" s="1255"/>
      <c r="V26" s="1255"/>
      <c r="X26" s="1253"/>
      <c r="Y26" s="1253"/>
      <c r="Z26" s="1253"/>
      <c r="AA26" s="1253"/>
      <c r="AB26" s="1250"/>
      <c r="AC26" s="1250"/>
      <c r="AD26" s="1250"/>
      <c r="AE26" s="1250"/>
      <c r="AF26" s="1250"/>
      <c r="AG26" s="1250"/>
      <c r="AH26" s="1244"/>
      <c r="AI26" s="1244"/>
      <c r="AJ26" s="1244"/>
      <c r="AK26" s="1244"/>
      <c r="AL26" s="1244"/>
      <c r="AM26" s="1244"/>
      <c r="AN26" s="1244"/>
      <c r="AO26" s="1244"/>
      <c r="AP26" s="1244"/>
      <c r="AQ26" s="1244"/>
      <c r="AR26" s="1244"/>
      <c r="AS26" s="1244"/>
      <c r="AT26" s="1244"/>
      <c r="AU26" s="1244"/>
      <c r="AV26" s="1244"/>
    </row>
    <row r="27" spans="1:48">
      <c r="A27" s="1239">
        <v>2016</v>
      </c>
      <c r="B27" s="1246" t="s">
        <v>932</v>
      </c>
      <c r="C27" s="1246" t="s">
        <v>2110</v>
      </c>
      <c r="E27" s="1257"/>
      <c r="F27" s="1257"/>
      <c r="G27" s="1257"/>
      <c r="H27" s="1257"/>
      <c r="I27" s="1256"/>
      <c r="J27" s="1256"/>
      <c r="K27" s="1239">
        <v>1016</v>
      </c>
      <c r="L27" s="1251"/>
      <c r="R27" s="1255"/>
      <c r="S27" s="1255"/>
      <c r="T27" s="1255"/>
      <c r="U27" s="1255"/>
      <c r="V27" s="1255"/>
      <c r="X27" s="1253">
        <v>1100</v>
      </c>
      <c r="Y27" s="1253"/>
      <c r="Z27" s="1253">
        <v>1200</v>
      </c>
      <c r="AA27" s="1253"/>
      <c r="AB27" s="1250"/>
      <c r="AC27" s="1250"/>
      <c r="AD27" s="1250"/>
      <c r="AE27" s="1250"/>
      <c r="AF27" s="1250"/>
      <c r="AG27" s="1250"/>
      <c r="AH27" s="1244"/>
      <c r="AI27" s="1244"/>
      <c r="AJ27" s="1244"/>
      <c r="AK27" s="1244"/>
      <c r="AL27" s="1244"/>
      <c r="AM27" s="1244"/>
      <c r="AN27" s="1244"/>
      <c r="AO27" s="1244"/>
      <c r="AP27" s="1244"/>
      <c r="AQ27" s="1244"/>
      <c r="AR27" s="1244"/>
      <c r="AS27" s="1244"/>
      <c r="AT27" s="1244"/>
      <c r="AU27" s="1244"/>
      <c r="AV27" s="1244"/>
    </row>
    <row r="28" spans="1:48">
      <c r="A28" s="1239">
        <v>2016</v>
      </c>
      <c r="B28" s="1246" t="s">
        <v>932</v>
      </c>
      <c r="C28" s="1246" t="s">
        <v>2109</v>
      </c>
      <c r="D28" s="1239">
        <v>3300</v>
      </c>
      <c r="E28" s="1257"/>
      <c r="F28" s="1257"/>
      <c r="G28" s="1257"/>
      <c r="H28" s="1257">
        <v>1800</v>
      </c>
      <c r="I28" s="1256"/>
      <c r="J28" s="1256"/>
      <c r="M28" s="1251"/>
      <c r="N28" s="1239">
        <v>2000</v>
      </c>
      <c r="R28" s="1255"/>
      <c r="S28" s="1255"/>
      <c r="T28" s="1255"/>
      <c r="U28" s="1255"/>
      <c r="V28" s="1255"/>
      <c r="X28" s="1253"/>
      <c r="Y28" s="1253"/>
      <c r="Z28" s="1253"/>
      <c r="AA28" s="1253"/>
      <c r="AB28" s="1250">
        <v>4400</v>
      </c>
      <c r="AC28" s="1250">
        <v>3150</v>
      </c>
      <c r="AD28" s="1250"/>
      <c r="AE28" s="1250"/>
      <c r="AF28" s="1250">
        <v>2600</v>
      </c>
      <c r="AG28" s="1250"/>
      <c r="AH28" s="1244"/>
      <c r="AI28" s="1244"/>
      <c r="AJ28" s="1244"/>
      <c r="AK28" s="1244"/>
      <c r="AL28" s="1244"/>
      <c r="AM28" s="1244"/>
      <c r="AN28" s="1244"/>
      <c r="AO28" s="1244"/>
      <c r="AP28" s="1244"/>
      <c r="AQ28" s="1244"/>
      <c r="AR28" s="1244"/>
      <c r="AS28" s="1244"/>
      <c r="AT28" s="1244"/>
      <c r="AU28" s="1244"/>
      <c r="AV28" s="1244"/>
    </row>
    <row r="29" spans="1:48">
      <c r="A29" s="1239">
        <v>2016</v>
      </c>
      <c r="B29" s="1246" t="s">
        <v>932</v>
      </c>
      <c r="C29" s="1246" t="s">
        <v>2108</v>
      </c>
      <c r="E29" s="1257"/>
      <c r="F29" s="1257"/>
      <c r="G29" s="1257"/>
      <c r="H29" s="1257"/>
      <c r="I29" s="1256"/>
      <c r="J29" s="1256"/>
      <c r="M29" s="1239">
        <v>2000</v>
      </c>
      <c r="N29" s="1251"/>
      <c r="Q29" s="1239">
        <v>1000</v>
      </c>
      <c r="R29" s="1255"/>
      <c r="S29" s="1255"/>
      <c r="T29" s="1255"/>
      <c r="U29" s="1255"/>
      <c r="V29" s="1255"/>
      <c r="X29" s="1253"/>
      <c r="Y29" s="1253"/>
      <c r="Z29" s="1253"/>
      <c r="AA29" s="1253"/>
      <c r="AB29" s="1250"/>
      <c r="AC29" s="1250"/>
      <c r="AD29" s="1250"/>
      <c r="AE29" s="1250"/>
      <c r="AF29" s="1250"/>
      <c r="AG29" s="1250"/>
      <c r="AH29" s="1244"/>
      <c r="AI29" s="1244"/>
      <c r="AJ29" s="1244"/>
      <c r="AK29" s="1244"/>
      <c r="AL29" s="1244"/>
      <c r="AM29" s="1244"/>
      <c r="AN29" s="1244"/>
      <c r="AO29" s="1244"/>
      <c r="AP29" s="1244"/>
      <c r="AQ29" s="1244"/>
      <c r="AR29" s="1244"/>
      <c r="AS29" s="1244"/>
      <c r="AT29" s="1244"/>
      <c r="AU29" s="1244"/>
      <c r="AV29" s="1244"/>
    </row>
    <row r="30" spans="1:48">
      <c r="A30" s="1239">
        <v>2016</v>
      </c>
      <c r="B30" s="1246" t="s">
        <v>932</v>
      </c>
      <c r="C30" s="1246" t="s">
        <v>2107</v>
      </c>
      <c r="E30" s="1257"/>
      <c r="F30" s="1257"/>
      <c r="G30" s="1257"/>
      <c r="H30" s="1257"/>
      <c r="I30" s="1256"/>
      <c r="J30" s="1256"/>
      <c r="O30" s="1251"/>
      <c r="P30" s="1239">
        <v>684</v>
      </c>
      <c r="R30" s="1255"/>
      <c r="S30" s="1255"/>
      <c r="T30" s="1255"/>
      <c r="U30" s="1255"/>
      <c r="V30" s="1255"/>
      <c r="W30" s="1239">
        <v>500</v>
      </c>
      <c r="X30" s="1253"/>
      <c r="Y30" s="1253"/>
      <c r="Z30" s="1253"/>
      <c r="AA30" s="1253">
        <v>700</v>
      </c>
      <c r="AB30" s="1250"/>
      <c r="AC30" s="1250"/>
      <c r="AD30" s="1250"/>
      <c r="AE30" s="1250"/>
      <c r="AF30" s="1250"/>
      <c r="AG30" s="1250"/>
      <c r="AH30" s="1244"/>
      <c r="AI30" s="1244"/>
      <c r="AJ30" s="1244"/>
      <c r="AK30" s="1244"/>
      <c r="AL30" s="1244"/>
      <c r="AM30" s="1244"/>
      <c r="AN30" s="1244"/>
      <c r="AO30" s="1244"/>
      <c r="AP30" s="1244"/>
      <c r="AQ30" s="1244"/>
      <c r="AR30" s="1244"/>
      <c r="AS30" s="1244"/>
      <c r="AT30" s="1244"/>
      <c r="AU30" s="1244"/>
      <c r="AV30" s="1244"/>
    </row>
    <row r="31" spans="1:48">
      <c r="A31" s="1239">
        <v>2016</v>
      </c>
      <c r="B31" s="1246" t="s">
        <v>932</v>
      </c>
      <c r="C31" s="1246" t="s">
        <v>2106</v>
      </c>
      <c r="E31" s="1257"/>
      <c r="F31" s="1257"/>
      <c r="G31" s="1257"/>
      <c r="H31" s="1257"/>
      <c r="I31" s="1256"/>
      <c r="J31" s="1256"/>
      <c r="K31" s="1239">
        <v>879</v>
      </c>
      <c r="O31" s="1239">
        <v>1234</v>
      </c>
      <c r="P31" s="1251"/>
      <c r="R31" s="1255"/>
      <c r="S31" s="1255"/>
      <c r="T31" s="1255"/>
      <c r="U31" s="1255"/>
      <c r="V31" s="1255"/>
      <c r="X31" s="1253"/>
      <c r="Y31" s="1253"/>
      <c r="Z31" s="1253"/>
      <c r="AA31" s="1253"/>
      <c r="AB31" s="1250"/>
      <c r="AC31" s="1250"/>
      <c r="AD31" s="1250"/>
      <c r="AE31" s="1250"/>
      <c r="AF31" s="1250"/>
      <c r="AG31" s="1250"/>
      <c r="AH31" s="1244"/>
      <c r="AI31" s="1244"/>
      <c r="AJ31" s="1244"/>
      <c r="AK31" s="1244"/>
      <c r="AL31" s="1244"/>
      <c r="AM31" s="1244"/>
      <c r="AN31" s="1244"/>
      <c r="AO31" s="1244"/>
      <c r="AP31" s="1244"/>
      <c r="AQ31" s="1244"/>
      <c r="AR31" s="1244"/>
      <c r="AS31" s="1244"/>
      <c r="AT31" s="1244"/>
      <c r="AU31" s="1244"/>
      <c r="AV31" s="1244"/>
    </row>
    <row r="32" spans="1:48">
      <c r="A32" s="1239">
        <v>2016</v>
      </c>
      <c r="B32" s="1246" t="s">
        <v>932</v>
      </c>
      <c r="C32" s="1246" t="s">
        <v>2105</v>
      </c>
      <c r="D32" s="1239">
        <v>1400</v>
      </c>
      <c r="E32" s="1257"/>
      <c r="F32" s="1257">
        <v>3100</v>
      </c>
      <c r="G32" s="1257"/>
      <c r="H32" s="1257"/>
      <c r="I32" s="1256"/>
      <c r="J32" s="1256"/>
      <c r="N32" s="1239">
        <v>1000</v>
      </c>
      <c r="Q32" s="1251"/>
      <c r="R32" s="1255"/>
      <c r="S32" s="1255">
        <v>700</v>
      </c>
      <c r="T32" s="1255"/>
      <c r="U32" s="1255"/>
      <c r="V32" s="1255"/>
      <c r="X32" s="1253"/>
      <c r="Y32" s="1253"/>
      <c r="Z32" s="1253"/>
      <c r="AA32" s="1253"/>
      <c r="AB32" s="1250"/>
      <c r="AC32" s="1250"/>
      <c r="AD32" s="1250"/>
      <c r="AE32" s="1250"/>
      <c r="AF32" s="1250"/>
      <c r="AG32" s="1250"/>
      <c r="AH32" s="1244"/>
      <c r="AI32" s="1244"/>
      <c r="AJ32" s="1244"/>
      <c r="AK32" s="1244"/>
      <c r="AL32" s="1244"/>
      <c r="AM32" s="1244"/>
      <c r="AN32" s="1244"/>
      <c r="AO32" s="1244"/>
      <c r="AP32" s="1244"/>
      <c r="AQ32" s="1244"/>
      <c r="AR32" s="1244"/>
      <c r="AS32" s="1244"/>
      <c r="AT32" s="1244"/>
      <c r="AU32" s="1244"/>
      <c r="AV32" s="1244"/>
    </row>
    <row r="33" spans="1:48">
      <c r="A33" s="1239">
        <v>2016</v>
      </c>
      <c r="B33" s="1246" t="s">
        <v>932</v>
      </c>
      <c r="C33" s="1246" t="s">
        <v>2104</v>
      </c>
      <c r="D33" s="1255"/>
      <c r="E33" s="1254"/>
      <c r="F33" s="1254"/>
      <c r="G33" s="1254"/>
      <c r="H33" s="1254"/>
      <c r="I33" s="1254"/>
      <c r="J33" s="1254"/>
      <c r="K33" s="1255"/>
      <c r="L33" s="1255"/>
      <c r="M33" s="1255"/>
      <c r="N33" s="1255"/>
      <c r="O33" s="1255"/>
      <c r="P33" s="1255"/>
      <c r="Q33" s="1255"/>
      <c r="R33" s="1251"/>
      <c r="S33" s="1258">
        <v>2200</v>
      </c>
      <c r="T33" s="1258">
        <v>500</v>
      </c>
      <c r="U33" s="1258"/>
      <c r="V33" s="1258">
        <v>300</v>
      </c>
      <c r="W33" s="1255"/>
      <c r="X33" s="1254"/>
      <c r="Y33" s="1254"/>
      <c r="Z33" s="1254">
        <v>2145</v>
      </c>
      <c r="AA33" s="1254"/>
      <c r="AB33" s="1250"/>
      <c r="AC33" s="1250"/>
      <c r="AD33" s="1250"/>
      <c r="AE33" s="1250"/>
      <c r="AF33" s="1250"/>
      <c r="AG33" s="1250"/>
      <c r="AH33" s="1244"/>
      <c r="AI33" s="1244"/>
      <c r="AJ33" s="1244"/>
      <c r="AK33" s="1244"/>
      <c r="AL33" s="1244"/>
      <c r="AM33" s="1244"/>
      <c r="AN33" s="1244"/>
      <c r="AO33" s="1244"/>
      <c r="AP33" s="1244"/>
      <c r="AQ33" s="1244"/>
      <c r="AR33" s="1244"/>
      <c r="AS33" s="1244"/>
      <c r="AT33" s="1244"/>
      <c r="AU33" s="1244"/>
      <c r="AV33" s="1244"/>
    </row>
    <row r="34" spans="1:48">
      <c r="A34" s="1239">
        <v>2016</v>
      </c>
      <c r="B34" s="1246" t="s">
        <v>932</v>
      </c>
      <c r="C34" s="1246" t="s">
        <v>893</v>
      </c>
      <c r="D34" s="1255"/>
      <c r="E34" s="1254"/>
      <c r="F34" s="1254"/>
      <c r="G34" s="1254"/>
      <c r="H34" s="1254"/>
      <c r="I34" s="1254">
        <v>1632</v>
      </c>
      <c r="J34" s="1254"/>
      <c r="K34" s="1255"/>
      <c r="L34" s="1255"/>
      <c r="M34" s="1255"/>
      <c r="N34" s="1255"/>
      <c r="O34" s="1255"/>
      <c r="P34" s="1255"/>
      <c r="Q34" s="1255">
        <v>700</v>
      </c>
      <c r="R34" s="1258">
        <v>3500</v>
      </c>
      <c r="S34" s="1251"/>
      <c r="T34" s="1258"/>
      <c r="U34" s="1258"/>
      <c r="V34" s="1258">
        <v>500</v>
      </c>
      <c r="W34" s="1255"/>
      <c r="X34" s="1254"/>
      <c r="Y34" s="1254"/>
      <c r="Z34" s="1254"/>
      <c r="AA34" s="1254"/>
      <c r="AB34" s="1250"/>
      <c r="AC34" s="1250"/>
      <c r="AD34" s="1250"/>
      <c r="AE34" s="1250"/>
      <c r="AF34" s="1250"/>
      <c r="AG34" s="1250"/>
      <c r="AH34" s="1244"/>
      <c r="AI34" s="1244"/>
      <c r="AJ34" s="1244"/>
      <c r="AK34" s="1244"/>
      <c r="AL34" s="1244"/>
      <c r="AM34" s="1244"/>
      <c r="AN34" s="1244"/>
      <c r="AO34" s="1244"/>
      <c r="AP34" s="1244"/>
      <c r="AQ34" s="1244"/>
      <c r="AR34" s="1244"/>
      <c r="AS34" s="1244"/>
      <c r="AT34" s="1244"/>
      <c r="AU34" s="1244"/>
      <c r="AV34" s="1244"/>
    </row>
    <row r="35" spans="1:48">
      <c r="A35" s="1239">
        <v>2016</v>
      </c>
      <c r="B35" s="1246" t="s">
        <v>932</v>
      </c>
      <c r="C35" s="1246" t="s">
        <v>2103</v>
      </c>
      <c r="D35" s="1255"/>
      <c r="E35" s="1254"/>
      <c r="F35" s="1254"/>
      <c r="G35" s="1254"/>
      <c r="H35" s="1254"/>
      <c r="I35" s="1254"/>
      <c r="J35" s="1254"/>
      <c r="K35" s="1255"/>
      <c r="L35" s="1255"/>
      <c r="M35" s="1255"/>
      <c r="N35" s="1255"/>
      <c r="O35" s="1255"/>
      <c r="P35" s="1255"/>
      <c r="Q35" s="1255"/>
      <c r="R35" s="1258">
        <v>500</v>
      </c>
      <c r="S35" s="1258"/>
      <c r="T35" s="1251"/>
      <c r="U35" s="1258">
        <v>200</v>
      </c>
      <c r="V35" s="1258">
        <v>200</v>
      </c>
      <c r="W35" s="1255"/>
      <c r="X35" s="1254"/>
      <c r="Y35" s="1254">
        <v>600</v>
      </c>
      <c r="Z35" s="1254"/>
      <c r="AA35" s="1254"/>
      <c r="AB35" s="1250"/>
      <c r="AC35" s="1250"/>
      <c r="AD35" s="1250"/>
      <c r="AE35" s="1250"/>
      <c r="AF35" s="1250"/>
      <c r="AG35" s="1250"/>
      <c r="AH35" s="1244"/>
      <c r="AI35" s="1244"/>
      <c r="AJ35" s="1244"/>
      <c r="AK35" s="1244"/>
      <c r="AL35" s="1244"/>
      <c r="AM35" s="1244"/>
      <c r="AN35" s="1244"/>
      <c r="AO35" s="1244"/>
      <c r="AP35" s="1244"/>
      <c r="AQ35" s="1244"/>
      <c r="AR35" s="1244"/>
      <c r="AS35" s="1244"/>
      <c r="AT35" s="1244"/>
      <c r="AU35" s="1244"/>
      <c r="AV35" s="1244"/>
    </row>
    <row r="36" spans="1:48">
      <c r="A36" s="1239">
        <v>2016</v>
      </c>
      <c r="B36" s="1246" t="s">
        <v>932</v>
      </c>
      <c r="C36" s="1246" t="s">
        <v>2102</v>
      </c>
      <c r="D36" s="1255"/>
      <c r="E36" s="1254"/>
      <c r="F36" s="1254"/>
      <c r="G36" s="1254"/>
      <c r="H36" s="1254"/>
      <c r="I36" s="1254"/>
      <c r="J36" s="1254"/>
      <c r="K36" s="1255"/>
      <c r="L36" s="1255"/>
      <c r="M36" s="1255"/>
      <c r="N36" s="1255"/>
      <c r="O36" s="1255"/>
      <c r="P36" s="1255"/>
      <c r="Q36" s="1255"/>
      <c r="R36" s="1258"/>
      <c r="S36" s="1258"/>
      <c r="T36" s="1258">
        <v>1000</v>
      </c>
      <c r="U36" s="1251"/>
      <c r="V36" s="1258"/>
      <c r="W36" s="1255"/>
      <c r="X36" s="1254">
        <v>700</v>
      </c>
      <c r="Y36" s="1254">
        <v>250</v>
      </c>
      <c r="Z36" s="1254"/>
      <c r="AA36" s="1254"/>
      <c r="AB36" s="1250"/>
      <c r="AC36" s="1250"/>
      <c r="AD36" s="1250"/>
      <c r="AE36" s="1250"/>
      <c r="AF36" s="1250"/>
      <c r="AG36" s="1250"/>
      <c r="AH36" s="1244"/>
      <c r="AI36" s="1244"/>
      <c r="AJ36" s="1244"/>
      <c r="AK36" s="1244"/>
      <c r="AL36" s="1244"/>
      <c r="AM36" s="1244"/>
      <c r="AN36" s="1244"/>
      <c r="AO36" s="1244"/>
      <c r="AP36" s="1244"/>
      <c r="AQ36" s="1244"/>
      <c r="AR36" s="1244"/>
      <c r="AS36" s="1244"/>
      <c r="AT36" s="1244"/>
      <c r="AU36" s="1244"/>
      <c r="AV36" s="1244"/>
    </row>
    <row r="37" spans="1:48">
      <c r="A37" s="1239">
        <v>2016</v>
      </c>
      <c r="B37" s="1246" t="s">
        <v>932</v>
      </c>
      <c r="C37" s="1246" t="s">
        <v>2101</v>
      </c>
      <c r="D37" s="1255"/>
      <c r="E37" s="1254"/>
      <c r="F37" s="1254"/>
      <c r="G37" s="1254"/>
      <c r="H37" s="1254"/>
      <c r="I37" s="1254"/>
      <c r="J37" s="1254"/>
      <c r="K37" s="1255"/>
      <c r="L37" s="1255"/>
      <c r="M37" s="1255"/>
      <c r="N37" s="1255"/>
      <c r="O37" s="1255"/>
      <c r="P37" s="1255"/>
      <c r="Q37" s="1255"/>
      <c r="R37" s="1258">
        <v>3900</v>
      </c>
      <c r="S37" s="1258">
        <v>600</v>
      </c>
      <c r="T37" s="1258">
        <v>200</v>
      </c>
      <c r="U37" s="1258"/>
      <c r="V37" s="1251"/>
      <c r="W37" s="1255"/>
      <c r="X37" s="1253"/>
      <c r="Y37" s="1253"/>
      <c r="Z37" s="1253"/>
      <c r="AA37" s="1253"/>
      <c r="AB37" s="1250"/>
      <c r="AC37" s="1250"/>
      <c r="AD37" s="1250"/>
      <c r="AE37" s="1250"/>
      <c r="AF37" s="1250"/>
      <c r="AG37" s="1250"/>
      <c r="AH37" s="1244"/>
      <c r="AI37" s="1244"/>
      <c r="AJ37" s="1244"/>
      <c r="AK37" s="1244"/>
      <c r="AL37" s="1244"/>
      <c r="AM37" s="1244"/>
      <c r="AN37" s="1244"/>
      <c r="AO37" s="1244"/>
      <c r="AP37" s="1244"/>
      <c r="AQ37" s="1244"/>
      <c r="AR37" s="1244"/>
      <c r="AS37" s="1244"/>
      <c r="AT37" s="1244"/>
      <c r="AU37" s="1244"/>
      <c r="AV37" s="1244"/>
    </row>
    <row r="38" spans="1:48">
      <c r="A38" s="1239">
        <v>2016</v>
      </c>
      <c r="B38" s="1246" t="s">
        <v>932</v>
      </c>
      <c r="C38" s="1246" t="s">
        <v>2100</v>
      </c>
      <c r="E38" s="1257"/>
      <c r="F38" s="1257"/>
      <c r="G38" s="1257">
        <v>2500</v>
      </c>
      <c r="H38" s="1257"/>
      <c r="I38" s="1256"/>
      <c r="J38" s="1256"/>
      <c r="O38" s="1239">
        <v>500</v>
      </c>
      <c r="R38" s="1255"/>
      <c r="S38" s="1255"/>
      <c r="T38" s="1255"/>
      <c r="U38" s="1255"/>
      <c r="V38" s="1255"/>
      <c r="W38" s="1251"/>
      <c r="X38" s="1253"/>
      <c r="Y38" s="1253"/>
      <c r="Z38" s="1253"/>
      <c r="AA38" s="1253">
        <v>600</v>
      </c>
      <c r="AB38" s="1250"/>
      <c r="AC38" s="1250"/>
      <c r="AD38" s="1250"/>
      <c r="AE38" s="1250">
        <v>800</v>
      </c>
      <c r="AF38" s="1250"/>
      <c r="AG38" s="1250"/>
      <c r="AH38" s="1244"/>
      <c r="AI38" s="1244"/>
      <c r="AJ38" s="1244"/>
      <c r="AK38" s="1244"/>
      <c r="AL38" s="1244"/>
      <c r="AM38" s="1244"/>
      <c r="AN38" s="1244"/>
      <c r="AO38" s="1244"/>
      <c r="AP38" s="1244"/>
      <c r="AQ38" s="1244"/>
      <c r="AR38" s="1244"/>
      <c r="AS38" s="1244"/>
      <c r="AT38" s="1244"/>
      <c r="AU38" s="1244"/>
      <c r="AV38" s="1244"/>
    </row>
    <row r="39" spans="1:48">
      <c r="A39" s="1239">
        <v>2016</v>
      </c>
      <c r="B39" s="1246" t="s">
        <v>932</v>
      </c>
      <c r="C39" s="1246" t="s">
        <v>2099</v>
      </c>
      <c r="D39" s="1253"/>
      <c r="E39" s="1254"/>
      <c r="F39" s="1254"/>
      <c r="G39" s="1254"/>
      <c r="H39" s="1254"/>
      <c r="I39" s="1254"/>
      <c r="J39" s="1254"/>
      <c r="K39" s="1253"/>
      <c r="L39" s="1253">
        <v>1500</v>
      </c>
      <c r="M39" s="1253"/>
      <c r="N39" s="1253"/>
      <c r="O39" s="1253"/>
      <c r="P39" s="1253"/>
      <c r="Q39" s="1253"/>
      <c r="R39" s="1254"/>
      <c r="S39" s="1254"/>
      <c r="T39" s="1254"/>
      <c r="U39" s="1254">
        <v>600</v>
      </c>
      <c r="V39" s="1254"/>
      <c r="W39" s="1253"/>
      <c r="X39" s="1251"/>
      <c r="Y39" s="1252">
        <v>3300</v>
      </c>
      <c r="Z39" s="1252"/>
      <c r="AA39" s="1252"/>
      <c r="AB39" s="1250"/>
      <c r="AC39" s="1250"/>
      <c r="AD39" s="1250"/>
      <c r="AE39" s="1250"/>
      <c r="AF39" s="1250"/>
      <c r="AG39" s="1250"/>
      <c r="AH39" s="1244"/>
      <c r="AI39" s="1244"/>
      <c r="AJ39" s="1244"/>
      <c r="AK39" s="1244"/>
      <c r="AL39" s="1244"/>
      <c r="AM39" s="1244"/>
      <c r="AN39" s="1244"/>
      <c r="AO39" s="1244"/>
      <c r="AP39" s="1244"/>
      <c r="AQ39" s="1244"/>
      <c r="AR39" s="1244"/>
      <c r="AS39" s="1244"/>
      <c r="AT39" s="1244"/>
      <c r="AU39" s="1244"/>
      <c r="AV39" s="1244"/>
    </row>
    <row r="40" spans="1:48">
      <c r="A40" s="1239">
        <v>2016</v>
      </c>
      <c r="B40" s="1246" t="s">
        <v>932</v>
      </c>
      <c r="C40" s="1246" t="s">
        <v>2098</v>
      </c>
      <c r="D40" s="1253"/>
      <c r="E40" s="1254"/>
      <c r="F40" s="1254"/>
      <c r="G40" s="1254"/>
      <c r="H40" s="1254"/>
      <c r="I40" s="1254"/>
      <c r="J40" s="1254"/>
      <c r="K40" s="1253"/>
      <c r="L40" s="1253"/>
      <c r="M40" s="1253"/>
      <c r="N40" s="1253"/>
      <c r="O40" s="1253"/>
      <c r="P40" s="1253"/>
      <c r="Q40" s="1253"/>
      <c r="R40" s="1254"/>
      <c r="S40" s="1254"/>
      <c r="T40" s="1254">
        <v>1000</v>
      </c>
      <c r="U40" s="1254">
        <v>300</v>
      </c>
      <c r="V40" s="1254"/>
      <c r="W40" s="1253"/>
      <c r="X40" s="1252">
        <v>3300</v>
      </c>
      <c r="Y40" s="1251"/>
      <c r="Z40" s="1252">
        <v>7300</v>
      </c>
      <c r="AA40" s="1252"/>
      <c r="AB40" s="1250"/>
      <c r="AC40" s="1250"/>
      <c r="AD40" s="1250"/>
      <c r="AE40" s="1250"/>
      <c r="AF40" s="1250"/>
      <c r="AG40" s="1250"/>
      <c r="AH40" s="1244"/>
      <c r="AI40" s="1244"/>
      <c r="AJ40" s="1244"/>
      <c r="AK40" s="1244"/>
      <c r="AL40" s="1244"/>
      <c r="AM40" s="1244"/>
      <c r="AN40" s="1244"/>
      <c r="AO40" s="1244"/>
      <c r="AP40" s="1244"/>
      <c r="AQ40" s="1244"/>
      <c r="AR40" s="1244"/>
      <c r="AS40" s="1244"/>
      <c r="AT40" s="1244"/>
      <c r="AU40" s="1244"/>
      <c r="AV40" s="1244"/>
    </row>
    <row r="41" spans="1:48">
      <c r="A41" s="1239">
        <v>2016</v>
      </c>
      <c r="B41" s="1246" t="s">
        <v>932</v>
      </c>
      <c r="C41" s="1246" t="s">
        <v>2097</v>
      </c>
      <c r="D41" s="1253"/>
      <c r="E41" s="1254"/>
      <c r="F41" s="1254"/>
      <c r="G41" s="1254"/>
      <c r="H41" s="1254"/>
      <c r="I41" s="1254">
        <v>680</v>
      </c>
      <c r="J41" s="1254"/>
      <c r="K41" s="1253"/>
      <c r="L41" s="1253">
        <v>1200</v>
      </c>
      <c r="M41" s="1253"/>
      <c r="N41" s="1253"/>
      <c r="O41" s="1253"/>
      <c r="P41" s="1253"/>
      <c r="Q41" s="1253"/>
      <c r="R41" s="1254">
        <v>2095</v>
      </c>
      <c r="S41" s="1254"/>
      <c r="T41" s="1254"/>
      <c r="U41" s="1254"/>
      <c r="V41" s="1254"/>
      <c r="W41" s="1253"/>
      <c r="X41" s="1252"/>
      <c r="Y41" s="1252">
        <v>7300</v>
      </c>
      <c r="Z41" s="1251"/>
      <c r="AA41" s="1252">
        <v>5300</v>
      </c>
      <c r="AB41" s="1250"/>
      <c r="AC41" s="1250"/>
      <c r="AD41" s="1250"/>
      <c r="AE41" s="1250"/>
      <c r="AF41" s="1250"/>
      <c r="AG41" s="1250"/>
      <c r="AH41" s="1244"/>
      <c r="AI41" s="1244"/>
      <c r="AJ41" s="1244"/>
      <c r="AK41" s="1244"/>
      <c r="AL41" s="1244"/>
      <c r="AM41" s="1244"/>
      <c r="AN41" s="1244"/>
      <c r="AO41" s="1244"/>
      <c r="AP41" s="1244"/>
      <c r="AQ41" s="1244"/>
      <c r="AR41" s="1244"/>
      <c r="AS41" s="1244"/>
      <c r="AT41" s="1244"/>
      <c r="AU41" s="1244"/>
      <c r="AV41" s="1244"/>
    </row>
    <row r="42" spans="1:48">
      <c r="A42" s="1239">
        <v>2016</v>
      </c>
      <c r="B42" s="1246" t="s">
        <v>932</v>
      </c>
      <c r="C42" s="1246" t="s">
        <v>2096</v>
      </c>
      <c r="D42" s="1253"/>
      <c r="E42" s="1254">
        <v>600</v>
      </c>
      <c r="F42" s="1254"/>
      <c r="G42" s="1254"/>
      <c r="H42" s="1254"/>
      <c r="I42" s="1254"/>
      <c r="J42" s="1254">
        <v>1300</v>
      </c>
      <c r="K42" s="1253"/>
      <c r="L42" s="1253"/>
      <c r="M42" s="1253"/>
      <c r="N42" s="1253"/>
      <c r="O42" s="1253">
        <v>700</v>
      </c>
      <c r="P42" s="1253"/>
      <c r="Q42" s="1253"/>
      <c r="R42" s="1254"/>
      <c r="S42" s="1254"/>
      <c r="T42" s="1254"/>
      <c r="U42" s="1254"/>
      <c r="V42" s="1254"/>
      <c r="W42" s="1253">
        <v>600</v>
      </c>
      <c r="X42" s="1252"/>
      <c r="Y42" s="1252"/>
      <c r="Z42" s="1252">
        <v>2000</v>
      </c>
      <c r="AA42" s="1251"/>
      <c r="AB42" s="1250"/>
      <c r="AC42" s="1250"/>
      <c r="AD42" s="1250"/>
      <c r="AE42" s="1250"/>
      <c r="AF42" s="1250"/>
      <c r="AG42" s="1250"/>
      <c r="AH42" s="1244"/>
      <c r="AI42" s="1244"/>
      <c r="AJ42" s="1244"/>
      <c r="AK42" s="1244"/>
      <c r="AL42" s="1244"/>
      <c r="AM42" s="1244"/>
      <c r="AN42" s="1244"/>
      <c r="AO42" s="1244"/>
      <c r="AP42" s="1244"/>
      <c r="AQ42" s="1244"/>
      <c r="AR42" s="1244"/>
      <c r="AS42" s="1244"/>
      <c r="AT42" s="1244"/>
      <c r="AU42" s="1244"/>
      <c r="AV42" s="1244"/>
    </row>
    <row r="43" spans="1:48">
      <c r="A43" s="1239">
        <v>2016</v>
      </c>
      <c r="B43" s="1246" t="s">
        <v>932</v>
      </c>
      <c r="C43" s="1250" t="s">
        <v>2095</v>
      </c>
      <c r="D43" s="1250"/>
      <c r="E43" s="1250"/>
      <c r="F43" s="1250"/>
      <c r="G43" s="1250"/>
      <c r="H43" s="1250"/>
      <c r="I43" s="1250"/>
      <c r="J43" s="1250"/>
      <c r="K43" s="1250"/>
      <c r="L43" s="1250"/>
      <c r="M43" s="1250">
        <v>2310</v>
      </c>
      <c r="N43" s="1250"/>
      <c r="O43" s="1250"/>
      <c r="P43" s="1250"/>
      <c r="Q43" s="1250"/>
      <c r="R43" s="1250"/>
      <c r="S43" s="1250"/>
      <c r="T43" s="1250"/>
      <c r="U43" s="1250"/>
      <c r="V43" s="1250"/>
      <c r="W43" s="1250"/>
      <c r="X43" s="1250"/>
      <c r="Y43" s="1250"/>
      <c r="Z43" s="1250"/>
      <c r="AA43" s="1250"/>
      <c r="AB43" s="1249"/>
      <c r="AC43" s="1250">
        <v>1910</v>
      </c>
      <c r="AD43" s="1250">
        <v>235</v>
      </c>
      <c r="AE43" s="1250"/>
      <c r="AF43" s="1250"/>
      <c r="AG43" s="1250"/>
      <c r="AH43" s="1244"/>
      <c r="AI43" s="1244"/>
      <c r="AJ43" s="1244"/>
      <c r="AK43" s="1244"/>
      <c r="AL43" s="1244"/>
      <c r="AM43" s="1244"/>
      <c r="AN43" s="1244"/>
      <c r="AO43" s="1244"/>
      <c r="AP43" s="1244"/>
      <c r="AQ43" s="1244"/>
      <c r="AR43" s="1244"/>
      <c r="AS43" s="1244"/>
      <c r="AT43" s="1244"/>
      <c r="AU43" s="1244"/>
      <c r="AV43" s="1244"/>
    </row>
    <row r="44" spans="1:48">
      <c r="A44" s="1239">
        <v>2016</v>
      </c>
      <c r="B44" s="1246" t="s">
        <v>932</v>
      </c>
      <c r="C44" s="1250" t="s">
        <v>2094</v>
      </c>
      <c r="D44" s="1250"/>
      <c r="E44" s="1250"/>
      <c r="F44" s="1250"/>
      <c r="G44" s="1250"/>
      <c r="H44" s="1250">
        <v>4600</v>
      </c>
      <c r="I44" s="1250"/>
      <c r="J44" s="1250"/>
      <c r="K44" s="1250"/>
      <c r="L44" s="1250"/>
      <c r="M44" s="1250">
        <v>1300</v>
      </c>
      <c r="N44" s="1250"/>
      <c r="O44" s="1250"/>
      <c r="P44" s="1250"/>
      <c r="Q44" s="1250"/>
      <c r="R44" s="1250"/>
      <c r="S44" s="1250"/>
      <c r="T44" s="1250"/>
      <c r="U44" s="1250"/>
      <c r="V44" s="1250"/>
      <c r="W44" s="1250"/>
      <c r="X44" s="1250"/>
      <c r="Y44" s="1250"/>
      <c r="Z44" s="1250"/>
      <c r="AA44" s="1250"/>
      <c r="AB44" s="1250">
        <v>4240</v>
      </c>
      <c r="AC44" s="1249"/>
      <c r="AD44" s="1250">
        <v>1200</v>
      </c>
      <c r="AE44" s="1250"/>
      <c r="AF44" s="1250"/>
      <c r="AG44" s="1250"/>
      <c r="AH44" s="1244"/>
      <c r="AI44" s="1244"/>
      <c r="AJ44" s="1244"/>
      <c r="AK44" s="1244"/>
      <c r="AL44" s="1244"/>
      <c r="AM44" s="1244"/>
      <c r="AN44" s="1244"/>
      <c r="AO44" s="1244"/>
      <c r="AP44" s="1244"/>
      <c r="AQ44" s="1244"/>
      <c r="AR44" s="1244"/>
      <c r="AS44" s="1244"/>
      <c r="AT44" s="1244"/>
      <c r="AU44" s="1244"/>
      <c r="AV44" s="1244"/>
    </row>
    <row r="45" spans="1:48">
      <c r="A45" s="1239">
        <v>2016</v>
      </c>
      <c r="B45" s="1246" t="s">
        <v>932</v>
      </c>
      <c r="C45" s="1250" t="s">
        <v>2093</v>
      </c>
      <c r="D45" s="1250"/>
      <c r="E45" s="1250"/>
      <c r="F45" s="1250"/>
      <c r="G45" s="1250"/>
      <c r="H45" s="1250">
        <v>5000</v>
      </c>
      <c r="I45" s="1250"/>
      <c r="J45" s="1250"/>
      <c r="K45" s="1250"/>
      <c r="L45" s="1250"/>
      <c r="M45" s="1250"/>
      <c r="N45" s="1250"/>
      <c r="O45" s="1250"/>
      <c r="P45" s="1250"/>
      <c r="Q45" s="1250"/>
      <c r="R45" s="1250"/>
      <c r="S45" s="1250"/>
      <c r="T45" s="1250"/>
      <c r="U45" s="1250"/>
      <c r="V45" s="1250"/>
      <c r="W45" s="1250"/>
      <c r="X45" s="1250"/>
      <c r="Y45" s="1250"/>
      <c r="Z45" s="1250"/>
      <c r="AA45" s="1250"/>
      <c r="AB45" s="1250">
        <v>405</v>
      </c>
      <c r="AC45" s="1250">
        <v>1200</v>
      </c>
      <c r="AD45" s="1249"/>
      <c r="AE45" s="1250">
        <v>900</v>
      </c>
      <c r="AF45" s="1250"/>
      <c r="AG45" s="1250"/>
      <c r="AH45" s="1244"/>
      <c r="AI45" s="1244"/>
      <c r="AJ45" s="1244"/>
      <c r="AK45" s="1244"/>
      <c r="AL45" s="1244"/>
      <c r="AM45" s="1244"/>
      <c r="AN45" s="1244"/>
      <c r="AO45" s="1244"/>
      <c r="AP45" s="1244"/>
      <c r="AQ45" s="1244"/>
      <c r="AR45" s="1244"/>
      <c r="AS45" s="1244"/>
      <c r="AT45" s="1244"/>
      <c r="AU45" s="1244"/>
      <c r="AV45" s="1244"/>
    </row>
    <row r="46" spans="1:48">
      <c r="A46" s="1239">
        <v>2016</v>
      </c>
      <c r="B46" s="1246" t="s">
        <v>932</v>
      </c>
      <c r="C46" s="1250" t="s">
        <v>2092</v>
      </c>
      <c r="D46" s="1250"/>
      <c r="E46" s="1250"/>
      <c r="F46" s="1250"/>
      <c r="G46" s="1250">
        <v>1050</v>
      </c>
      <c r="H46" s="1250">
        <v>1050</v>
      </c>
      <c r="I46" s="1250"/>
      <c r="J46" s="1250"/>
      <c r="K46" s="1250"/>
      <c r="L46" s="1250"/>
      <c r="M46" s="1250"/>
      <c r="N46" s="1250"/>
      <c r="O46" s="1250"/>
      <c r="P46" s="1250"/>
      <c r="Q46" s="1250"/>
      <c r="R46" s="1250"/>
      <c r="S46" s="1250"/>
      <c r="T46" s="1250"/>
      <c r="U46" s="1250"/>
      <c r="V46" s="1250"/>
      <c r="W46" s="1250">
        <v>600</v>
      </c>
      <c r="X46" s="1250"/>
      <c r="Y46" s="1250"/>
      <c r="Z46" s="1250"/>
      <c r="AA46" s="1250"/>
      <c r="AB46" s="1250"/>
      <c r="AC46" s="1250"/>
      <c r="AD46" s="1250">
        <v>800</v>
      </c>
      <c r="AE46" s="1249"/>
      <c r="AF46" s="1250"/>
      <c r="AG46" s="1250"/>
      <c r="AH46" s="1244"/>
      <c r="AI46" s="1244"/>
      <c r="AJ46" s="1244"/>
      <c r="AK46" s="1244"/>
      <c r="AL46" s="1244"/>
      <c r="AM46" s="1244"/>
      <c r="AN46" s="1244"/>
      <c r="AO46" s="1244"/>
      <c r="AP46" s="1244"/>
      <c r="AQ46" s="1244"/>
      <c r="AR46" s="1244"/>
      <c r="AS46" s="1244"/>
      <c r="AT46" s="1244"/>
      <c r="AU46" s="1244"/>
      <c r="AV46" s="1244"/>
    </row>
    <row r="47" spans="1:48">
      <c r="A47" s="1239">
        <v>2016</v>
      </c>
      <c r="B47" s="1246" t="s">
        <v>932</v>
      </c>
      <c r="C47" s="1250" t="s">
        <v>2091</v>
      </c>
      <c r="D47" s="1250"/>
      <c r="E47" s="1250"/>
      <c r="F47" s="1250"/>
      <c r="G47" s="1250"/>
      <c r="H47" s="1250"/>
      <c r="I47" s="1250"/>
      <c r="J47" s="1250"/>
      <c r="K47" s="1250"/>
      <c r="L47" s="1250"/>
      <c r="M47" s="1250">
        <v>2700</v>
      </c>
      <c r="N47" s="1250"/>
      <c r="O47" s="1250"/>
      <c r="P47" s="1250"/>
      <c r="Q47" s="1250"/>
      <c r="R47" s="1250"/>
      <c r="S47" s="1250"/>
      <c r="T47" s="1250"/>
      <c r="U47" s="1250"/>
      <c r="V47" s="1250"/>
      <c r="W47" s="1250"/>
      <c r="X47" s="1250"/>
      <c r="Y47" s="1250"/>
      <c r="Z47" s="1250"/>
      <c r="AA47" s="1250"/>
      <c r="AB47" s="1250"/>
      <c r="AC47" s="1250"/>
      <c r="AD47" s="1250"/>
      <c r="AE47" s="1250"/>
      <c r="AF47" s="1249"/>
      <c r="AG47" s="1250">
        <v>3600</v>
      </c>
      <c r="AH47" s="1244"/>
      <c r="AI47" s="1244"/>
      <c r="AJ47" s="1244"/>
      <c r="AK47" s="1244"/>
      <c r="AL47" s="1244"/>
      <c r="AM47" s="1244"/>
      <c r="AN47" s="1244"/>
      <c r="AO47" s="1244"/>
      <c r="AP47" s="1244"/>
      <c r="AQ47" s="1244"/>
      <c r="AR47" s="1244"/>
      <c r="AS47" s="1244"/>
      <c r="AT47" s="1244"/>
      <c r="AU47" s="1244"/>
      <c r="AV47" s="1244"/>
    </row>
    <row r="48" spans="1:48">
      <c r="A48" s="1239">
        <v>2016</v>
      </c>
      <c r="B48" s="1246" t="s">
        <v>932</v>
      </c>
      <c r="C48" s="1250" t="s">
        <v>2090</v>
      </c>
      <c r="D48" s="1250"/>
      <c r="E48" s="1250"/>
      <c r="F48" s="1250"/>
      <c r="G48" s="1250"/>
      <c r="H48" s="1250"/>
      <c r="I48" s="1250"/>
      <c r="J48" s="1250"/>
      <c r="K48" s="1250"/>
      <c r="L48" s="1250"/>
      <c r="M48" s="1250"/>
      <c r="N48" s="1250"/>
      <c r="O48" s="1250"/>
      <c r="P48" s="1250"/>
      <c r="Q48" s="1250"/>
      <c r="R48" s="1250"/>
      <c r="S48" s="1250"/>
      <c r="T48" s="1250"/>
      <c r="U48" s="1250"/>
      <c r="V48" s="1250"/>
      <c r="W48" s="1250"/>
      <c r="X48" s="1250"/>
      <c r="Y48" s="1250"/>
      <c r="Z48" s="1250"/>
      <c r="AA48" s="1250"/>
      <c r="AB48" s="1250"/>
      <c r="AC48" s="1250"/>
      <c r="AD48" s="1250"/>
      <c r="AE48" s="1250"/>
      <c r="AF48" s="1250">
        <v>3000</v>
      </c>
      <c r="AG48" s="1249"/>
      <c r="AH48" s="1244"/>
      <c r="AI48" s="1244"/>
      <c r="AJ48" s="1244"/>
      <c r="AK48" s="1244"/>
      <c r="AL48" s="1244"/>
      <c r="AM48" s="1244"/>
      <c r="AN48" s="1244"/>
      <c r="AO48" s="1244"/>
      <c r="AP48" s="1244"/>
      <c r="AQ48" s="1244"/>
      <c r="AR48" s="1244"/>
      <c r="AS48" s="1244"/>
      <c r="AT48" s="1244"/>
      <c r="AU48" s="1244"/>
      <c r="AV48" s="1244"/>
    </row>
    <row r="49" spans="1:48">
      <c r="A49" s="1239" t="s">
        <v>1472</v>
      </c>
      <c r="B49" s="1246"/>
      <c r="C49" s="1246"/>
      <c r="L49" s="1248"/>
      <c r="R49" s="1248"/>
      <c r="S49" s="1248"/>
      <c r="T49" s="1248"/>
      <c r="U49" s="1248"/>
      <c r="X49" s="1248"/>
      <c r="Y49" s="1244"/>
      <c r="Z49" s="1244"/>
      <c r="AA49" s="1244"/>
      <c r="AB49" s="1244"/>
      <c r="AC49" s="1244"/>
      <c r="AD49" s="1244"/>
      <c r="AE49" s="1244"/>
      <c r="AF49" s="1244"/>
      <c r="AG49" s="1244"/>
      <c r="AH49" s="1244"/>
      <c r="AI49" s="1244"/>
      <c r="AJ49" s="1244"/>
      <c r="AK49" s="1244"/>
      <c r="AL49" s="1244"/>
      <c r="AM49" s="1244"/>
      <c r="AN49" s="1244"/>
      <c r="AO49" s="1244"/>
      <c r="AP49" s="1244"/>
      <c r="AQ49" s="1244"/>
      <c r="AR49" s="1244"/>
      <c r="AS49" s="1244"/>
      <c r="AT49" s="1244"/>
      <c r="AU49" s="1244"/>
      <c r="AV49" s="1244"/>
    </row>
    <row r="50" spans="1:48">
      <c r="A50" s="1239" t="s">
        <v>2089</v>
      </c>
      <c r="B50" s="1246"/>
      <c r="C50" s="1246"/>
      <c r="L50" s="1248"/>
      <c r="R50" s="1248"/>
      <c r="S50" s="1248"/>
      <c r="T50" s="1248"/>
      <c r="U50" s="1248"/>
      <c r="X50" s="1248"/>
      <c r="Y50" s="1244"/>
      <c r="Z50" s="1244"/>
      <c r="AA50" s="1244"/>
      <c r="AB50" s="1244"/>
      <c r="AC50" s="1244"/>
      <c r="AD50" s="1244"/>
      <c r="AE50" s="1244"/>
      <c r="AF50" s="1244"/>
      <c r="AG50" s="1244"/>
      <c r="AH50" s="1244"/>
      <c r="AI50" s="1244"/>
      <c r="AJ50" s="1244"/>
      <c r="AK50" s="1244"/>
      <c r="AL50" s="1244"/>
      <c r="AM50" s="1244"/>
      <c r="AN50" s="1244"/>
      <c r="AO50" s="1244"/>
      <c r="AP50" s="1244"/>
      <c r="AQ50" s="1244"/>
      <c r="AR50" s="1244"/>
      <c r="AS50" s="1244"/>
      <c r="AT50" s="1244"/>
      <c r="AU50" s="1244"/>
      <c r="AV50" s="1244"/>
    </row>
    <row r="51" spans="1:48">
      <c r="B51" s="1246"/>
      <c r="C51" s="1246"/>
      <c r="L51" s="1248"/>
      <c r="R51" s="1248"/>
      <c r="S51" s="1248"/>
      <c r="T51" s="1248"/>
      <c r="U51" s="1248"/>
      <c r="X51" s="1248"/>
      <c r="Y51" s="1244"/>
      <c r="Z51" s="1244"/>
      <c r="AA51" s="1244"/>
      <c r="AB51" s="1244"/>
      <c r="AC51" s="1244"/>
      <c r="AD51" s="1244"/>
      <c r="AE51" s="1244"/>
      <c r="AF51" s="1244"/>
      <c r="AG51" s="1244"/>
      <c r="AH51" s="1244"/>
      <c r="AI51" s="1244"/>
      <c r="AJ51" s="1244"/>
      <c r="AK51" s="1244"/>
      <c r="AL51" s="1244"/>
      <c r="AM51" s="1244"/>
      <c r="AN51" s="1244"/>
      <c r="AO51" s="1244"/>
      <c r="AP51" s="1244"/>
      <c r="AQ51" s="1244"/>
      <c r="AR51" s="1244"/>
      <c r="AS51" s="1244"/>
      <c r="AT51" s="1244"/>
      <c r="AU51" s="1244"/>
      <c r="AV51" s="1244"/>
    </row>
    <row r="52" spans="1:48">
      <c r="B52" s="1246"/>
      <c r="C52" s="1246"/>
      <c r="L52" s="1248"/>
      <c r="R52" s="1248"/>
      <c r="S52" s="1248"/>
      <c r="T52" s="1248"/>
      <c r="U52" s="1248"/>
      <c r="X52" s="1248"/>
      <c r="Y52" s="1244"/>
      <c r="Z52" s="1244"/>
      <c r="AA52" s="1244"/>
      <c r="AB52" s="1244"/>
      <c r="AC52" s="1244"/>
      <c r="AD52" s="1244"/>
      <c r="AE52" s="1244"/>
      <c r="AF52" s="1244"/>
      <c r="AG52" s="1244"/>
      <c r="AH52" s="1244"/>
      <c r="AI52" s="1244"/>
      <c r="AJ52" s="1244"/>
      <c r="AK52" s="1244"/>
      <c r="AL52" s="1244"/>
      <c r="AM52" s="1244"/>
      <c r="AN52" s="1244"/>
      <c r="AO52" s="1244"/>
      <c r="AP52" s="1244"/>
      <c r="AQ52" s="1244"/>
      <c r="AR52" s="1244"/>
      <c r="AS52" s="1244"/>
      <c r="AT52" s="1244"/>
      <c r="AU52" s="1244"/>
      <c r="AV52" s="1244"/>
    </row>
    <row r="53" spans="1:48">
      <c r="B53" s="1246"/>
      <c r="C53" s="1246"/>
      <c r="L53" s="1248"/>
      <c r="R53" s="1248"/>
      <c r="S53" s="1248"/>
      <c r="T53" s="1248"/>
      <c r="U53" s="1248"/>
      <c r="X53" s="1248"/>
      <c r="Y53" s="1244"/>
      <c r="Z53" s="1244"/>
      <c r="AA53" s="1244"/>
      <c r="AB53" s="1244"/>
      <c r="AC53" s="1244"/>
      <c r="AD53" s="1244"/>
      <c r="AE53" s="1244"/>
      <c r="AF53" s="1244"/>
      <c r="AG53" s="1244"/>
      <c r="AH53" s="1244"/>
      <c r="AI53" s="1244"/>
      <c r="AJ53" s="1244"/>
      <c r="AK53" s="1244"/>
      <c r="AL53" s="1244"/>
      <c r="AM53" s="1244"/>
      <c r="AN53" s="1244"/>
      <c r="AO53" s="1244"/>
      <c r="AP53" s="1244"/>
      <c r="AQ53" s="1244"/>
      <c r="AR53" s="1244"/>
      <c r="AS53" s="1244"/>
      <c r="AT53" s="1244"/>
      <c r="AU53" s="1244"/>
      <c r="AV53" s="1244"/>
    </row>
    <row r="54" spans="1:48">
      <c r="B54" s="1246"/>
      <c r="C54" s="1246"/>
      <c r="L54" s="1248"/>
      <c r="R54" s="1248"/>
      <c r="S54" s="1248"/>
      <c r="T54" s="1248"/>
      <c r="U54" s="1248"/>
      <c r="X54" s="1248"/>
      <c r="Y54" s="1244"/>
      <c r="Z54" s="1244"/>
      <c r="AA54" s="1244"/>
      <c r="AB54" s="1244"/>
      <c r="AC54" s="1244"/>
      <c r="AD54" s="1244"/>
      <c r="AE54" s="1244"/>
      <c r="AF54" s="1244"/>
      <c r="AG54" s="1244"/>
      <c r="AH54" s="1244"/>
      <c r="AI54" s="1244"/>
      <c r="AJ54" s="1244"/>
      <c r="AK54" s="1244"/>
      <c r="AL54" s="1244"/>
      <c r="AM54" s="1244"/>
      <c r="AN54" s="1244"/>
      <c r="AO54" s="1244"/>
      <c r="AP54" s="1244"/>
      <c r="AQ54" s="1244"/>
      <c r="AR54" s="1244"/>
      <c r="AS54" s="1244"/>
      <c r="AT54" s="1244"/>
      <c r="AU54" s="1244"/>
      <c r="AV54" s="1244"/>
    </row>
    <row r="55" spans="1:48">
      <c r="A55" s="1247" t="s">
        <v>2088</v>
      </c>
      <c r="B55" s="1246"/>
      <c r="C55" s="1246"/>
      <c r="D55" s="1246"/>
      <c r="E55" s="1246"/>
      <c r="F55" s="1246"/>
      <c r="G55" s="1246"/>
      <c r="I55" s="1245"/>
      <c r="Y55" s="1244"/>
      <c r="Z55" s="1244"/>
      <c r="AA55" s="1244"/>
      <c r="AB55" s="1244"/>
      <c r="AC55" s="1244"/>
      <c r="AD55" s="1244"/>
      <c r="AE55" s="1244"/>
      <c r="AF55" s="1244"/>
      <c r="AG55" s="1244"/>
      <c r="AH55" s="1244"/>
      <c r="AI55" s="1244"/>
      <c r="AJ55" s="1244"/>
      <c r="AK55" s="1244"/>
      <c r="AL55" s="1244"/>
      <c r="AM55" s="1244"/>
      <c r="AN55" s="1244"/>
      <c r="AO55" s="1244"/>
      <c r="AP55" s="1244"/>
      <c r="AQ55" s="1244"/>
      <c r="AR55" s="1244"/>
      <c r="AS55" s="1244"/>
      <c r="AT55" s="1244"/>
      <c r="AU55" s="1244"/>
      <c r="AV55" s="1244"/>
    </row>
    <row r="56" spans="1:48">
      <c r="A56" s="1247" t="s">
        <v>2087</v>
      </c>
      <c r="B56" s="1246"/>
      <c r="C56" s="1246"/>
      <c r="D56" s="1246"/>
      <c r="E56" s="1246"/>
      <c r="F56" s="1246"/>
      <c r="G56" s="1246"/>
      <c r="H56" s="1246"/>
      <c r="I56" s="1245"/>
      <c r="J56" s="1244"/>
      <c r="K56" s="1244"/>
      <c r="L56" s="1244"/>
      <c r="M56" s="1244"/>
      <c r="N56" s="1244"/>
      <c r="O56" s="1244"/>
      <c r="P56" s="1244"/>
      <c r="Q56" s="1244"/>
      <c r="R56" s="1244"/>
      <c r="S56" s="1244"/>
      <c r="T56" s="1244"/>
      <c r="U56" s="1244"/>
      <c r="V56" s="1244"/>
      <c r="W56" s="1244"/>
      <c r="X56" s="1244"/>
      <c r="Y56" s="1244"/>
      <c r="Z56" s="1244"/>
      <c r="AA56" s="1244"/>
      <c r="AB56" s="1244"/>
      <c r="AC56" s="1244"/>
      <c r="AD56" s="1244"/>
      <c r="AE56" s="1244"/>
      <c r="AF56" s="1244"/>
      <c r="AG56" s="1244"/>
      <c r="AH56" s="1239" t="s">
        <v>2086</v>
      </c>
    </row>
    <row r="57" spans="1:48">
      <c r="A57" s="1247" t="s">
        <v>2085</v>
      </c>
      <c r="B57" s="1246"/>
      <c r="C57" s="1246"/>
      <c r="D57" s="1246"/>
      <c r="E57" s="1246"/>
      <c r="F57" s="1246"/>
      <c r="G57" s="1246"/>
      <c r="H57" s="1246"/>
      <c r="I57" s="1245"/>
      <c r="J57" s="1244"/>
      <c r="K57" s="1244"/>
      <c r="L57" s="1244"/>
      <c r="M57" s="1244"/>
      <c r="N57" s="1244"/>
      <c r="O57" s="1244"/>
      <c r="P57" s="1244"/>
      <c r="Q57" s="1244"/>
      <c r="R57" s="1244"/>
      <c r="S57" s="1244"/>
      <c r="T57" s="1244"/>
      <c r="U57" s="1244"/>
      <c r="V57" s="1244"/>
      <c r="W57" s="1244"/>
      <c r="X57" s="1244"/>
      <c r="Y57" s="1244"/>
      <c r="Z57" s="1244"/>
      <c r="AA57" s="1244"/>
      <c r="AB57" s="1244"/>
      <c r="AC57" s="1244"/>
      <c r="AD57" s="1244"/>
      <c r="AE57" s="1244"/>
      <c r="AF57" s="1244"/>
      <c r="AG57" s="1244"/>
      <c r="AH57" s="1239" t="s">
        <v>2084</v>
      </c>
    </row>
    <row r="58" spans="1:48">
      <c r="A58" s="1247" t="s">
        <v>2083</v>
      </c>
      <c r="B58" s="1246"/>
      <c r="C58" s="1246"/>
      <c r="D58" s="1246"/>
      <c r="E58" s="1246"/>
      <c r="F58" s="1246"/>
      <c r="G58" s="1246"/>
      <c r="H58" s="1246"/>
      <c r="I58" s="1245"/>
      <c r="J58" s="1244"/>
      <c r="K58" s="1244"/>
      <c r="L58" s="1244"/>
      <c r="M58" s="1244"/>
      <c r="N58" s="1244"/>
      <c r="O58" s="1244"/>
      <c r="P58" s="1244"/>
      <c r="Q58" s="1244"/>
      <c r="R58" s="1244"/>
      <c r="S58" s="1244"/>
      <c r="T58" s="1244"/>
      <c r="U58" s="1244"/>
      <c r="V58" s="1244"/>
      <c r="W58" s="1244"/>
      <c r="X58" s="1244"/>
      <c r="Y58" s="1244"/>
      <c r="Z58" s="1244"/>
      <c r="AA58" s="1244"/>
      <c r="AB58" s="1244"/>
      <c r="AC58" s="1244"/>
      <c r="AD58" s="1244"/>
      <c r="AE58" s="1244"/>
      <c r="AF58" s="1244"/>
      <c r="AG58" s="1244"/>
      <c r="AH58" s="1239" t="s">
        <v>2082</v>
      </c>
    </row>
    <row r="59" spans="1:48">
      <c r="A59" s="1247" t="s">
        <v>2081</v>
      </c>
      <c r="B59" s="1246"/>
      <c r="C59" s="1246"/>
      <c r="D59" s="1246"/>
      <c r="E59" s="1246"/>
      <c r="F59" s="1246"/>
      <c r="G59" s="1246"/>
      <c r="H59" s="1246"/>
      <c r="I59" s="1245"/>
      <c r="J59" s="1244"/>
      <c r="K59" s="1244"/>
      <c r="L59" s="1244"/>
      <c r="M59" s="1244"/>
      <c r="N59" s="1244"/>
      <c r="O59" s="1244"/>
      <c r="P59" s="1244"/>
      <c r="Q59" s="1244"/>
      <c r="R59" s="1244"/>
      <c r="S59" s="1244"/>
      <c r="T59" s="1244"/>
      <c r="U59" s="1244"/>
      <c r="V59" s="1244"/>
      <c r="W59" s="1244"/>
      <c r="X59" s="1244"/>
      <c r="Y59" s="1244"/>
      <c r="Z59" s="1244"/>
      <c r="AA59" s="1244"/>
      <c r="AB59" s="1244"/>
      <c r="AC59" s="1244"/>
      <c r="AD59" s="1244"/>
      <c r="AE59" s="1244"/>
      <c r="AF59" s="1244"/>
      <c r="AG59" s="1244"/>
      <c r="AH59" s="1239" t="s">
        <v>2080</v>
      </c>
    </row>
    <row r="60" spans="1:48">
      <c r="A60" s="1247" t="s">
        <v>2079</v>
      </c>
      <c r="B60" s="1246"/>
      <c r="C60" s="1246"/>
      <c r="D60" s="1246"/>
      <c r="E60" s="1246"/>
      <c r="F60" s="1246"/>
      <c r="G60" s="1246"/>
      <c r="H60" s="1246"/>
      <c r="I60" s="1245"/>
      <c r="J60" s="1244"/>
      <c r="K60" s="1244"/>
      <c r="L60" s="1244"/>
      <c r="M60" s="1244"/>
      <c r="N60" s="1244"/>
      <c r="O60" s="1244"/>
      <c r="P60" s="1244"/>
      <c r="Q60" s="1244"/>
      <c r="R60" s="1244"/>
      <c r="S60" s="1244"/>
      <c r="T60" s="1244"/>
      <c r="U60" s="1244"/>
      <c r="V60" s="1244"/>
      <c r="W60" s="1244"/>
      <c r="X60" s="1244"/>
      <c r="Y60" s="1244"/>
      <c r="Z60" s="1244"/>
      <c r="AA60" s="1244"/>
      <c r="AB60" s="1244"/>
      <c r="AC60" s="1244"/>
      <c r="AD60" s="1244"/>
      <c r="AE60" s="1244"/>
      <c r="AF60" s="1244"/>
      <c r="AG60" s="1244"/>
      <c r="AH60" s="1239" t="s">
        <v>2078</v>
      </c>
    </row>
    <row r="61" spans="1:48">
      <c r="A61" s="1247" t="s">
        <v>2077</v>
      </c>
      <c r="B61" s="1246"/>
      <c r="C61" s="1246"/>
      <c r="D61" s="1246"/>
      <c r="E61" s="1246"/>
      <c r="F61" s="1246"/>
      <c r="G61" s="1246"/>
      <c r="H61" s="1246"/>
      <c r="I61" s="1245"/>
      <c r="J61" s="1244"/>
      <c r="K61" s="1244"/>
      <c r="L61" s="1244"/>
      <c r="M61" s="1244"/>
      <c r="N61" s="1244"/>
      <c r="O61" s="1244"/>
      <c r="P61" s="1244"/>
      <c r="Q61" s="1244"/>
      <c r="R61" s="1244"/>
      <c r="S61" s="1244"/>
      <c r="T61" s="1244"/>
      <c r="U61" s="1244"/>
      <c r="V61" s="1244"/>
      <c r="W61" s="1244"/>
      <c r="X61" s="1244"/>
      <c r="Y61" s="1244"/>
      <c r="Z61" s="1244"/>
      <c r="AA61" s="1244"/>
      <c r="AB61" s="1244"/>
      <c r="AC61" s="1244"/>
      <c r="AD61" s="1244"/>
      <c r="AE61" s="1244"/>
      <c r="AF61" s="1244"/>
      <c r="AG61" s="1244"/>
      <c r="AH61" s="1239" t="s">
        <v>2076</v>
      </c>
    </row>
    <row r="62" spans="1:48">
      <c r="A62" s="1247" t="s">
        <v>2075</v>
      </c>
      <c r="B62" s="1246"/>
      <c r="C62" s="1246"/>
      <c r="D62" s="1246"/>
      <c r="E62" s="1246"/>
      <c r="F62" s="1246"/>
      <c r="G62" s="1246"/>
      <c r="H62" s="1246"/>
      <c r="I62" s="1245"/>
      <c r="J62" s="1244"/>
      <c r="K62" s="1244"/>
      <c r="L62" s="1244"/>
      <c r="M62" s="1244"/>
      <c r="N62" s="1244"/>
      <c r="O62" s="1244"/>
      <c r="P62" s="1244"/>
      <c r="Q62" s="1244"/>
      <c r="R62" s="1244"/>
      <c r="S62" s="1244"/>
      <c r="T62" s="1244"/>
      <c r="U62" s="1244"/>
      <c r="V62" s="1244"/>
      <c r="W62" s="1244"/>
      <c r="X62" s="1244"/>
      <c r="Y62" s="1244"/>
      <c r="Z62" s="1244"/>
      <c r="AA62" s="1244"/>
      <c r="AB62" s="1244"/>
      <c r="AC62" s="1244"/>
      <c r="AD62" s="1244"/>
      <c r="AE62" s="1244"/>
      <c r="AF62" s="1244"/>
      <c r="AG62" s="1244"/>
      <c r="AH62" s="1239" t="s">
        <v>2074</v>
      </c>
    </row>
    <row r="63" spans="1:48">
      <c r="A63" s="1247" t="s">
        <v>2073</v>
      </c>
      <c r="B63" s="1246"/>
      <c r="C63" s="1246"/>
      <c r="D63" s="1246"/>
      <c r="E63" s="1246"/>
      <c r="F63" s="1246"/>
      <c r="G63" s="1246"/>
      <c r="H63" s="1246"/>
      <c r="I63" s="1245"/>
      <c r="J63" s="1244"/>
      <c r="K63" s="1244"/>
      <c r="L63" s="1244"/>
      <c r="M63" s="1244"/>
      <c r="N63" s="1244"/>
      <c r="O63" s="1244"/>
      <c r="P63" s="1244"/>
      <c r="Q63" s="1244"/>
      <c r="R63" s="1244"/>
      <c r="S63" s="1244"/>
      <c r="T63" s="1244"/>
      <c r="U63" s="1244"/>
      <c r="V63" s="1244"/>
      <c r="W63" s="1244"/>
      <c r="X63" s="1244"/>
      <c r="Y63" s="1244"/>
      <c r="Z63" s="1244"/>
      <c r="AA63" s="1244"/>
      <c r="AB63" s="1244"/>
      <c r="AC63" s="1244"/>
      <c r="AD63" s="1244"/>
      <c r="AE63" s="1244"/>
      <c r="AF63" s="1244"/>
      <c r="AG63" s="1244"/>
      <c r="AH63" s="1239" t="s">
        <v>2072</v>
      </c>
    </row>
    <row r="64" spans="1:48">
      <c r="A64" s="1247" t="s">
        <v>2071</v>
      </c>
      <c r="B64" s="1246"/>
      <c r="C64" s="1246"/>
      <c r="D64" s="1246"/>
      <c r="E64" s="1246"/>
      <c r="F64" s="1246"/>
      <c r="G64" s="1246"/>
      <c r="H64" s="1246"/>
      <c r="I64" s="1245"/>
      <c r="J64" s="1244"/>
      <c r="K64" s="1244"/>
      <c r="L64" s="1244"/>
      <c r="M64" s="1244"/>
      <c r="N64" s="1244"/>
      <c r="O64" s="1244"/>
      <c r="P64" s="1244"/>
      <c r="Q64" s="1244"/>
      <c r="R64" s="1244"/>
      <c r="S64" s="1244"/>
      <c r="T64" s="1244"/>
      <c r="U64" s="1244"/>
      <c r="V64" s="1244"/>
      <c r="W64" s="1244"/>
      <c r="X64" s="1244"/>
      <c r="Y64" s="1244"/>
      <c r="Z64" s="1244"/>
      <c r="AA64" s="1244"/>
      <c r="AB64" s="1244"/>
      <c r="AC64" s="1244"/>
      <c r="AD64" s="1244"/>
      <c r="AE64" s="1244"/>
      <c r="AF64" s="1244"/>
      <c r="AG64" s="1244"/>
      <c r="AH64" s="1239" t="s">
        <v>2070</v>
      </c>
    </row>
    <row r="65" spans="1:34">
      <c r="A65" s="1247" t="s">
        <v>2069</v>
      </c>
      <c r="B65" s="1246"/>
      <c r="C65" s="1246"/>
      <c r="D65" s="1246"/>
      <c r="E65" s="1246"/>
      <c r="F65" s="1246"/>
      <c r="G65" s="1246"/>
      <c r="H65" s="1246"/>
      <c r="I65" s="1245"/>
      <c r="J65" s="1244"/>
      <c r="K65" s="1244"/>
      <c r="L65" s="1244"/>
      <c r="M65" s="1244"/>
      <c r="N65" s="1244"/>
      <c r="O65" s="1244"/>
      <c r="P65" s="1244"/>
      <c r="Q65" s="1244"/>
      <c r="R65" s="1244"/>
      <c r="S65" s="1244"/>
      <c r="T65" s="1244"/>
      <c r="U65" s="1244"/>
      <c r="V65" s="1244"/>
      <c r="W65" s="1244"/>
      <c r="X65" s="1244"/>
      <c r="Y65" s="1244"/>
      <c r="Z65" s="1244"/>
      <c r="AA65" s="1244"/>
      <c r="AB65" s="1244"/>
      <c r="AC65" s="1244"/>
      <c r="AD65" s="1244"/>
      <c r="AE65" s="1244"/>
      <c r="AF65" s="1244"/>
      <c r="AG65" s="1244"/>
      <c r="AH65" s="1239" t="s">
        <v>2068</v>
      </c>
    </row>
    <row r="66" spans="1:34">
      <c r="A66" s="1247" t="s">
        <v>2067</v>
      </c>
      <c r="B66" s="1246"/>
      <c r="C66" s="1246"/>
      <c r="D66" s="1246"/>
      <c r="E66" s="1246"/>
      <c r="F66" s="1246"/>
      <c r="G66" s="1246"/>
      <c r="H66" s="1246"/>
      <c r="I66" s="1245"/>
      <c r="J66" s="1244"/>
      <c r="K66" s="1244"/>
      <c r="L66" s="1244"/>
      <c r="M66" s="1244"/>
      <c r="N66" s="1244"/>
      <c r="O66" s="1244"/>
      <c r="P66" s="1244"/>
      <c r="Q66" s="1244"/>
      <c r="R66" s="1244"/>
      <c r="S66" s="1244"/>
      <c r="T66" s="1244"/>
      <c r="U66" s="1244"/>
      <c r="V66" s="1244"/>
      <c r="W66" s="1244"/>
      <c r="X66" s="1244"/>
      <c r="Y66" s="1244"/>
      <c r="Z66" s="1244"/>
      <c r="AA66" s="1244"/>
      <c r="AB66" s="1244"/>
      <c r="AC66" s="1244"/>
      <c r="AD66" s="1244"/>
      <c r="AE66" s="1244"/>
      <c r="AF66" s="1244"/>
      <c r="AG66" s="1244"/>
      <c r="AH66" s="1239" t="s">
        <v>2066</v>
      </c>
    </row>
    <row r="67" spans="1:34">
      <c r="A67" s="1247" t="s">
        <v>2065</v>
      </c>
      <c r="B67" s="1246"/>
      <c r="C67" s="1246"/>
      <c r="D67" s="1246"/>
      <c r="E67" s="1246"/>
      <c r="F67" s="1246"/>
      <c r="G67" s="1246"/>
      <c r="H67" s="1246"/>
      <c r="I67" s="1245"/>
      <c r="J67" s="1244"/>
      <c r="K67" s="1244"/>
      <c r="L67" s="1244"/>
      <c r="M67" s="1244"/>
      <c r="N67" s="1244"/>
      <c r="O67" s="1244"/>
      <c r="P67" s="1244"/>
      <c r="Q67" s="1244"/>
      <c r="R67" s="1244"/>
      <c r="S67" s="1244"/>
      <c r="T67" s="1244"/>
      <c r="U67" s="1244"/>
      <c r="V67" s="1244"/>
      <c r="W67" s="1244"/>
      <c r="X67" s="1244"/>
      <c r="Y67" s="1244"/>
      <c r="Z67" s="1244"/>
      <c r="AA67" s="1244"/>
      <c r="AB67" s="1244"/>
      <c r="AC67" s="1244"/>
      <c r="AD67" s="1244"/>
      <c r="AE67" s="1244"/>
      <c r="AF67" s="1244"/>
      <c r="AG67" s="1244"/>
      <c r="AH67" s="1239" t="s">
        <v>2064</v>
      </c>
    </row>
    <row r="68" spans="1:34">
      <c r="A68" s="1247" t="s">
        <v>2063</v>
      </c>
      <c r="B68" s="1246"/>
      <c r="C68" s="1246"/>
      <c r="D68" s="1246"/>
      <c r="E68" s="1246"/>
      <c r="F68" s="1246"/>
      <c r="G68" s="1246"/>
      <c r="H68" s="1246"/>
      <c r="I68" s="1245"/>
      <c r="J68" s="1244"/>
      <c r="K68" s="1244"/>
      <c r="L68" s="1244"/>
      <c r="M68" s="1244"/>
      <c r="N68" s="1244"/>
      <c r="O68" s="1244"/>
      <c r="P68" s="1244"/>
      <c r="Q68" s="1244"/>
      <c r="R68" s="1244"/>
      <c r="S68" s="1244"/>
      <c r="T68" s="1244"/>
      <c r="U68" s="1244"/>
      <c r="V68" s="1244"/>
      <c r="W68" s="1244"/>
      <c r="X68" s="1244"/>
      <c r="Y68" s="1244"/>
      <c r="Z68" s="1244"/>
      <c r="AA68" s="1244"/>
      <c r="AB68" s="1244"/>
      <c r="AC68" s="1244"/>
      <c r="AD68" s="1244"/>
      <c r="AE68" s="1244"/>
      <c r="AF68" s="1244"/>
      <c r="AG68" s="1244"/>
      <c r="AH68" s="1239" t="s">
        <v>2062</v>
      </c>
    </row>
    <row r="69" spans="1:34">
      <c r="A69" s="1247" t="s">
        <v>2061</v>
      </c>
      <c r="B69" s="1246"/>
      <c r="C69" s="1246"/>
      <c r="D69" s="1246"/>
      <c r="E69" s="1246"/>
      <c r="F69" s="1246"/>
      <c r="G69" s="1246"/>
      <c r="H69" s="1246"/>
      <c r="I69" s="1245"/>
      <c r="J69" s="1244"/>
      <c r="K69" s="1244"/>
      <c r="L69" s="1244"/>
      <c r="M69" s="1244"/>
      <c r="N69" s="1244"/>
      <c r="O69" s="1244"/>
      <c r="P69" s="1244"/>
      <c r="Q69" s="1244"/>
      <c r="R69" s="1244"/>
      <c r="S69" s="1244"/>
      <c r="T69" s="1244"/>
      <c r="U69" s="1244"/>
      <c r="V69" s="1244"/>
      <c r="W69" s="1244"/>
      <c r="X69" s="1244"/>
      <c r="Y69" s="1244"/>
      <c r="Z69" s="1244"/>
      <c r="AA69" s="1244"/>
      <c r="AB69" s="1244"/>
      <c r="AC69" s="1244"/>
      <c r="AD69" s="1244"/>
      <c r="AE69" s="1244"/>
      <c r="AF69" s="1244"/>
      <c r="AG69" s="1244"/>
      <c r="AH69" s="1239" t="s">
        <v>2060</v>
      </c>
    </row>
    <row r="70" spans="1:34">
      <c r="A70" s="1247" t="s">
        <v>2059</v>
      </c>
      <c r="B70" s="1246"/>
      <c r="C70" s="1246"/>
      <c r="D70" s="1246"/>
      <c r="E70" s="1246"/>
      <c r="F70" s="1246"/>
      <c r="G70" s="1246"/>
      <c r="H70" s="1246"/>
      <c r="I70" s="1245"/>
      <c r="J70" s="1244"/>
      <c r="K70" s="1244"/>
      <c r="L70" s="1244"/>
      <c r="M70" s="1244"/>
      <c r="N70" s="1244"/>
      <c r="O70" s="1244"/>
      <c r="P70" s="1244"/>
      <c r="Q70" s="1244"/>
      <c r="R70" s="1244"/>
      <c r="S70" s="1244"/>
      <c r="T70" s="1244"/>
      <c r="U70" s="1244"/>
      <c r="V70" s="1244"/>
      <c r="W70" s="1244"/>
      <c r="X70" s="1244"/>
      <c r="Y70" s="1244"/>
      <c r="Z70" s="1244"/>
      <c r="AA70" s="1244"/>
      <c r="AB70" s="1244"/>
      <c r="AC70" s="1244"/>
      <c r="AD70" s="1244"/>
      <c r="AE70" s="1244"/>
      <c r="AF70" s="1244"/>
      <c r="AG70" s="1244"/>
      <c r="AH70" s="1239" t="s">
        <v>2044</v>
      </c>
    </row>
    <row r="71" spans="1:34">
      <c r="A71" s="1247" t="s">
        <v>2058</v>
      </c>
      <c r="B71" s="1246"/>
      <c r="C71" s="1246"/>
      <c r="D71" s="1246"/>
      <c r="E71" s="1246"/>
      <c r="F71" s="1246"/>
      <c r="G71" s="1246"/>
      <c r="H71" s="1246"/>
      <c r="I71" s="1245"/>
      <c r="J71" s="1244"/>
      <c r="K71" s="1244"/>
      <c r="L71" s="1244"/>
      <c r="M71" s="1244"/>
      <c r="N71" s="1244"/>
      <c r="O71" s="1244"/>
      <c r="P71" s="1244"/>
      <c r="Q71" s="1244"/>
      <c r="R71" s="1244"/>
      <c r="S71" s="1244"/>
      <c r="T71" s="1244"/>
      <c r="U71" s="1244"/>
      <c r="V71" s="1244"/>
      <c r="W71" s="1244"/>
      <c r="X71" s="1244"/>
      <c r="Y71" s="1244"/>
      <c r="Z71" s="1244"/>
      <c r="AA71" s="1244"/>
      <c r="AB71" s="1244"/>
      <c r="AC71" s="1244"/>
      <c r="AD71" s="1244"/>
      <c r="AE71" s="1244"/>
      <c r="AF71" s="1244"/>
      <c r="AG71" s="1244"/>
      <c r="AH71" s="1239" t="s">
        <v>2042</v>
      </c>
    </row>
    <row r="72" spans="1:34">
      <c r="A72" s="1247" t="s">
        <v>2057</v>
      </c>
      <c r="B72" s="1246"/>
      <c r="C72" s="1246"/>
      <c r="D72" s="1246"/>
      <c r="E72" s="1246"/>
      <c r="F72" s="1246"/>
      <c r="G72" s="1246"/>
      <c r="H72" s="1246"/>
      <c r="I72" s="1245"/>
      <c r="J72" s="1244"/>
      <c r="K72" s="1244"/>
      <c r="L72" s="1244"/>
      <c r="M72" s="1244"/>
      <c r="N72" s="1244"/>
      <c r="O72" s="1244"/>
      <c r="P72" s="1244"/>
      <c r="Q72" s="1244"/>
      <c r="R72" s="1244"/>
      <c r="S72" s="1244"/>
      <c r="T72" s="1244"/>
      <c r="U72" s="1244"/>
      <c r="V72" s="1244"/>
      <c r="W72" s="1244"/>
      <c r="X72" s="1244"/>
      <c r="Y72" s="1244"/>
      <c r="Z72" s="1244"/>
      <c r="AA72" s="1244"/>
      <c r="AB72" s="1244"/>
      <c r="AC72" s="1244"/>
      <c r="AD72" s="1244"/>
      <c r="AE72" s="1244"/>
      <c r="AF72" s="1244"/>
      <c r="AG72" s="1244"/>
      <c r="AH72" s="1239" t="s">
        <v>2048</v>
      </c>
    </row>
    <row r="73" spans="1:34">
      <c r="A73" s="1247" t="s">
        <v>2056</v>
      </c>
      <c r="B73" s="1246"/>
      <c r="C73" s="1246"/>
      <c r="D73" s="1246"/>
      <c r="E73" s="1246"/>
      <c r="F73" s="1246"/>
      <c r="G73" s="1246"/>
      <c r="H73" s="1246"/>
      <c r="I73" s="1245"/>
      <c r="J73" s="1244"/>
      <c r="K73" s="1244"/>
      <c r="L73" s="1244"/>
      <c r="M73" s="1244"/>
      <c r="N73" s="1244"/>
      <c r="O73" s="1244"/>
      <c r="P73" s="1244"/>
      <c r="Q73" s="1244"/>
      <c r="R73" s="1244"/>
      <c r="S73" s="1244"/>
      <c r="T73" s="1244"/>
      <c r="U73" s="1244"/>
      <c r="V73" s="1244"/>
      <c r="W73" s="1244"/>
      <c r="X73" s="1244"/>
      <c r="Y73" s="1244"/>
      <c r="Z73" s="1244"/>
      <c r="AA73" s="1244"/>
      <c r="AB73" s="1244"/>
      <c r="AC73" s="1244"/>
      <c r="AD73" s="1244"/>
      <c r="AE73" s="1244"/>
      <c r="AF73" s="1244"/>
      <c r="AG73" s="1244"/>
      <c r="AH73" s="1239" t="s">
        <v>2055</v>
      </c>
    </row>
    <row r="74" spans="1:34">
      <c r="A74" s="1247" t="s">
        <v>2054</v>
      </c>
      <c r="B74" s="1246"/>
      <c r="C74" s="1246"/>
      <c r="D74" s="1246"/>
      <c r="E74" s="1246"/>
      <c r="F74" s="1246"/>
      <c r="G74" s="1246"/>
      <c r="H74" s="1246"/>
      <c r="I74" s="1245"/>
      <c r="J74" s="1244"/>
      <c r="K74" s="1244"/>
      <c r="L74" s="1244"/>
      <c r="M74" s="1244"/>
      <c r="N74" s="1244"/>
      <c r="O74" s="1244"/>
      <c r="P74" s="1244"/>
      <c r="Q74" s="1244"/>
      <c r="R74" s="1244"/>
      <c r="S74" s="1244"/>
      <c r="T74" s="1244"/>
      <c r="U74" s="1244"/>
      <c r="V74" s="1244"/>
      <c r="W74" s="1244"/>
      <c r="X74" s="1244"/>
      <c r="Y74" s="1244"/>
      <c r="Z74" s="1244"/>
      <c r="AA74" s="1244"/>
      <c r="AB74" s="1244"/>
      <c r="AC74" s="1244"/>
      <c r="AD74" s="1244"/>
      <c r="AE74" s="1244"/>
      <c r="AF74" s="1244"/>
      <c r="AG74" s="1244"/>
      <c r="AH74" s="1239" t="s">
        <v>2053</v>
      </c>
    </row>
    <row r="75" spans="1:34">
      <c r="A75" s="1247" t="s">
        <v>2052</v>
      </c>
      <c r="B75" s="1246"/>
      <c r="C75" s="1246"/>
      <c r="D75" s="1246"/>
      <c r="E75" s="1246"/>
      <c r="F75" s="1246"/>
      <c r="G75" s="1246"/>
      <c r="H75" s="1246"/>
      <c r="I75" s="1245"/>
      <c r="J75" s="1244"/>
      <c r="K75" s="1244"/>
      <c r="L75" s="1244"/>
      <c r="M75" s="1244"/>
      <c r="N75" s="1244"/>
      <c r="O75" s="1244"/>
      <c r="P75" s="1244"/>
      <c r="Q75" s="1244"/>
      <c r="R75" s="1244"/>
      <c r="S75" s="1244"/>
      <c r="T75" s="1244"/>
      <c r="U75" s="1244"/>
      <c r="V75" s="1244"/>
      <c r="W75" s="1244"/>
      <c r="X75" s="1244"/>
      <c r="Y75" s="1244"/>
      <c r="Z75" s="1244"/>
      <c r="AA75" s="1244"/>
      <c r="AB75" s="1244"/>
      <c r="AC75" s="1244"/>
      <c r="AD75" s="1244"/>
      <c r="AE75" s="1244"/>
      <c r="AF75" s="1244"/>
      <c r="AG75" s="1244"/>
      <c r="AH75" s="1239" t="s">
        <v>2048</v>
      </c>
    </row>
    <row r="76" spans="1:34">
      <c r="A76" s="1247" t="s">
        <v>2051</v>
      </c>
      <c r="B76" s="1246"/>
      <c r="C76" s="1246"/>
      <c r="D76" s="1246"/>
      <c r="E76" s="1246"/>
      <c r="F76" s="1246"/>
      <c r="G76" s="1246"/>
      <c r="H76" s="1246"/>
      <c r="I76" s="1245"/>
      <c r="J76" s="1244"/>
      <c r="K76" s="1244"/>
      <c r="L76" s="1244"/>
      <c r="M76" s="1244"/>
      <c r="N76" s="1244"/>
      <c r="O76" s="1244"/>
      <c r="P76" s="1244"/>
      <c r="Q76" s="1244"/>
      <c r="R76" s="1244"/>
      <c r="S76" s="1244"/>
      <c r="T76" s="1244"/>
      <c r="U76" s="1244"/>
      <c r="V76" s="1244"/>
      <c r="W76" s="1244"/>
      <c r="X76" s="1244"/>
      <c r="Y76" s="1244"/>
      <c r="Z76" s="1244"/>
      <c r="AA76" s="1244"/>
      <c r="AB76" s="1244"/>
      <c r="AC76" s="1244"/>
      <c r="AD76" s="1244"/>
      <c r="AE76" s="1244"/>
      <c r="AF76" s="1244"/>
      <c r="AG76" s="1244"/>
      <c r="AH76" s="1239" t="s">
        <v>2048</v>
      </c>
    </row>
    <row r="77" spans="1:34">
      <c r="A77" s="1247" t="s">
        <v>2050</v>
      </c>
      <c r="B77" s="1246"/>
      <c r="C77" s="1246"/>
      <c r="D77" s="1246"/>
      <c r="E77" s="1246"/>
      <c r="F77" s="1246"/>
      <c r="G77" s="1246"/>
      <c r="H77" s="1246"/>
      <c r="I77" s="1245"/>
      <c r="J77" s="1244"/>
      <c r="K77" s="1244"/>
      <c r="L77" s="1244"/>
      <c r="M77" s="1244"/>
      <c r="N77" s="1244"/>
      <c r="O77" s="1244"/>
      <c r="P77" s="1244"/>
      <c r="Q77" s="1244"/>
      <c r="R77" s="1244"/>
      <c r="S77" s="1244"/>
      <c r="T77" s="1244"/>
      <c r="U77" s="1244"/>
      <c r="V77" s="1244"/>
      <c r="W77" s="1244"/>
      <c r="X77" s="1244"/>
      <c r="Y77" s="1244"/>
      <c r="Z77" s="1244"/>
      <c r="AA77" s="1244"/>
      <c r="AB77" s="1244"/>
      <c r="AC77" s="1244"/>
      <c r="AD77" s="1244"/>
      <c r="AE77" s="1244"/>
      <c r="AF77" s="1244"/>
      <c r="AG77" s="1244"/>
      <c r="AH77" s="1239" t="s">
        <v>2048</v>
      </c>
    </row>
    <row r="78" spans="1:34">
      <c r="A78" s="1247" t="s">
        <v>2049</v>
      </c>
      <c r="B78" s="1246"/>
      <c r="C78" s="1246"/>
      <c r="D78" s="1246"/>
      <c r="E78" s="1246"/>
      <c r="F78" s="1246"/>
      <c r="G78" s="1246"/>
      <c r="H78" s="1246"/>
      <c r="I78" s="1245"/>
      <c r="J78" s="1244"/>
      <c r="K78" s="1244"/>
      <c r="L78" s="1244"/>
      <c r="M78" s="1244"/>
      <c r="N78" s="1244"/>
      <c r="O78" s="1244"/>
      <c r="P78" s="1244"/>
      <c r="Q78" s="1244"/>
      <c r="R78" s="1244"/>
      <c r="S78" s="1244"/>
      <c r="T78" s="1244"/>
      <c r="U78" s="1244"/>
      <c r="V78" s="1244"/>
      <c r="W78" s="1244"/>
      <c r="X78" s="1244"/>
      <c r="Y78" s="1244"/>
      <c r="Z78" s="1244"/>
      <c r="AA78" s="1244"/>
      <c r="AB78" s="1244"/>
      <c r="AC78" s="1244"/>
      <c r="AD78" s="1244"/>
      <c r="AE78" s="1244"/>
      <c r="AF78" s="1244"/>
      <c r="AG78" s="1244"/>
      <c r="AH78" s="1239" t="s">
        <v>2048</v>
      </c>
    </row>
    <row r="79" spans="1:34">
      <c r="A79" s="1247" t="s">
        <v>2047</v>
      </c>
      <c r="B79" s="1246"/>
      <c r="C79" s="1246"/>
      <c r="D79" s="1246"/>
      <c r="E79" s="1246"/>
      <c r="F79" s="1246"/>
      <c r="G79" s="1246"/>
      <c r="H79" s="1246"/>
      <c r="I79" s="1245"/>
      <c r="J79" s="1244"/>
      <c r="K79" s="1244"/>
      <c r="L79" s="1244"/>
      <c r="M79" s="1244"/>
      <c r="N79" s="1244"/>
      <c r="O79" s="1244"/>
      <c r="P79" s="1244"/>
      <c r="Q79" s="1244"/>
      <c r="R79" s="1244"/>
      <c r="S79" s="1244"/>
      <c r="T79" s="1244"/>
      <c r="U79" s="1244"/>
      <c r="V79" s="1244"/>
      <c r="W79" s="1244"/>
      <c r="X79" s="1244"/>
      <c r="Y79" s="1244"/>
      <c r="Z79" s="1244"/>
      <c r="AA79" s="1244"/>
      <c r="AB79" s="1244"/>
      <c r="AC79" s="1244"/>
      <c r="AD79" s="1244"/>
      <c r="AE79" s="1244"/>
      <c r="AF79" s="1244"/>
      <c r="AG79" s="1244"/>
      <c r="AH79" s="1239" t="s">
        <v>2044</v>
      </c>
    </row>
    <row r="80" spans="1:34">
      <c r="A80" s="1247" t="s">
        <v>2046</v>
      </c>
      <c r="B80" s="1246"/>
      <c r="C80" s="1246"/>
      <c r="D80" s="1246"/>
      <c r="E80" s="1246"/>
      <c r="F80" s="1246"/>
      <c r="G80" s="1246"/>
      <c r="H80" s="1246"/>
      <c r="I80" s="1245"/>
      <c r="J80" s="1244"/>
      <c r="K80" s="1244"/>
      <c r="L80" s="1244"/>
      <c r="M80" s="1244"/>
      <c r="N80" s="1244"/>
      <c r="O80" s="1244"/>
      <c r="P80" s="1244"/>
      <c r="Q80" s="1244"/>
      <c r="R80" s="1244"/>
      <c r="S80" s="1244"/>
      <c r="T80" s="1244"/>
      <c r="U80" s="1244"/>
      <c r="V80" s="1244"/>
      <c r="W80" s="1244"/>
      <c r="X80" s="1244"/>
      <c r="Y80" s="1244"/>
      <c r="Z80" s="1244"/>
      <c r="AA80" s="1244"/>
      <c r="AB80" s="1244"/>
      <c r="AC80" s="1244"/>
      <c r="AD80" s="1244"/>
      <c r="AE80" s="1244"/>
      <c r="AF80" s="1244"/>
      <c r="AG80" s="1244"/>
      <c r="AH80" s="1239" t="s">
        <v>2042</v>
      </c>
    </row>
    <row r="81" spans="1:34">
      <c r="A81" s="1247" t="s">
        <v>2045</v>
      </c>
      <c r="B81" s="1246"/>
      <c r="C81" s="1246"/>
      <c r="D81" s="1246"/>
      <c r="E81" s="1246"/>
      <c r="F81" s="1246"/>
      <c r="G81" s="1246"/>
      <c r="H81" s="1246"/>
      <c r="I81" s="1245"/>
      <c r="J81" s="1244"/>
      <c r="K81" s="1244"/>
      <c r="L81" s="1244"/>
      <c r="M81" s="1244"/>
      <c r="N81" s="1244"/>
      <c r="O81" s="1244"/>
      <c r="P81" s="1244"/>
      <c r="Q81" s="1244"/>
      <c r="R81" s="1244"/>
      <c r="S81" s="1244"/>
      <c r="T81" s="1244"/>
      <c r="U81" s="1244"/>
      <c r="V81" s="1244"/>
      <c r="W81" s="1244"/>
      <c r="X81" s="1244"/>
      <c r="Y81" s="1244"/>
      <c r="Z81" s="1244"/>
      <c r="AA81" s="1244"/>
      <c r="AB81" s="1244"/>
      <c r="AC81" s="1244"/>
      <c r="AD81" s="1244"/>
      <c r="AE81" s="1244"/>
      <c r="AF81" s="1244"/>
      <c r="AG81" s="1244"/>
      <c r="AH81" s="1239" t="s">
        <v>2044</v>
      </c>
    </row>
    <row r="82" spans="1:34">
      <c r="A82" s="1247" t="s">
        <v>2043</v>
      </c>
      <c r="B82" s="1246"/>
      <c r="C82" s="1246"/>
      <c r="D82" s="1246"/>
      <c r="E82" s="1246"/>
      <c r="F82" s="1246"/>
      <c r="G82" s="1246"/>
      <c r="H82" s="1246"/>
      <c r="I82" s="1245"/>
      <c r="J82" s="1244"/>
      <c r="K82" s="1244"/>
      <c r="L82" s="1244"/>
      <c r="M82" s="1244"/>
      <c r="N82" s="1244"/>
      <c r="O82" s="1244"/>
      <c r="P82" s="1244"/>
      <c r="Q82" s="1244"/>
      <c r="R82" s="1244"/>
      <c r="S82" s="1244"/>
      <c r="T82" s="1244"/>
      <c r="U82" s="1244"/>
      <c r="V82" s="1244"/>
      <c r="W82" s="1244"/>
      <c r="X82" s="1244"/>
      <c r="Y82" s="1244"/>
      <c r="Z82" s="1244"/>
      <c r="AA82" s="1244"/>
      <c r="AB82" s="1244"/>
      <c r="AC82" s="1244"/>
      <c r="AD82" s="1244"/>
      <c r="AE82" s="1244"/>
      <c r="AF82" s="1244"/>
      <c r="AG82" s="1244"/>
      <c r="AH82" s="1239" t="s">
        <v>2042</v>
      </c>
    </row>
    <row r="83" spans="1:34">
      <c r="A83" s="1247"/>
      <c r="B83" s="1246"/>
      <c r="C83" s="1246"/>
      <c r="D83" s="1246"/>
      <c r="E83" s="1246"/>
      <c r="F83" s="1246"/>
      <c r="G83" s="1246"/>
      <c r="H83" s="1246"/>
      <c r="I83" s="1245"/>
      <c r="J83" s="1244"/>
      <c r="K83" s="1244"/>
      <c r="L83" s="1244"/>
      <c r="M83" s="1244"/>
      <c r="N83" s="1244"/>
      <c r="O83" s="1244"/>
      <c r="P83" s="1244"/>
      <c r="Q83" s="1244"/>
      <c r="R83" s="1244"/>
      <c r="S83" s="1244"/>
      <c r="T83" s="1244"/>
      <c r="U83" s="1244"/>
      <c r="V83" s="1244"/>
      <c r="W83" s="1244"/>
      <c r="X83" s="1244"/>
      <c r="Y83" s="1244"/>
      <c r="Z83" s="1244"/>
      <c r="AA83" s="1244"/>
      <c r="AB83" s="1244"/>
      <c r="AC83" s="1244"/>
      <c r="AD83" s="1244"/>
      <c r="AE83" s="1244"/>
      <c r="AF83" s="1244"/>
      <c r="AG83" s="1244"/>
    </row>
    <row r="84" spans="1:34">
      <c r="A84" s="1247"/>
      <c r="B84" s="1246"/>
      <c r="C84" s="1246"/>
      <c r="D84" s="1246"/>
      <c r="E84" s="1246"/>
      <c r="F84" s="1246"/>
      <c r="G84" s="1246"/>
      <c r="H84" s="1246"/>
      <c r="I84" s="1245"/>
      <c r="J84" s="1244"/>
      <c r="K84" s="1244"/>
      <c r="L84" s="1244"/>
      <c r="M84" s="1244"/>
      <c r="N84" s="1244"/>
      <c r="O84" s="1244"/>
      <c r="P84" s="1244"/>
      <c r="Q84" s="1244"/>
      <c r="R84" s="1244"/>
      <c r="S84" s="1244"/>
      <c r="T84" s="1244"/>
      <c r="U84" s="1244"/>
      <c r="V84" s="1244"/>
      <c r="W84" s="1244"/>
      <c r="X84" s="1244"/>
      <c r="Y84" s="1244"/>
      <c r="Z84" s="1244"/>
      <c r="AA84" s="1244"/>
      <c r="AB84" s="1244"/>
      <c r="AC84" s="1244"/>
      <c r="AD84" s="1244"/>
      <c r="AE84" s="1244"/>
      <c r="AF84" s="1244"/>
      <c r="AG84" s="1244"/>
    </row>
    <row r="85" spans="1:34">
      <c r="A85" s="1247" t="s">
        <v>2041</v>
      </c>
      <c r="B85" s="1246"/>
      <c r="C85" s="1246"/>
      <c r="D85" s="1246"/>
      <c r="E85" s="1246"/>
      <c r="F85" s="1246"/>
      <c r="G85" s="1246"/>
      <c r="H85" s="1246"/>
      <c r="I85" s="1245"/>
      <c r="J85" s="1244"/>
      <c r="K85" s="1244"/>
      <c r="L85" s="1244"/>
      <c r="M85" s="1244"/>
      <c r="N85" s="1244"/>
      <c r="O85" s="1244"/>
      <c r="P85" s="1244"/>
      <c r="Q85" s="1244"/>
      <c r="R85" s="1244"/>
      <c r="S85" s="1244"/>
      <c r="T85" s="1244"/>
      <c r="U85" s="1244"/>
      <c r="V85" s="1244"/>
      <c r="W85" s="1244"/>
      <c r="X85" s="1244"/>
      <c r="Y85" s="1244"/>
      <c r="Z85" s="1244"/>
      <c r="AA85" s="1244"/>
      <c r="AB85" s="1244"/>
      <c r="AC85" s="1244"/>
      <c r="AD85" s="1244"/>
      <c r="AE85" s="1244"/>
      <c r="AF85" s="1244"/>
      <c r="AG85" s="1244"/>
    </row>
    <row r="86" spans="1:34">
      <c r="A86" s="1247" t="s">
        <v>2040</v>
      </c>
      <c r="B86" s="1246"/>
      <c r="C86" s="1246"/>
      <c r="D86" s="1246"/>
      <c r="E86" s="1246"/>
      <c r="F86" s="1246"/>
      <c r="G86" s="1246"/>
      <c r="H86" s="1246"/>
      <c r="I86" s="1245"/>
      <c r="J86" s="1244"/>
      <c r="K86" s="1244"/>
      <c r="L86" s="1244"/>
      <c r="M86" s="1244"/>
      <c r="N86" s="1244"/>
      <c r="O86" s="1244"/>
      <c r="P86" s="1244"/>
      <c r="Q86" s="1244"/>
      <c r="R86" s="1244"/>
      <c r="S86" s="1244"/>
      <c r="T86" s="1244"/>
      <c r="U86" s="1244"/>
      <c r="V86" s="1244"/>
      <c r="W86" s="1244"/>
      <c r="X86" s="1244"/>
      <c r="Y86" s="1244"/>
      <c r="Z86" s="1244"/>
      <c r="AA86" s="1244"/>
      <c r="AB86" s="1244"/>
      <c r="AC86" s="1244"/>
      <c r="AD86" s="1244"/>
      <c r="AE86" s="1244"/>
      <c r="AF86" s="1244"/>
      <c r="AG86" s="1244"/>
      <c r="AH86" s="1239" t="s">
        <v>2039</v>
      </c>
    </row>
    <row r="87" spans="1:34">
      <c r="A87" s="1247" t="s">
        <v>2038</v>
      </c>
      <c r="B87" s="1246"/>
      <c r="C87" s="1246"/>
      <c r="D87" s="1246"/>
      <c r="E87" s="1246"/>
      <c r="F87" s="1246"/>
      <c r="G87" s="1246"/>
      <c r="H87" s="1246"/>
      <c r="I87" s="1245"/>
      <c r="J87" s="1244"/>
      <c r="K87" s="1244"/>
      <c r="L87" s="1244"/>
      <c r="M87" s="1244"/>
      <c r="N87" s="1244"/>
      <c r="O87" s="1244"/>
      <c r="P87" s="1244"/>
      <c r="Q87" s="1244"/>
      <c r="R87" s="1244"/>
      <c r="S87" s="1244"/>
      <c r="T87" s="1244"/>
      <c r="U87" s="1244"/>
      <c r="V87" s="1244"/>
      <c r="W87" s="1244"/>
      <c r="X87" s="1244"/>
      <c r="Y87" s="1244"/>
      <c r="Z87" s="1244"/>
      <c r="AA87" s="1244"/>
      <c r="AB87" s="1244"/>
      <c r="AC87" s="1244"/>
      <c r="AD87" s="1244"/>
      <c r="AE87" s="1244"/>
      <c r="AF87" s="1244"/>
      <c r="AG87" s="1244"/>
      <c r="AH87" s="1239" t="s">
        <v>2037</v>
      </c>
    </row>
    <row r="88" spans="1:34">
      <c r="A88" s="1247" t="s">
        <v>2036</v>
      </c>
      <c r="B88" s="1246"/>
      <c r="C88" s="1246"/>
      <c r="D88" s="1246"/>
      <c r="E88" s="1246"/>
      <c r="F88" s="1246"/>
      <c r="G88" s="1246"/>
      <c r="H88" s="1246"/>
      <c r="I88" s="1245"/>
      <c r="J88" s="1244"/>
      <c r="K88" s="1244"/>
      <c r="L88" s="1244"/>
      <c r="M88" s="1244"/>
      <c r="N88" s="1244"/>
      <c r="O88" s="1244"/>
      <c r="P88" s="1244"/>
      <c r="Q88" s="1244"/>
      <c r="R88" s="1244"/>
      <c r="S88" s="1244"/>
      <c r="T88" s="1244"/>
      <c r="U88" s="1244"/>
      <c r="V88" s="1244"/>
      <c r="W88" s="1244"/>
      <c r="X88" s="1244"/>
      <c r="Y88" s="1244"/>
      <c r="Z88" s="1244"/>
      <c r="AA88" s="1244"/>
      <c r="AB88" s="1244"/>
      <c r="AC88" s="1244"/>
      <c r="AD88" s="1244"/>
      <c r="AE88" s="1244"/>
      <c r="AF88" s="1244"/>
      <c r="AG88" s="1244"/>
      <c r="AH88" s="1239" t="s">
        <v>2035</v>
      </c>
    </row>
    <row r="89" spans="1:34">
      <c r="A89" s="1247" t="s">
        <v>2033</v>
      </c>
      <c r="B89" s="1246"/>
      <c r="C89" s="1246"/>
      <c r="D89" s="1246"/>
      <c r="E89" s="1246"/>
      <c r="F89" s="1246"/>
      <c r="G89" s="1246"/>
      <c r="H89" s="1246"/>
      <c r="I89" s="1245"/>
      <c r="J89" s="1244"/>
      <c r="K89" s="1244"/>
      <c r="L89" s="1244"/>
      <c r="M89" s="1244"/>
      <c r="N89" s="1244"/>
      <c r="O89" s="1244"/>
      <c r="P89" s="1244"/>
      <c r="Q89" s="1244"/>
      <c r="R89" s="1244"/>
      <c r="S89" s="1244"/>
      <c r="T89" s="1244"/>
      <c r="U89" s="1244"/>
      <c r="V89" s="1244"/>
      <c r="W89" s="1244"/>
      <c r="X89" s="1244"/>
      <c r="Y89" s="1244"/>
      <c r="Z89" s="1244"/>
      <c r="AA89" s="1244"/>
      <c r="AB89" s="1244"/>
      <c r="AC89" s="1244"/>
      <c r="AD89" s="1244"/>
      <c r="AE89" s="1244"/>
      <c r="AF89" s="1244"/>
      <c r="AG89" s="1244"/>
      <c r="AH89" s="1239" t="s">
        <v>2034</v>
      </c>
    </row>
    <row r="90" spans="1:34">
      <c r="A90" s="1247" t="s">
        <v>2033</v>
      </c>
      <c r="B90" s="1246"/>
      <c r="C90" s="1246"/>
      <c r="D90" s="1246"/>
      <c r="E90" s="1246"/>
      <c r="F90" s="1246"/>
      <c r="G90" s="1246"/>
      <c r="H90" s="1246"/>
      <c r="I90" s="1245"/>
      <c r="J90" s="1244"/>
      <c r="K90" s="1244"/>
      <c r="L90" s="1244"/>
      <c r="M90" s="1244"/>
      <c r="N90" s="1244"/>
      <c r="O90" s="1244"/>
      <c r="P90" s="1244"/>
      <c r="Q90" s="1244"/>
      <c r="R90" s="1244"/>
      <c r="S90" s="1244"/>
      <c r="T90" s="1244"/>
      <c r="U90" s="1244"/>
      <c r="V90" s="1244"/>
      <c r="W90" s="1244"/>
      <c r="X90" s="1244"/>
      <c r="Y90" s="1244"/>
      <c r="Z90" s="1244"/>
      <c r="AA90" s="1244"/>
      <c r="AB90" s="1244"/>
      <c r="AC90" s="1244"/>
      <c r="AD90" s="1244"/>
      <c r="AE90" s="1244"/>
      <c r="AF90" s="1244"/>
      <c r="AG90" s="1244"/>
      <c r="AH90" s="1239" t="s">
        <v>1973</v>
      </c>
    </row>
    <row r="91" spans="1:34">
      <c r="A91" s="1247" t="s">
        <v>2032</v>
      </c>
      <c r="B91" s="1246"/>
      <c r="C91" s="1246"/>
      <c r="D91" s="1246"/>
      <c r="E91" s="1246"/>
      <c r="F91" s="1246"/>
      <c r="G91" s="1246"/>
      <c r="H91" s="1246"/>
      <c r="I91" s="1245"/>
      <c r="J91" s="1244"/>
      <c r="K91" s="1244"/>
      <c r="L91" s="1244"/>
      <c r="M91" s="1244"/>
      <c r="N91" s="1244"/>
      <c r="O91" s="1244"/>
      <c r="P91" s="1244"/>
      <c r="Q91" s="1244"/>
      <c r="R91" s="1244"/>
      <c r="S91" s="1244"/>
      <c r="T91" s="1244"/>
      <c r="U91" s="1244"/>
      <c r="V91" s="1244"/>
      <c r="W91" s="1244"/>
      <c r="X91" s="1244"/>
      <c r="Y91" s="1244"/>
      <c r="Z91" s="1244"/>
      <c r="AA91" s="1244"/>
      <c r="AB91" s="1244"/>
      <c r="AC91" s="1244"/>
      <c r="AD91" s="1244"/>
      <c r="AE91" s="1244"/>
      <c r="AF91" s="1244"/>
      <c r="AG91" s="1244"/>
      <c r="AH91" s="1239" t="s">
        <v>2031</v>
      </c>
    </row>
    <row r="92" spans="1:34">
      <c r="A92" s="1247" t="s">
        <v>2030</v>
      </c>
      <c r="B92" s="1246"/>
      <c r="C92" s="1246"/>
      <c r="D92" s="1246"/>
      <c r="E92" s="1246"/>
      <c r="F92" s="1246"/>
      <c r="G92" s="1246"/>
      <c r="H92" s="1246"/>
      <c r="I92" s="1245"/>
      <c r="J92" s="1244"/>
      <c r="K92" s="1244"/>
      <c r="L92" s="1244"/>
      <c r="M92" s="1244"/>
      <c r="N92" s="1244"/>
      <c r="O92" s="1244"/>
      <c r="P92" s="1244"/>
      <c r="Q92" s="1244"/>
      <c r="R92" s="1244"/>
      <c r="S92" s="1244"/>
      <c r="T92" s="1244"/>
      <c r="U92" s="1244"/>
      <c r="V92" s="1244"/>
      <c r="W92" s="1244"/>
      <c r="X92" s="1244"/>
      <c r="Y92" s="1244"/>
      <c r="Z92" s="1244"/>
      <c r="AA92" s="1244"/>
      <c r="AB92" s="1244"/>
      <c r="AC92" s="1244"/>
      <c r="AD92" s="1244"/>
      <c r="AE92" s="1244"/>
      <c r="AF92" s="1244"/>
      <c r="AG92" s="1244"/>
      <c r="AH92" s="1239" t="s">
        <v>2029</v>
      </c>
    </row>
    <row r="93" spans="1:34">
      <c r="A93" s="1247" t="s">
        <v>2028</v>
      </c>
      <c r="B93" s="1246"/>
      <c r="C93" s="1246"/>
      <c r="D93" s="1246"/>
      <c r="E93" s="1246"/>
      <c r="F93" s="1246"/>
      <c r="G93" s="1246"/>
      <c r="H93" s="1246"/>
      <c r="I93" s="1245"/>
      <c r="J93" s="1244"/>
      <c r="K93" s="1244"/>
      <c r="L93" s="1244"/>
      <c r="M93" s="1244"/>
      <c r="N93" s="1244"/>
      <c r="O93" s="1244"/>
      <c r="P93" s="1244"/>
      <c r="Q93" s="1244"/>
      <c r="R93" s="1244"/>
      <c r="S93" s="1244"/>
      <c r="T93" s="1244"/>
      <c r="U93" s="1244"/>
      <c r="V93" s="1244"/>
      <c r="W93" s="1244"/>
      <c r="X93" s="1244"/>
      <c r="Y93" s="1244"/>
      <c r="Z93" s="1244"/>
      <c r="AA93" s="1244"/>
      <c r="AB93" s="1244"/>
      <c r="AC93" s="1244"/>
      <c r="AD93" s="1244"/>
      <c r="AE93" s="1244"/>
      <c r="AF93" s="1244"/>
      <c r="AG93" s="1244"/>
      <c r="AH93" s="1239" t="s">
        <v>2027</v>
      </c>
    </row>
    <row r="94" spans="1:34">
      <c r="A94" s="1247" t="s">
        <v>2026</v>
      </c>
      <c r="B94" s="1246"/>
      <c r="C94" s="1246"/>
      <c r="D94" s="1246"/>
      <c r="E94" s="1246"/>
      <c r="F94" s="1246"/>
      <c r="G94" s="1246"/>
      <c r="H94" s="1246"/>
      <c r="I94" s="1245"/>
      <c r="J94" s="1244"/>
      <c r="K94" s="1244"/>
      <c r="L94" s="1244"/>
      <c r="M94" s="1244"/>
      <c r="N94" s="1244"/>
      <c r="O94" s="1244"/>
      <c r="P94" s="1244"/>
      <c r="Q94" s="1244"/>
      <c r="R94" s="1244"/>
      <c r="S94" s="1244"/>
      <c r="T94" s="1244"/>
      <c r="U94" s="1244"/>
      <c r="V94" s="1244"/>
      <c r="W94" s="1244"/>
      <c r="X94" s="1244"/>
      <c r="Y94" s="1244"/>
      <c r="Z94" s="1244"/>
      <c r="AA94" s="1244"/>
      <c r="AB94" s="1244"/>
      <c r="AC94" s="1244"/>
      <c r="AD94" s="1244"/>
      <c r="AE94" s="1244"/>
      <c r="AF94" s="1244"/>
      <c r="AG94" s="1244"/>
      <c r="AH94" s="1239" t="s">
        <v>2025</v>
      </c>
    </row>
    <row r="95" spans="1:34">
      <c r="A95" s="1247" t="s">
        <v>2024</v>
      </c>
      <c r="B95" s="1246"/>
      <c r="C95" s="1246"/>
      <c r="D95" s="1246"/>
      <c r="E95" s="1246"/>
      <c r="F95" s="1246"/>
      <c r="G95" s="1246"/>
      <c r="H95" s="1246"/>
      <c r="I95" s="1245"/>
      <c r="J95" s="1244"/>
      <c r="K95" s="1244"/>
      <c r="L95" s="1244"/>
      <c r="M95" s="1244"/>
      <c r="N95" s="1244"/>
      <c r="O95" s="1244"/>
      <c r="P95" s="1244"/>
      <c r="Q95" s="1244"/>
      <c r="R95" s="1244"/>
      <c r="S95" s="1244"/>
      <c r="T95" s="1244"/>
      <c r="U95" s="1244"/>
      <c r="V95" s="1244"/>
      <c r="W95" s="1244"/>
      <c r="X95" s="1244"/>
      <c r="Y95" s="1244"/>
      <c r="Z95" s="1244"/>
      <c r="AA95" s="1244"/>
      <c r="AB95" s="1244"/>
      <c r="AC95" s="1244"/>
      <c r="AD95" s="1244"/>
      <c r="AE95" s="1244"/>
      <c r="AF95" s="1244"/>
      <c r="AG95" s="1244"/>
      <c r="AH95" s="1239" t="s">
        <v>1973</v>
      </c>
    </row>
    <row r="96" spans="1:34">
      <c r="A96" s="1247" t="s">
        <v>2023</v>
      </c>
      <c r="B96" s="1246"/>
      <c r="C96" s="1246"/>
      <c r="D96" s="1246"/>
      <c r="E96" s="1246"/>
      <c r="F96" s="1246"/>
      <c r="G96" s="1246"/>
      <c r="H96" s="1246"/>
      <c r="I96" s="1245"/>
      <c r="J96" s="1244"/>
      <c r="K96" s="1244"/>
      <c r="L96" s="1244"/>
      <c r="M96" s="1244"/>
      <c r="N96" s="1244"/>
      <c r="O96" s="1244"/>
      <c r="P96" s="1244"/>
      <c r="Q96" s="1244"/>
      <c r="R96" s="1244"/>
      <c r="S96" s="1244"/>
      <c r="T96" s="1244"/>
      <c r="U96" s="1244"/>
      <c r="V96" s="1244"/>
      <c r="W96" s="1244"/>
      <c r="X96" s="1244"/>
      <c r="Y96" s="1244"/>
      <c r="Z96" s="1244"/>
      <c r="AA96" s="1244"/>
      <c r="AB96" s="1244"/>
      <c r="AC96" s="1244"/>
      <c r="AD96" s="1244"/>
      <c r="AE96" s="1244"/>
      <c r="AF96" s="1244"/>
      <c r="AG96" s="1244"/>
      <c r="AH96" s="1239" t="s">
        <v>1971</v>
      </c>
    </row>
    <row r="97" spans="1:34">
      <c r="A97" s="1247" t="s">
        <v>2022</v>
      </c>
      <c r="B97" s="1246"/>
      <c r="C97" s="1246"/>
      <c r="D97" s="1246"/>
      <c r="E97" s="1246"/>
      <c r="F97" s="1246"/>
      <c r="G97" s="1246"/>
      <c r="H97" s="1246"/>
      <c r="I97" s="1245"/>
      <c r="J97" s="1244"/>
      <c r="K97" s="1244"/>
      <c r="L97" s="1244"/>
      <c r="M97" s="1244"/>
      <c r="N97" s="1244"/>
      <c r="O97" s="1244"/>
      <c r="P97" s="1244"/>
      <c r="Q97" s="1244"/>
      <c r="R97" s="1244"/>
      <c r="S97" s="1244"/>
      <c r="T97" s="1244"/>
      <c r="U97" s="1244"/>
      <c r="V97" s="1244"/>
      <c r="W97" s="1244"/>
      <c r="X97" s="1244"/>
      <c r="Y97" s="1244"/>
      <c r="Z97" s="1244"/>
      <c r="AA97" s="1244"/>
      <c r="AB97" s="1244"/>
      <c r="AC97" s="1244"/>
      <c r="AD97" s="1244"/>
      <c r="AE97" s="1244"/>
      <c r="AF97" s="1244"/>
      <c r="AG97" s="1244"/>
      <c r="AH97" s="1239" t="s">
        <v>1973</v>
      </c>
    </row>
    <row r="98" spans="1:34">
      <c r="A98" s="1247" t="s">
        <v>2021</v>
      </c>
      <c r="B98" s="1246"/>
      <c r="C98" s="1246"/>
      <c r="D98" s="1246"/>
      <c r="E98" s="1246"/>
      <c r="F98" s="1246"/>
      <c r="G98" s="1246"/>
      <c r="H98" s="1246"/>
      <c r="I98" s="1245"/>
      <c r="J98" s="1244"/>
      <c r="K98" s="1244"/>
      <c r="L98" s="1244"/>
      <c r="M98" s="1244"/>
      <c r="N98" s="1244"/>
      <c r="O98" s="1244"/>
      <c r="P98" s="1244"/>
      <c r="Q98" s="1244"/>
      <c r="R98" s="1244"/>
      <c r="S98" s="1244"/>
      <c r="T98" s="1244"/>
      <c r="U98" s="1244"/>
      <c r="V98" s="1244"/>
      <c r="W98" s="1244"/>
      <c r="X98" s="1244"/>
      <c r="Y98" s="1244"/>
      <c r="Z98" s="1244"/>
      <c r="AA98" s="1244"/>
      <c r="AB98" s="1244"/>
      <c r="AC98" s="1244"/>
      <c r="AD98" s="1244"/>
      <c r="AE98" s="1244"/>
      <c r="AF98" s="1244"/>
      <c r="AG98" s="1244"/>
      <c r="AH98" s="1239" t="s">
        <v>1971</v>
      </c>
    </row>
    <row r="99" spans="1:34">
      <c r="A99" s="1247" t="s">
        <v>2020</v>
      </c>
      <c r="B99" s="1246"/>
      <c r="C99" s="1246"/>
      <c r="D99" s="1246"/>
      <c r="E99" s="1246"/>
      <c r="F99" s="1246"/>
      <c r="G99" s="1246"/>
      <c r="H99" s="1246"/>
      <c r="I99" s="1245"/>
      <c r="J99" s="1244"/>
      <c r="K99" s="1244"/>
      <c r="L99" s="1244"/>
      <c r="M99" s="1244"/>
      <c r="N99" s="1244"/>
      <c r="O99" s="1244"/>
      <c r="P99" s="1244"/>
      <c r="Q99" s="1244"/>
      <c r="R99" s="1244"/>
      <c r="S99" s="1244"/>
      <c r="T99" s="1244"/>
      <c r="U99" s="1244"/>
      <c r="V99" s="1244"/>
      <c r="W99" s="1244"/>
      <c r="X99" s="1244"/>
      <c r="Y99" s="1244"/>
      <c r="Z99" s="1244"/>
      <c r="AA99" s="1244"/>
      <c r="AB99" s="1244"/>
      <c r="AC99" s="1244"/>
      <c r="AD99" s="1244"/>
      <c r="AE99" s="1244"/>
      <c r="AF99" s="1244"/>
      <c r="AG99" s="1244"/>
      <c r="AH99" s="1239" t="s">
        <v>2019</v>
      </c>
    </row>
    <row r="100" spans="1:34">
      <c r="A100" s="1247" t="s">
        <v>2018</v>
      </c>
      <c r="B100" s="1246"/>
      <c r="C100" s="1246"/>
      <c r="D100" s="1246"/>
      <c r="E100" s="1246"/>
      <c r="F100" s="1246"/>
      <c r="G100" s="1246"/>
      <c r="H100" s="1246"/>
      <c r="I100" s="1245"/>
      <c r="J100" s="1244"/>
      <c r="K100" s="1244"/>
      <c r="L100" s="1244"/>
      <c r="M100" s="1244"/>
      <c r="N100" s="1244"/>
      <c r="O100" s="1244"/>
      <c r="P100" s="1244"/>
      <c r="Q100" s="1244"/>
      <c r="R100" s="1244"/>
      <c r="S100" s="1244"/>
      <c r="T100" s="1244"/>
      <c r="U100" s="1244"/>
      <c r="V100" s="1244"/>
      <c r="W100" s="1244"/>
      <c r="X100" s="1244"/>
      <c r="Y100" s="1244"/>
      <c r="Z100" s="1244"/>
      <c r="AA100" s="1244"/>
      <c r="AB100" s="1244"/>
      <c r="AC100" s="1244"/>
      <c r="AD100" s="1244"/>
      <c r="AE100" s="1244"/>
      <c r="AF100" s="1244"/>
      <c r="AG100" s="1244"/>
      <c r="AH100" s="1239" t="s">
        <v>2017</v>
      </c>
    </row>
    <row r="101" spans="1:34">
      <c r="A101" s="1247" t="s">
        <v>2016</v>
      </c>
      <c r="B101" s="1246"/>
      <c r="C101" s="1246"/>
      <c r="D101" s="1246"/>
      <c r="E101" s="1246"/>
      <c r="F101" s="1246"/>
      <c r="G101" s="1246"/>
      <c r="H101" s="1246"/>
      <c r="I101" s="1245"/>
      <c r="J101" s="1244"/>
      <c r="K101" s="1244"/>
      <c r="L101" s="1244"/>
      <c r="M101" s="1244"/>
      <c r="N101" s="1244"/>
      <c r="O101" s="1244"/>
      <c r="P101" s="1244"/>
      <c r="Q101" s="1244"/>
      <c r="R101" s="1244"/>
      <c r="S101" s="1244"/>
      <c r="T101" s="1244"/>
      <c r="U101" s="1244"/>
      <c r="V101" s="1244"/>
      <c r="W101" s="1244"/>
      <c r="X101" s="1244"/>
      <c r="Y101" s="1244"/>
      <c r="Z101" s="1244"/>
      <c r="AA101" s="1244"/>
      <c r="AB101" s="1244"/>
      <c r="AC101" s="1244"/>
      <c r="AD101" s="1244"/>
      <c r="AE101" s="1244"/>
      <c r="AF101" s="1244"/>
      <c r="AG101" s="1244"/>
      <c r="AH101" s="1239" t="s">
        <v>2015</v>
      </c>
    </row>
    <row r="102" spans="1:34">
      <c r="A102" s="1247" t="s">
        <v>2014</v>
      </c>
      <c r="B102" s="1246"/>
      <c r="C102" s="1246"/>
      <c r="D102" s="1246"/>
      <c r="E102" s="1246"/>
      <c r="F102" s="1246"/>
      <c r="G102" s="1246"/>
      <c r="H102" s="1246"/>
      <c r="I102" s="1245"/>
      <c r="J102" s="1244"/>
      <c r="K102" s="1244"/>
      <c r="L102" s="1244"/>
      <c r="M102" s="1244"/>
      <c r="N102" s="1244"/>
      <c r="O102" s="1244"/>
      <c r="P102" s="1244"/>
      <c r="Q102" s="1244"/>
      <c r="R102" s="1244"/>
      <c r="S102" s="1244"/>
      <c r="T102" s="1244"/>
      <c r="U102" s="1244"/>
      <c r="V102" s="1244"/>
      <c r="W102" s="1244"/>
      <c r="X102" s="1244"/>
      <c r="Y102" s="1244"/>
      <c r="Z102" s="1244"/>
      <c r="AA102" s="1244"/>
      <c r="AB102" s="1244"/>
      <c r="AC102" s="1244"/>
      <c r="AD102" s="1244"/>
      <c r="AE102" s="1244"/>
      <c r="AF102" s="1244"/>
      <c r="AG102" s="1244"/>
      <c r="AH102" s="1239" t="s">
        <v>2013</v>
      </c>
    </row>
    <row r="103" spans="1:34">
      <c r="A103" s="1247" t="s">
        <v>2012</v>
      </c>
      <c r="B103" s="1246"/>
      <c r="C103" s="1246"/>
      <c r="D103" s="1246"/>
      <c r="E103" s="1246"/>
      <c r="F103" s="1246"/>
      <c r="G103" s="1246"/>
      <c r="H103" s="1246"/>
      <c r="I103" s="1245"/>
      <c r="J103" s="1244"/>
      <c r="K103" s="1244"/>
      <c r="L103" s="1244"/>
      <c r="M103" s="1244"/>
      <c r="N103" s="1244"/>
      <c r="O103" s="1244"/>
      <c r="P103" s="1244"/>
      <c r="Q103" s="1244"/>
      <c r="R103" s="1244"/>
      <c r="S103" s="1244"/>
      <c r="T103" s="1244"/>
      <c r="U103" s="1244"/>
      <c r="V103" s="1244"/>
      <c r="W103" s="1244"/>
      <c r="X103" s="1244"/>
      <c r="Y103" s="1244"/>
      <c r="Z103" s="1244"/>
      <c r="AA103" s="1244"/>
      <c r="AB103" s="1244"/>
      <c r="AC103" s="1244"/>
      <c r="AD103" s="1244"/>
      <c r="AE103" s="1244"/>
      <c r="AF103" s="1244"/>
      <c r="AG103" s="1244"/>
      <c r="AH103" s="1239" t="s">
        <v>2011</v>
      </c>
    </row>
    <row r="104" spans="1:34">
      <c r="A104" s="1247" t="s">
        <v>2010</v>
      </c>
      <c r="B104" s="1246"/>
      <c r="C104" s="1246"/>
      <c r="D104" s="1246"/>
      <c r="E104" s="1246"/>
      <c r="F104" s="1246"/>
      <c r="G104" s="1246"/>
      <c r="H104" s="1246"/>
      <c r="I104" s="1245"/>
      <c r="J104" s="1244"/>
      <c r="K104" s="1244"/>
      <c r="L104" s="1244"/>
      <c r="M104" s="1244"/>
      <c r="N104" s="1244"/>
      <c r="O104" s="1244"/>
      <c r="P104" s="1244"/>
      <c r="Q104" s="1244"/>
      <c r="R104" s="1244"/>
      <c r="S104" s="1244"/>
      <c r="T104" s="1244"/>
      <c r="U104" s="1244"/>
      <c r="V104" s="1244"/>
      <c r="W104" s="1244"/>
      <c r="X104" s="1244"/>
      <c r="Y104" s="1244"/>
      <c r="Z104" s="1244"/>
      <c r="AA104" s="1244"/>
      <c r="AB104" s="1244"/>
      <c r="AC104" s="1244"/>
      <c r="AD104" s="1244"/>
      <c r="AE104" s="1244"/>
      <c r="AF104" s="1244"/>
      <c r="AG104" s="1244"/>
      <c r="AH104" s="1239" t="s">
        <v>2009</v>
      </c>
    </row>
    <row r="105" spans="1:34">
      <c r="A105" s="1247" t="s">
        <v>2008</v>
      </c>
      <c r="B105" s="1246"/>
      <c r="C105" s="1246"/>
      <c r="D105" s="1246"/>
      <c r="E105" s="1246"/>
      <c r="F105" s="1246"/>
      <c r="G105" s="1246"/>
      <c r="H105" s="1246"/>
      <c r="I105" s="1245"/>
      <c r="J105" s="1244"/>
      <c r="K105" s="1244"/>
      <c r="L105" s="1244"/>
      <c r="M105" s="1244"/>
      <c r="N105" s="1244"/>
      <c r="O105" s="1244"/>
      <c r="P105" s="1244"/>
      <c r="Q105" s="1244"/>
      <c r="R105" s="1244"/>
      <c r="S105" s="1244"/>
      <c r="T105" s="1244"/>
      <c r="U105" s="1244"/>
      <c r="V105" s="1244"/>
      <c r="W105" s="1244"/>
      <c r="X105" s="1244"/>
      <c r="Y105" s="1244"/>
      <c r="Z105" s="1244"/>
      <c r="AA105" s="1244"/>
      <c r="AB105" s="1244"/>
      <c r="AC105" s="1244"/>
      <c r="AD105" s="1244"/>
      <c r="AE105" s="1244"/>
      <c r="AF105" s="1244"/>
      <c r="AG105" s="1244"/>
      <c r="AH105" s="1239" t="s">
        <v>2007</v>
      </c>
    </row>
    <row r="106" spans="1:34">
      <c r="A106" s="1247" t="s">
        <v>2006</v>
      </c>
      <c r="B106" s="1246"/>
      <c r="C106" s="1246"/>
      <c r="D106" s="1246"/>
      <c r="E106" s="1246"/>
      <c r="F106" s="1246"/>
      <c r="G106" s="1246"/>
      <c r="H106" s="1246"/>
      <c r="I106" s="1245"/>
      <c r="J106" s="1244"/>
      <c r="K106" s="1244"/>
      <c r="L106" s="1244"/>
      <c r="M106" s="1244"/>
      <c r="N106" s="1244"/>
      <c r="O106" s="1244"/>
      <c r="P106" s="1244"/>
      <c r="Q106" s="1244"/>
      <c r="R106" s="1244"/>
      <c r="S106" s="1244"/>
      <c r="T106" s="1244"/>
      <c r="U106" s="1244"/>
      <c r="V106" s="1244"/>
      <c r="W106" s="1244"/>
      <c r="X106" s="1244"/>
      <c r="Y106" s="1244"/>
      <c r="Z106" s="1244"/>
      <c r="AA106" s="1244"/>
      <c r="AB106" s="1244"/>
      <c r="AC106" s="1244"/>
      <c r="AD106" s="1244"/>
      <c r="AE106" s="1244"/>
      <c r="AF106" s="1244"/>
      <c r="AG106" s="1244"/>
      <c r="AH106" s="1239" t="s">
        <v>2005</v>
      </c>
    </row>
    <row r="107" spans="1:34">
      <c r="A107" s="1247" t="s">
        <v>2004</v>
      </c>
      <c r="B107" s="1246"/>
      <c r="C107" s="1246"/>
      <c r="D107" s="1246"/>
      <c r="E107" s="1246"/>
      <c r="F107" s="1246"/>
      <c r="G107" s="1246"/>
      <c r="H107" s="1246"/>
      <c r="I107" s="1245"/>
      <c r="J107" s="1244"/>
      <c r="K107" s="1244"/>
      <c r="L107" s="1244"/>
      <c r="M107" s="1244"/>
      <c r="N107" s="1244"/>
      <c r="O107" s="1244"/>
      <c r="P107" s="1244"/>
      <c r="Q107" s="1244"/>
      <c r="R107" s="1244"/>
      <c r="S107" s="1244"/>
      <c r="T107" s="1244"/>
      <c r="U107" s="1244"/>
      <c r="V107" s="1244"/>
      <c r="W107" s="1244"/>
      <c r="X107" s="1244"/>
      <c r="Y107" s="1244"/>
      <c r="Z107" s="1244"/>
      <c r="AA107" s="1244"/>
      <c r="AB107" s="1244"/>
      <c r="AC107" s="1244"/>
      <c r="AD107" s="1244"/>
      <c r="AE107" s="1244"/>
      <c r="AF107" s="1244"/>
      <c r="AG107" s="1244"/>
      <c r="AH107" s="1239" t="s">
        <v>2003</v>
      </c>
    </row>
    <row r="108" spans="1:34">
      <c r="A108" s="1247" t="s">
        <v>2002</v>
      </c>
      <c r="B108" s="1246"/>
      <c r="C108" s="1246"/>
      <c r="D108" s="1246"/>
      <c r="E108" s="1246"/>
      <c r="F108" s="1246"/>
      <c r="G108" s="1246"/>
      <c r="H108" s="1246"/>
      <c r="I108" s="1245"/>
      <c r="J108" s="1244"/>
      <c r="K108" s="1244"/>
      <c r="L108" s="1244"/>
      <c r="M108" s="1244"/>
      <c r="N108" s="1244"/>
      <c r="O108" s="1244"/>
      <c r="P108" s="1244"/>
      <c r="Q108" s="1244"/>
      <c r="R108" s="1244"/>
      <c r="S108" s="1244"/>
      <c r="T108" s="1244"/>
      <c r="U108" s="1244"/>
      <c r="V108" s="1244"/>
      <c r="W108" s="1244"/>
      <c r="X108" s="1244"/>
      <c r="Y108" s="1244"/>
      <c r="Z108" s="1244"/>
      <c r="AA108" s="1244"/>
      <c r="AB108" s="1244"/>
      <c r="AC108" s="1244"/>
      <c r="AD108" s="1244"/>
      <c r="AE108" s="1244"/>
      <c r="AF108" s="1244"/>
      <c r="AG108" s="1244"/>
      <c r="AH108" s="1239" t="s">
        <v>2001</v>
      </c>
    </row>
    <row r="109" spans="1:34">
      <c r="A109" s="1247" t="s">
        <v>2000</v>
      </c>
      <c r="B109" s="1246"/>
      <c r="C109" s="1246"/>
      <c r="D109" s="1246"/>
      <c r="E109" s="1246"/>
      <c r="F109" s="1246"/>
      <c r="G109" s="1246"/>
      <c r="H109" s="1246"/>
      <c r="I109" s="1245"/>
      <c r="J109" s="1244"/>
      <c r="K109" s="1244"/>
      <c r="L109" s="1244"/>
      <c r="M109" s="1244"/>
      <c r="N109" s="1244"/>
      <c r="O109" s="1244"/>
      <c r="P109" s="1244"/>
      <c r="Q109" s="1244"/>
      <c r="R109" s="1244"/>
      <c r="S109" s="1244"/>
      <c r="T109" s="1244"/>
      <c r="U109" s="1244"/>
      <c r="V109" s="1244"/>
      <c r="W109" s="1244"/>
      <c r="X109" s="1244"/>
      <c r="Y109" s="1244"/>
      <c r="Z109" s="1244"/>
      <c r="AA109" s="1244"/>
      <c r="AB109" s="1244"/>
      <c r="AC109" s="1244"/>
      <c r="AD109" s="1244"/>
      <c r="AE109" s="1244"/>
      <c r="AF109" s="1244"/>
      <c r="AG109" s="1244"/>
      <c r="AH109" s="1239" t="s">
        <v>1999</v>
      </c>
    </row>
    <row r="110" spans="1:34">
      <c r="A110" s="1247" t="s">
        <v>1998</v>
      </c>
      <c r="B110" s="1246"/>
      <c r="C110" s="1246"/>
      <c r="D110" s="1246"/>
      <c r="E110" s="1246"/>
      <c r="F110" s="1246"/>
      <c r="G110" s="1246"/>
      <c r="H110" s="1246"/>
      <c r="I110" s="1245"/>
      <c r="J110" s="1244"/>
      <c r="K110" s="1244"/>
      <c r="L110" s="1244"/>
      <c r="M110" s="1244"/>
      <c r="N110" s="1244"/>
      <c r="O110" s="1244"/>
      <c r="P110" s="1244"/>
      <c r="Q110" s="1244"/>
      <c r="R110" s="1244"/>
      <c r="S110" s="1244"/>
      <c r="T110" s="1244"/>
      <c r="U110" s="1244"/>
      <c r="V110" s="1244"/>
      <c r="W110" s="1244"/>
      <c r="X110" s="1244"/>
      <c r="Y110" s="1244"/>
      <c r="Z110" s="1244"/>
      <c r="AA110" s="1244"/>
      <c r="AB110" s="1244"/>
      <c r="AC110" s="1244"/>
      <c r="AD110" s="1244"/>
      <c r="AE110" s="1244"/>
      <c r="AF110" s="1244"/>
      <c r="AG110" s="1244"/>
      <c r="AH110" s="1239" t="s">
        <v>1997</v>
      </c>
    </row>
    <row r="111" spans="1:34">
      <c r="A111" s="1247" t="s">
        <v>1996</v>
      </c>
      <c r="B111" s="1246"/>
      <c r="C111" s="1246"/>
      <c r="D111" s="1246"/>
      <c r="E111" s="1246"/>
      <c r="F111" s="1246"/>
      <c r="G111" s="1246"/>
      <c r="H111" s="1246"/>
      <c r="I111" s="1245"/>
      <c r="J111" s="1244"/>
      <c r="K111" s="1244"/>
      <c r="L111" s="1244"/>
      <c r="M111" s="1244"/>
      <c r="N111" s="1244"/>
      <c r="O111" s="1244"/>
      <c r="P111" s="1244"/>
      <c r="Q111" s="1244"/>
      <c r="R111" s="1244"/>
      <c r="S111" s="1244"/>
      <c r="T111" s="1244"/>
      <c r="U111" s="1244"/>
      <c r="V111" s="1244"/>
      <c r="W111" s="1244"/>
      <c r="X111" s="1244"/>
      <c r="Y111" s="1244"/>
      <c r="Z111" s="1244"/>
      <c r="AA111" s="1244"/>
      <c r="AB111" s="1244"/>
      <c r="AC111" s="1244"/>
      <c r="AD111" s="1244"/>
      <c r="AE111" s="1244"/>
      <c r="AF111" s="1244"/>
      <c r="AG111" s="1244"/>
      <c r="AH111" s="1239" t="s">
        <v>1995</v>
      </c>
    </row>
    <row r="112" spans="1:34">
      <c r="A112" s="1247" t="s">
        <v>1994</v>
      </c>
      <c r="B112" s="1246"/>
      <c r="C112" s="1246"/>
      <c r="D112" s="1246"/>
      <c r="E112" s="1246"/>
      <c r="F112" s="1246"/>
      <c r="G112" s="1246"/>
      <c r="H112" s="1246"/>
      <c r="I112" s="1245"/>
      <c r="J112" s="1244"/>
      <c r="K112" s="1244"/>
      <c r="L112" s="1244"/>
      <c r="M112" s="1244"/>
      <c r="N112" s="1244"/>
      <c r="O112" s="1244"/>
      <c r="P112" s="1244"/>
      <c r="Q112" s="1244"/>
      <c r="R112" s="1244"/>
      <c r="S112" s="1244"/>
      <c r="T112" s="1244"/>
      <c r="U112" s="1244"/>
      <c r="V112" s="1244"/>
      <c r="W112" s="1244"/>
      <c r="X112" s="1244"/>
      <c r="Y112" s="1244"/>
      <c r="Z112" s="1244"/>
      <c r="AA112" s="1244"/>
      <c r="AB112" s="1244"/>
      <c r="AC112" s="1244"/>
      <c r="AD112" s="1244"/>
      <c r="AE112" s="1244"/>
      <c r="AF112" s="1244"/>
      <c r="AG112" s="1244"/>
      <c r="AH112" s="1239" t="s">
        <v>1993</v>
      </c>
    </row>
    <row r="113" spans="1:34">
      <c r="A113" s="1247" t="s">
        <v>1990</v>
      </c>
      <c r="B113" s="1246"/>
      <c r="C113" s="1246"/>
      <c r="D113" s="1246"/>
      <c r="E113" s="1246"/>
      <c r="F113" s="1246"/>
      <c r="G113" s="1246"/>
      <c r="H113" s="1246"/>
      <c r="I113" s="1245"/>
      <c r="J113" s="1244"/>
      <c r="K113" s="1244"/>
      <c r="L113" s="1244"/>
      <c r="M113" s="1244"/>
      <c r="N113" s="1244"/>
      <c r="O113" s="1244"/>
      <c r="P113" s="1244"/>
      <c r="Q113" s="1244"/>
      <c r="R113" s="1244"/>
      <c r="S113" s="1244"/>
      <c r="T113" s="1244"/>
      <c r="U113" s="1244"/>
      <c r="V113" s="1244"/>
      <c r="W113" s="1244"/>
      <c r="X113" s="1244"/>
      <c r="Y113" s="1244"/>
      <c r="Z113" s="1244"/>
      <c r="AA113" s="1244"/>
      <c r="AB113" s="1244"/>
      <c r="AC113" s="1244"/>
      <c r="AD113" s="1244"/>
      <c r="AE113" s="1244"/>
      <c r="AF113" s="1244"/>
      <c r="AG113" s="1244"/>
      <c r="AH113" s="1239" t="s">
        <v>1992</v>
      </c>
    </row>
    <row r="114" spans="1:34">
      <c r="A114" s="1247" t="s">
        <v>1988</v>
      </c>
      <c r="B114" s="1246"/>
      <c r="C114" s="1246"/>
      <c r="D114" s="1246"/>
      <c r="E114" s="1246"/>
      <c r="F114" s="1246"/>
      <c r="G114" s="1246"/>
      <c r="H114" s="1246"/>
      <c r="I114" s="1245"/>
      <c r="J114" s="1244"/>
      <c r="K114" s="1244"/>
      <c r="L114" s="1244"/>
      <c r="M114" s="1244"/>
      <c r="N114" s="1244"/>
      <c r="O114" s="1244"/>
      <c r="P114" s="1244"/>
      <c r="Q114" s="1244"/>
      <c r="R114" s="1244"/>
      <c r="S114" s="1244"/>
      <c r="T114" s="1244"/>
      <c r="U114" s="1244"/>
      <c r="V114" s="1244"/>
      <c r="W114" s="1244"/>
      <c r="X114" s="1244"/>
      <c r="Y114" s="1244"/>
      <c r="Z114" s="1244"/>
      <c r="AA114" s="1244"/>
      <c r="AB114" s="1244"/>
      <c r="AC114" s="1244"/>
      <c r="AD114" s="1244"/>
      <c r="AE114" s="1244"/>
      <c r="AF114" s="1244"/>
      <c r="AG114" s="1244"/>
      <c r="AH114" s="1239" t="s">
        <v>1991</v>
      </c>
    </row>
    <row r="115" spans="1:34">
      <c r="A115" s="1247" t="s">
        <v>1990</v>
      </c>
      <c r="B115" s="1246"/>
      <c r="C115" s="1246"/>
      <c r="D115" s="1246"/>
      <c r="E115" s="1246"/>
      <c r="F115" s="1246"/>
      <c r="G115" s="1246"/>
      <c r="H115" s="1246"/>
      <c r="I115" s="1245"/>
      <c r="J115" s="1244"/>
      <c r="K115" s="1244"/>
      <c r="L115" s="1244"/>
      <c r="M115" s="1244"/>
      <c r="N115" s="1244"/>
      <c r="O115" s="1244"/>
      <c r="P115" s="1244"/>
      <c r="Q115" s="1244"/>
      <c r="R115" s="1244"/>
      <c r="S115" s="1244"/>
      <c r="T115" s="1244"/>
      <c r="U115" s="1244"/>
      <c r="V115" s="1244"/>
      <c r="W115" s="1244"/>
      <c r="X115" s="1244"/>
      <c r="Y115" s="1244"/>
      <c r="Z115" s="1244"/>
      <c r="AA115" s="1244"/>
      <c r="AB115" s="1244"/>
      <c r="AC115" s="1244"/>
      <c r="AD115" s="1244"/>
      <c r="AE115" s="1244"/>
      <c r="AF115" s="1244"/>
      <c r="AG115" s="1244"/>
      <c r="AH115" s="1239" t="s">
        <v>1989</v>
      </c>
    </row>
    <row r="116" spans="1:34">
      <c r="A116" s="1247" t="s">
        <v>1988</v>
      </c>
      <c r="B116" s="1246"/>
      <c r="C116" s="1246"/>
      <c r="D116" s="1246"/>
      <c r="E116" s="1246"/>
      <c r="F116" s="1246"/>
      <c r="G116" s="1246"/>
      <c r="H116" s="1246"/>
      <c r="I116" s="1245"/>
      <c r="J116" s="1244"/>
      <c r="K116" s="1244"/>
      <c r="L116" s="1244"/>
      <c r="M116" s="1244"/>
      <c r="N116" s="1244"/>
      <c r="O116" s="1244"/>
      <c r="P116" s="1244"/>
      <c r="Q116" s="1244"/>
      <c r="R116" s="1244"/>
      <c r="S116" s="1244"/>
      <c r="T116" s="1244"/>
      <c r="U116" s="1244"/>
      <c r="V116" s="1244"/>
      <c r="W116" s="1244"/>
      <c r="X116" s="1244"/>
      <c r="Y116" s="1244"/>
      <c r="Z116" s="1244"/>
      <c r="AA116" s="1244"/>
      <c r="AB116" s="1244"/>
      <c r="AC116" s="1244"/>
      <c r="AD116" s="1244"/>
      <c r="AE116" s="1244"/>
      <c r="AF116" s="1244"/>
      <c r="AG116" s="1244"/>
      <c r="AH116" s="1239" t="s">
        <v>1987</v>
      </c>
    </row>
    <row r="117" spans="1:34">
      <c r="A117" s="1247" t="s">
        <v>1986</v>
      </c>
      <c r="B117" s="1246"/>
      <c r="C117" s="1246"/>
      <c r="D117" s="1246"/>
      <c r="E117" s="1246"/>
      <c r="F117" s="1246"/>
      <c r="G117" s="1246"/>
      <c r="H117" s="1246"/>
      <c r="I117" s="1245"/>
      <c r="J117" s="1244"/>
      <c r="K117" s="1244"/>
      <c r="L117" s="1244"/>
      <c r="M117" s="1244"/>
      <c r="N117" s="1244"/>
      <c r="O117" s="1244"/>
      <c r="P117" s="1244"/>
      <c r="Q117" s="1244"/>
      <c r="R117" s="1244"/>
      <c r="S117" s="1244"/>
      <c r="T117" s="1244"/>
      <c r="U117" s="1244"/>
      <c r="V117" s="1244"/>
      <c r="W117" s="1244"/>
      <c r="X117" s="1244"/>
      <c r="Y117" s="1244"/>
      <c r="Z117" s="1244"/>
      <c r="AA117" s="1244"/>
      <c r="AB117" s="1244"/>
      <c r="AC117" s="1244"/>
      <c r="AD117" s="1244"/>
      <c r="AE117" s="1244"/>
      <c r="AF117" s="1244"/>
      <c r="AG117" s="1244"/>
      <c r="AH117" s="1239" t="s">
        <v>1985</v>
      </c>
    </row>
    <row r="118" spans="1:34">
      <c r="A118" s="1247" t="s">
        <v>1984</v>
      </c>
      <c r="B118" s="1246"/>
      <c r="C118" s="1246"/>
      <c r="D118" s="1246"/>
      <c r="E118" s="1246"/>
      <c r="F118" s="1246"/>
      <c r="G118" s="1246"/>
      <c r="H118" s="1246"/>
      <c r="I118" s="1245"/>
      <c r="J118" s="1244"/>
      <c r="K118" s="1244"/>
      <c r="L118" s="1244"/>
      <c r="M118" s="1244"/>
      <c r="N118" s="1244"/>
      <c r="O118" s="1244"/>
      <c r="P118" s="1244"/>
      <c r="Q118" s="1244"/>
      <c r="R118" s="1244"/>
      <c r="S118" s="1244"/>
      <c r="T118" s="1244"/>
      <c r="U118" s="1244"/>
      <c r="V118" s="1244"/>
      <c r="W118" s="1244"/>
      <c r="X118" s="1244"/>
      <c r="Y118" s="1244"/>
      <c r="Z118" s="1244"/>
      <c r="AA118" s="1244"/>
      <c r="AB118" s="1244"/>
      <c r="AC118" s="1244"/>
      <c r="AD118" s="1244"/>
      <c r="AE118" s="1244"/>
      <c r="AF118" s="1244"/>
      <c r="AG118" s="1244"/>
      <c r="AH118" s="1239" t="s">
        <v>1983</v>
      </c>
    </row>
    <row r="119" spans="1:34">
      <c r="A119" s="1247" t="s">
        <v>1982</v>
      </c>
      <c r="B119" s="1246"/>
      <c r="C119" s="1246"/>
      <c r="D119" s="1246"/>
      <c r="E119" s="1246"/>
      <c r="F119" s="1246"/>
      <c r="G119" s="1246"/>
      <c r="H119" s="1246"/>
      <c r="I119" s="1245"/>
      <c r="J119" s="1244"/>
      <c r="K119" s="1244"/>
      <c r="L119" s="1244"/>
      <c r="M119" s="1244"/>
      <c r="N119" s="1244"/>
      <c r="O119" s="1244"/>
      <c r="P119" s="1244"/>
      <c r="Q119" s="1244"/>
      <c r="R119" s="1244"/>
      <c r="S119" s="1244"/>
      <c r="T119" s="1244"/>
      <c r="U119" s="1244"/>
      <c r="V119" s="1244"/>
      <c r="W119" s="1244"/>
      <c r="X119" s="1244"/>
      <c r="Y119" s="1244"/>
      <c r="Z119" s="1244"/>
      <c r="AA119" s="1244"/>
      <c r="AB119" s="1244"/>
      <c r="AC119" s="1244"/>
      <c r="AD119" s="1244"/>
      <c r="AE119" s="1244"/>
      <c r="AF119" s="1244"/>
      <c r="AG119" s="1244"/>
      <c r="AH119" s="1239" t="s">
        <v>1981</v>
      </c>
    </row>
    <row r="120" spans="1:34">
      <c r="A120" s="1247" t="s">
        <v>1980</v>
      </c>
      <c r="B120" s="1246"/>
      <c r="C120" s="1246"/>
      <c r="D120" s="1246"/>
      <c r="E120" s="1246"/>
      <c r="F120" s="1246"/>
      <c r="G120" s="1246"/>
      <c r="H120" s="1246"/>
      <c r="I120" s="1245"/>
      <c r="J120" s="1244"/>
      <c r="K120" s="1244"/>
      <c r="L120" s="1244"/>
      <c r="M120" s="1244"/>
      <c r="N120" s="1244"/>
      <c r="O120" s="1244"/>
      <c r="P120" s="1244"/>
      <c r="Q120" s="1244"/>
      <c r="R120" s="1244"/>
      <c r="S120" s="1244"/>
      <c r="T120" s="1244"/>
      <c r="U120" s="1244"/>
      <c r="V120" s="1244"/>
      <c r="W120" s="1244"/>
      <c r="X120" s="1244"/>
      <c r="Y120" s="1244"/>
      <c r="Z120" s="1244"/>
      <c r="AA120" s="1244"/>
      <c r="AB120" s="1244"/>
      <c r="AC120" s="1244"/>
      <c r="AD120" s="1244"/>
      <c r="AE120" s="1244"/>
      <c r="AF120" s="1244"/>
      <c r="AG120" s="1244"/>
      <c r="AH120" s="1239" t="s">
        <v>1979</v>
      </c>
    </row>
    <row r="121" spans="1:34">
      <c r="A121" s="1247" t="s">
        <v>1978</v>
      </c>
      <c r="B121" s="1246"/>
      <c r="C121" s="1246"/>
      <c r="D121" s="1246"/>
      <c r="E121" s="1246"/>
      <c r="F121" s="1246"/>
      <c r="G121" s="1246"/>
      <c r="H121" s="1246"/>
      <c r="I121" s="1245"/>
      <c r="J121" s="1244"/>
      <c r="K121" s="1244"/>
      <c r="L121" s="1244"/>
      <c r="M121" s="1244"/>
      <c r="N121" s="1244"/>
      <c r="O121" s="1244"/>
      <c r="P121" s="1244"/>
      <c r="Q121" s="1244"/>
      <c r="R121" s="1244"/>
      <c r="S121" s="1244"/>
      <c r="T121" s="1244"/>
      <c r="U121" s="1244"/>
      <c r="V121" s="1244"/>
      <c r="W121" s="1244"/>
      <c r="X121" s="1244"/>
      <c r="Y121" s="1244"/>
      <c r="Z121" s="1244"/>
      <c r="AA121" s="1244"/>
      <c r="AB121" s="1244"/>
      <c r="AC121" s="1244"/>
      <c r="AD121" s="1244"/>
      <c r="AE121" s="1244"/>
      <c r="AF121" s="1244"/>
      <c r="AG121" s="1244"/>
      <c r="AH121" s="1239" t="s">
        <v>1977</v>
      </c>
    </row>
    <row r="122" spans="1:34">
      <c r="A122" s="1247" t="s">
        <v>1976</v>
      </c>
      <c r="B122" s="1246"/>
      <c r="C122" s="1246"/>
      <c r="D122" s="1246"/>
      <c r="E122" s="1246"/>
      <c r="F122" s="1246"/>
      <c r="G122" s="1246"/>
      <c r="H122" s="1246"/>
      <c r="I122" s="1245"/>
      <c r="J122" s="1244"/>
      <c r="K122" s="1244"/>
      <c r="L122" s="1244"/>
      <c r="M122" s="1244"/>
      <c r="N122" s="1244"/>
      <c r="O122" s="1244"/>
      <c r="P122" s="1244"/>
      <c r="Q122" s="1244"/>
      <c r="R122" s="1244"/>
      <c r="S122" s="1244"/>
      <c r="T122" s="1244"/>
      <c r="U122" s="1244"/>
      <c r="V122" s="1244"/>
      <c r="W122" s="1244"/>
      <c r="X122" s="1244"/>
      <c r="Y122" s="1244"/>
      <c r="Z122" s="1244"/>
      <c r="AA122" s="1244"/>
      <c r="AB122" s="1244"/>
      <c r="AC122" s="1244"/>
      <c r="AD122" s="1244"/>
      <c r="AE122" s="1244"/>
      <c r="AF122" s="1244"/>
      <c r="AG122" s="1244"/>
      <c r="AH122" s="1239" t="s">
        <v>1975</v>
      </c>
    </row>
    <row r="123" spans="1:34">
      <c r="A123" s="1247" t="s">
        <v>1974</v>
      </c>
      <c r="B123" s="1246"/>
      <c r="C123" s="1246"/>
      <c r="D123" s="1246"/>
      <c r="E123" s="1246"/>
      <c r="F123" s="1246"/>
      <c r="G123" s="1246"/>
      <c r="H123" s="1246"/>
      <c r="I123" s="1245"/>
      <c r="J123" s="1244"/>
      <c r="K123" s="1244"/>
      <c r="L123" s="1244"/>
      <c r="M123" s="1244"/>
      <c r="N123" s="1244"/>
      <c r="O123" s="1244"/>
      <c r="P123" s="1244"/>
      <c r="Q123" s="1244"/>
      <c r="R123" s="1244"/>
      <c r="S123" s="1244"/>
      <c r="T123" s="1244"/>
      <c r="U123" s="1244"/>
      <c r="V123" s="1244"/>
      <c r="W123" s="1244"/>
      <c r="X123" s="1244"/>
      <c r="Y123" s="1244"/>
      <c r="Z123" s="1244"/>
      <c r="AA123" s="1244"/>
      <c r="AB123" s="1244"/>
      <c r="AC123" s="1244"/>
      <c r="AD123" s="1244"/>
      <c r="AE123" s="1244"/>
      <c r="AF123" s="1244"/>
      <c r="AG123" s="1244"/>
      <c r="AH123" s="1239" t="s">
        <v>1973</v>
      </c>
    </row>
    <row r="124" spans="1:34">
      <c r="A124" s="1247" t="s">
        <v>1972</v>
      </c>
      <c r="B124" s="1246"/>
      <c r="C124" s="1246"/>
      <c r="D124" s="1246"/>
      <c r="E124" s="1246"/>
      <c r="F124" s="1246"/>
      <c r="G124" s="1246"/>
      <c r="H124" s="1246"/>
      <c r="I124" s="1245"/>
      <c r="J124" s="1244"/>
      <c r="K124" s="1244"/>
      <c r="L124" s="1244"/>
      <c r="M124" s="1244"/>
      <c r="N124" s="1244"/>
      <c r="O124" s="1244"/>
      <c r="P124" s="1244"/>
      <c r="Q124" s="1244"/>
      <c r="R124" s="1244"/>
      <c r="S124" s="1244"/>
      <c r="T124" s="1244"/>
      <c r="U124" s="1244"/>
      <c r="V124" s="1244"/>
      <c r="W124" s="1244"/>
      <c r="X124" s="1244"/>
      <c r="Y124" s="1244"/>
      <c r="Z124" s="1244"/>
      <c r="AA124" s="1244"/>
      <c r="AB124" s="1244"/>
      <c r="AC124" s="1244"/>
      <c r="AD124" s="1244"/>
      <c r="AE124" s="1244"/>
      <c r="AF124" s="1244"/>
      <c r="AG124" s="1244"/>
      <c r="AH124" s="1239" t="s">
        <v>1971</v>
      </c>
    </row>
    <row r="125" spans="1:34">
      <c r="A125" s="1247" t="s">
        <v>1970</v>
      </c>
      <c r="B125" s="1246"/>
      <c r="C125" s="1246"/>
      <c r="D125" s="1246"/>
      <c r="E125" s="1246"/>
      <c r="F125" s="1246"/>
      <c r="G125" s="1246"/>
      <c r="H125" s="1246"/>
      <c r="I125" s="1245"/>
      <c r="J125" s="1244"/>
      <c r="K125" s="1244"/>
      <c r="L125" s="1244"/>
      <c r="M125" s="1244"/>
      <c r="N125" s="1244"/>
      <c r="O125" s="1244"/>
      <c r="P125" s="1244"/>
      <c r="Q125" s="1244"/>
      <c r="R125" s="1244"/>
      <c r="S125" s="1244"/>
      <c r="T125" s="1244"/>
      <c r="U125" s="1244"/>
      <c r="V125" s="1244"/>
      <c r="W125" s="1244"/>
      <c r="X125" s="1244"/>
      <c r="Y125" s="1244"/>
      <c r="Z125" s="1244"/>
      <c r="AA125" s="1244"/>
      <c r="AB125" s="1244"/>
      <c r="AC125" s="1244"/>
      <c r="AD125" s="1244"/>
      <c r="AE125" s="1244"/>
      <c r="AF125" s="1244"/>
      <c r="AG125" s="1244"/>
      <c r="AH125" s="1239" t="s">
        <v>1969</v>
      </c>
    </row>
    <row r="126" spans="1:34">
      <c r="A126" s="1247" t="s">
        <v>1968</v>
      </c>
      <c r="B126" s="1246"/>
      <c r="C126" s="1246"/>
      <c r="D126" s="1246"/>
      <c r="E126" s="1246"/>
      <c r="F126" s="1246"/>
      <c r="G126" s="1246"/>
      <c r="H126" s="1246"/>
      <c r="I126" s="1245"/>
      <c r="J126" s="1244"/>
      <c r="K126" s="1244"/>
      <c r="L126" s="1244"/>
      <c r="M126" s="1244"/>
      <c r="N126" s="1244"/>
      <c r="O126" s="1244"/>
      <c r="P126" s="1244"/>
      <c r="Q126" s="1244"/>
      <c r="R126" s="1244"/>
      <c r="S126" s="1244"/>
      <c r="T126" s="1244"/>
      <c r="U126" s="1244"/>
      <c r="V126" s="1244"/>
      <c r="W126" s="1244"/>
      <c r="X126" s="1244"/>
      <c r="Y126" s="1244"/>
      <c r="Z126" s="1244"/>
      <c r="AA126" s="1244"/>
      <c r="AB126" s="1244"/>
      <c r="AC126" s="1244"/>
      <c r="AD126" s="1244"/>
      <c r="AE126" s="1244"/>
      <c r="AF126" s="1244"/>
      <c r="AG126" s="1244"/>
      <c r="AH126" s="1239" t="s">
        <v>1967</v>
      </c>
    </row>
    <row r="127" spans="1:34">
      <c r="A127" s="1247" t="s">
        <v>1966</v>
      </c>
      <c r="B127" s="1246"/>
      <c r="C127" s="1246"/>
      <c r="D127" s="1246"/>
      <c r="E127" s="1246"/>
      <c r="F127" s="1246"/>
      <c r="G127" s="1246"/>
      <c r="H127" s="1246"/>
      <c r="I127" s="1245"/>
      <c r="J127" s="1244"/>
      <c r="K127" s="1244"/>
      <c r="L127" s="1244"/>
      <c r="M127" s="1244"/>
      <c r="N127" s="1244"/>
      <c r="O127" s="1244"/>
      <c r="P127" s="1244"/>
      <c r="Q127" s="1244"/>
      <c r="R127" s="1244"/>
      <c r="S127" s="1244"/>
      <c r="T127" s="1244"/>
      <c r="U127" s="1244"/>
      <c r="V127" s="1244"/>
      <c r="W127" s="1244"/>
      <c r="X127" s="1244"/>
      <c r="Y127" s="1244"/>
      <c r="Z127" s="1244"/>
      <c r="AA127" s="1244"/>
      <c r="AB127" s="1244"/>
      <c r="AC127" s="1244"/>
      <c r="AD127" s="1244"/>
      <c r="AE127" s="1244"/>
      <c r="AF127" s="1244"/>
      <c r="AG127" s="1244"/>
      <c r="AH127" s="1239" t="s">
        <v>1964</v>
      </c>
    </row>
    <row r="128" spans="1:34">
      <c r="A128" s="1247" t="s">
        <v>1965</v>
      </c>
      <c r="B128" s="1246"/>
      <c r="C128" s="1246"/>
      <c r="D128" s="1246"/>
      <c r="E128" s="1246"/>
      <c r="F128" s="1246"/>
      <c r="G128" s="1246"/>
      <c r="H128" s="1246"/>
      <c r="I128" s="1245"/>
      <c r="J128" s="1244"/>
      <c r="K128" s="1244"/>
      <c r="L128" s="1244"/>
      <c r="M128" s="1244"/>
      <c r="N128" s="1244"/>
      <c r="O128" s="1244"/>
      <c r="P128" s="1244"/>
      <c r="Q128" s="1244"/>
      <c r="R128" s="1244"/>
      <c r="S128" s="1244"/>
      <c r="T128" s="1244"/>
      <c r="U128" s="1244"/>
      <c r="V128" s="1244"/>
      <c r="W128" s="1244"/>
      <c r="X128" s="1244"/>
      <c r="Y128" s="1244"/>
      <c r="Z128" s="1244"/>
      <c r="AA128" s="1244"/>
      <c r="AB128" s="1244"/>
      <c r="AC128" s="1244"/>
      <c r="AD128" s="1244"/>
      <c r="AE128" s="1244"/>
      <c r="AF128" s="1244"/>
      <c r="AG128" s="1244"/>
      <c r="AH128" s="1239" t="s">
        <v>1964</v>
      </c>
    </row>
    <row r="129" spans="1:48">
      <c r="A129" s="1247"/>
      <c r="B129" s="1246"/>
      <c r="C129" s="1246"/>
      <c r="D129" s="1246"/>
      <c r="E129" s="1246"/>
      <c r="F129" s="1246"/>
      <c r="G129" s="1246"/>
      <c r="H129" s="1246"/>
      <c r="I129" s="1245"/>
      <c r="J129" s="1244"/>
      <c r="K129" s="1244"/>
      <c r="L129" s="1244"/>
      <c r="M129" s="1244"/>
      <c r="N129" s="1244"/>
      <c r="O129" s="1244"/>
      <c r="P129" s="1244"/>
      <c r="Q129" s="1244"/>
      <c r="R129" s="1244"/>
      <c r="S129" s="1244"/>
      <c r="T129" s="1244"/>
      <c r="U129" s="1244"/>
      <c r="V129" s="1244"/>
      <c r="W129" s="1244"/>
      <c r="X129" s="1244"/>
      <c r="Y129" s="1244"/>
      <c r="Z129" s="1244"/>
      <c r="AA129" s="1244"/>
      <c r="AB129" s="1244"/>
      <c r="AC129" s="1244"/>
      <c r="AD129" s="1244"/>
      <c r="AE129" s="1244"/>
      <c r="AF129" s="1244"/>
      <c r="AG129" s="1244"/>
    </row>
    <row r="130" spans="1:48">
      <c r="A130" s="1247" t="s">
        <v>1963</v>
      </c>
      <c r="B130" s="1246"/>
      <c r="C130" s="1246"/>
      <c r="D130" s="1246"/>
      <c r="E130" s="1246"/>
      <c r="F130" s="1246"/>
      <c r="G130" s="1246"/>
      <c r="H130" s="1246"/>
      <c r="I130" s="1245"/>
      <c r="J130" s="1244"/>
      <c r="K130" s="1244"/>
      <c r="L130" s="1244"/>
      <c r="M130" s="1244"/>
      <c r="N130" s="1244"/>
      <c r="O130" s="1244"/>
      <c r="P130" s="1244"/>
      <c r="Q130" s="1244"/>
      <c r="R130" s="1244"/>
      <c r="S130" s="1244"/>
      <c r="T130" s="1244"/>
      <c r="U130" s="1244"/>
      <c r="V130" s="1244"/>
      <c r="W130" s="1244"/>
      <c r="X130" s="1244"/>
      <c r="Y130" s="1244"/>
      <c r="Z130" s="1244"/>
      <c r="AA130" s="1244"/>
      <c r="AB130" s="1244"/>
      <c r="AC130" s="1244"/>
      <c r="AD130" s="1244"/>
      <c r="AE130" s="1244"/>
      <c r="AF130" s="1244"/>
      <c r="AG130" s="1244"/>
      <c r="AU130" s="1239" t="s">
        <v>1962</v>
      </c>
      <c r="AV130" s="1239" t="s">
        <v>1961</v>
      </c>
    </row>
    <row r="131" spans="1:48">
      <c r="A131" s="1247" t="s">
        <v>1463</v>
      </c>
      <c r="B131" s="1246"/>
      <c r="C131" s="1246"/>
      <c r="D131" s="1246"/>
      <c r="E131" s="1246"/>
      <c r="F131" s="1246"/>
      <c r="G131" s="1246"/>
      <c r="H131" s="1246"/>
      <c r="I131" s="1245"/>
      <c r="J131" s="1244"/>
      <c r="K131" s="1244"/>
      <c r="L131" s="1244"/>
      <c r="M131" s="1244"/>
      <c r="N131" s="1244"/>
      <c r="O131" s="1244"/>
      <c r="P131" s="1244"/>
      <c r="Q131" s="1244"/>
      <c r="R131" s="1244"/>
      <c r="S131" s="1244"/>
      <c r="T131" s="1244"/>
      <c r="U131" s="1244"/>
      <c r="V131" s="1244"/>
      <c r="W131" s="1244"/>
      <c r="X131" s="1244"/>
      <c r="Y131" s="1244"/>
      <c r="Z131" s="1244"/>
      <c r="AA131" s="1244"/>
      <c r="AB131" s="1244"/>
      <c r="AC131" s="1244"/>
      <c r="AD131" s="1244"/>
      <c r="AE131" s="1244"/>
      <c r="AF131" s="1244"/>
      <c r="AG131" s="1244"/>
      <c r="AU131" s="1244"/>
      <c r="AV131" s="1244"/>
    </row>
    <row r="132" spans="1:48">
      <c r="A132" s="1247" t="s">
        <v>1960</v>
      </c>
      <c r="B132" s="1246"/>
      <c r="C132" s="1246"/>
      <c r="D132" s="1246"/>
      <c r="E132" s="1246"/>
      <c r="F132" s="1246"/>
      <c r="G132" s="1246"/>
      <c r="H132" s="1246"/>
      <c r="I132" s="1245"/>
      <c r="J132" s="1244"/>
      <c r="K132" s="1244"/>
      <c r="L132" s="1244"/>
      <c r="M132" s="1244"/>
      <c r="N132" s="1244"/>
      <c r="O132" s="1244"/>
      <c r="P132" s="1244"/>
      <c r="Q132" s="1244"/>
      <c r="R132" s="1244"/>
      <c r="S132" s="1244"/>
      <c r="T132" s="1244"/>
      <c r="U132" s="1244"/>
      <c r="V132" s="1244"/>
      <c r="W132" s="1244"/>
      <c r="X132" s="1244"/>
      <c r="Y132" s="1244"/>
      <c r="Z132" s="1244"/>
      <c r="AA132" s="1244"/>
      <c r="AB132" s="1244"/>
      <c r="AC132" s="1244"/>
      <c r="AD132" s="1244"/>
      <c r="AE132" s="1244"/>
      <c r="AF132" s="1244"/>
      <c r="AG132" s="1244"/>
      <c r="AH132" s="1239" t="s">
        <v>1959</v>
      </c>
      <c r="AU132" s="1239">
        <v>600</v>
      </c>
      <c r="AV132" s="1239">
        <v>4.8</v>
      </c>
    </row>
    <row r="133" spans="1:48">
      <c r="A133" s="1247" t="s">
        <v>1958</v>
      </c>
      <c r="B133" s="1246"/>
      <c r="C133" s="1246"/>
      <c r="D133" s="1246"/>
      <c r="E133" s="1246"/>
      <c r="F133" s="1246"/>
      <c r="G133" s="1246"/>
      <c r="H133" s="1246"/>
      <c r="I133" s="1245"/>
      <c r="J133" s="1244"/>
      <c r="K133" s="1244"/>
      <c r="L133" s="1244"/>
      <c r="M133" s="1244"/>
      <c r="N133" s="1244"/>
      <c r="O133" s="1244"/>
      <c r="P133" s="1244"/>
      <c r="Q133" s="1244"/>
      <c r="R133" s="1244"/>
      <c r="S133" s="1244"/>
      <c r="T133" s="1244"/>
      <c r="U133" s="1244"/>
      <c r="V133" s="1244"/>
      <c r="W133" s="1244"/>
      <c r="X133" s="1244"/>
      <c r="Y133" s="1244"/>
      <c r="Z133" s="1244"/>
      <c r="AA133" s="1244"/>
      <c r="AB133" s="1244"/>
      <c r="AC133" s="1244"/>
      <c r="AD133" s="1244"/>
      <c r="AE133" s="1244"/>
      <c r="AF133" s="1244"/>
      <c r="AG133" s="1244"/>
      <c r="AH133" s="1239" t="s">
        <v>1957</v>
      </c>
      <c r="AQ133" s="1239" t="s">
        <v>1904</v>
      </c>
    </row>
    <row r="134" spans="1:48">
      <c r="A134" s="1247" t="s">
        <v>1956</v>
      </c>
      <c r="B134" s="1246"/>
      <c r="C134" s="1246"/>
      <c r="D134" s="1246"/>
      <c r="E134" s="1246"/>
      <c r="F134" s="1246"/>
      <c r="G134" s="1246"/>
      <c r="H134" s="1246"/>
      <c r="I134" s="1245"/>
      <c r="J134" s="1244"/>
      <c r="K134" s="1244"/>
      <c r="L134" s="1244"/>
      <c r="M134" s="1244"/>
      <c r="N134" s="1244"/>
      <c r="O134" s="1244"/>
      <c r="P134" s="1244"/>
      <c r="Q134" s="1244"/>
      <c r="R134" s="1244"/>
      <c r="S134" s="1244"/>
      <c r="T134" s="1244"/>
      <c r="U134" s="1244"/>
      <c r="V134" s="1244"/>
      <c r="W134" s="1244"/>
      <c r="X134" s="1244"/>
      <c r="Y134" s="1244"/>
      <c r="Z134" s="1244"/>
      <c r="AA134" s="1244"/>
      <c r="AB134" s="1244"/>
      <c r="AC134" s="1244"/>
      <c r="AD134" s="1244"/>
      <c r="AE134" s="1244"/>
      <c r="AF134" s="1244"/>
      <c r="AG134" s="1244"/>
      <c r="AH134" s="1239" t="s">
        <v>1955</v>
      </c>
      <c r="AU134" s="1239">
        <v>100</v>
      </c>
      <c r="AV134" s="1239">
        <v>0.1</v>
      </c>
    </row>
    <row r="135" spans="1:48">
      <c r="A135" s="1247" t="s">
        <v>1954</v>
      </c>
      <c r="B135" s="1246"/>
      <c r="C135" s="1246"/>
      <c r="D135" s="1246"/>
      <c r="E135" s="1246"/>
      <c r="F135" s="1246"/>
      <c r="G135" s="1246"/>
      <c r="H135" s="1246"/>
      <c r="I135" s="1245"/>
      <c r="J135" s="1244"/>
      <c r="K135" s="1244"/>
      <c r="L135" s="1244"/>
      <c r="M135" s="1244"/>
      <c r="N135" s="1244"/>
      <c r="O135" s="1244"/>
      <c r="P135" s="1244"/>
      <c r="Q135" s="1244"/>
      <c r="R135" s="1244"/>
      <c r="S135" s="1244"/>
      <c r="T135" s="1244"/>
      <c r="U135" s="1244"/>
      <c r="V135" s="1244"/>
      <c r="W135" s="1244"/>
      <c r="X135" s="1244"/>
      <c r="Y135" s="1244"/>
      <c r="Z135" s="1244"/>
      <c r="AA135" s="1244"/>
      <c r="AB135" s="1244"/>
      <c r="AC135" s="1244"/>
      <c r="AD135" s="1244"/>
      <c r="AE135" s="1244"/>
      <c r="AF135" s="1244"/>
      <c r="AG135" s="1244"/>
      <c r="AH135" s="1239" t="s">
        <v>1953</v>
      </c>
      <c r="AQ135" s="1239" t="s">
        <v>1904</v>
      </c>
    </row>
    <row r="136" spans="1:48">
      <c r="A136" s="1247" t="s">
        <v>1952</v>
      </c>
      <c r="B136" s="1246"/>
      <c r="C136" s="1246"/>
      <c r="D136" s="1246"/>
      <c r="E136" s="1246"/>
      <c r="F136" s="1246"/>
      <c r="G136" s="1246"/>
      <c r="H136" s="1246"/>
      <c r="I136" s="1245"/>
      <c r="J136" s="1244"/>
      <c r="K136" s="1244"/>
      <c r="L136" s="1244"/>
      <c r="M136" s="1244"/>
      <c r="N136" s="1244"/>
      <c r="O136" s="1244"/>
      <c r="P136" s="1244"/>
      <c r="Q136" s="1244"/>
      <c r="R136" s="1244"/>
      <c r="S136" s="1244"/>
      <c r="T136" s="1244"/>
      <c r="U136" s="1244"/>
      <c r="V136" s="1244"/>
      <c r="W136" s="1244"/>
      <c r="X136" s="1244"/>
      <c r="Y136" s="1244"/>
      <c r="Z136" s="1244"/>
      <c r="AA136" s="1244"/>
      <c r="AB136" s="1244"/>
      <c r="AC136" s="1244"/>
      <c r="AD136" s="1244"/>
      <c r="AE136" s="1244"/>
      <c r="AF136" s="1244"/>
      <c r="AG136" s="1244"/>
      <c r="AH136" s="1239" t="s">
        <v>1951</v>
      </c>
      <c r="AU136" s="1239">
        <v>1000</v>
      </c>
      <c r="AV136" s="1239">
        <v>8</v>
      </c>
    </row>
    <row r="137" spans="1:48">
      <c r="A137" s="1247" t="s">
        <v>1950</v>
      </c>
      <c r="B137" s="1246"/>
      <c r="C137" s="1246"/>
      <c r="D137" s="1246"/>
      <c r="E137" s="1246"/>
      <c r="F137" s="1246"/>
      <c r="G137" s="1246"/>
      <c r="H137" s="1246"/>
      <c r="I137" s="1245"/>
      <c r="J137" s="1244"/>
      <c r="K137" s="1244"/>
      <c r="L137" s="1244"/>
      <c r="M137" s="1244"/>
      <c r="N137" s="1244"/>
      <c r="O137" s="1244"/>
      <c r="P137" s="1244"/>
      <c r="Q137" s="1244"/>
      <c r="R137" s="1244"/>
      <c r="S137" s="1244"/>
      <c r="T137" s="1244"/>
      <c r="U137" s="1244"/>
      <c r="V137" s="1244"/>
      <c r="W137" s="1244"/>
      <c r="X137" s="1244"/>
      <c r="Y137" s="1244"/>
      <c r="Z137" s="1244"/>
      <c r="AA137" s="1244"/>
      <c r="AB137" s="1244"/>
      <c r="AC137" s="1244"/>
      <c r="AD137" s="1244"/>
      <c r="AE137" s="1244"/>
      <c r="AF137" s="1244"/>
      <c r="AG137" s="1244"/>
      <c r="AH137" s="1239" t="s">
        <v>1949</v>
      </c>
      <c r="AQ137" s="1239" t="s">
        <v>1904</v>
      </c>
    </row>
    <row r="138" spans="1:48">
      <c r="A138" s="1247" t="s">
        <v>1948</v>
      </c>
      <c r="B138" s="1246"/>
      <c r="C138" s="1246"/>
      <c r="D138" s="1246"/>
      <c r="E138" s="1246"/>
      <c r="F138" s="1246"/>
      <c r="G138" s="1246"/>
      <c r="H138" s="1246"/>
      <c r="I138" s="1245"/>
      <c r="J138" s="1244"/>
      <c r="K138" s="1244"/>
      <c r="L138" s="1244"/>
      <c r="M138" s="1244"/>
      <c r="N138" s="1244"/>
      <c r="O138" s="1244"/>
      <c r="P138" s="1244"/>
      <c r="Q138" s="1244"/>
      <c r="R138" s="1244"/>
      <c r="S138" s="1244"/>
      <c r="T138" s="1244"/>
      <c r="U138" s="1244"/>
      <c r="V138" s="1244"/>
      <c r="W138" s="1244"/>
      <c r="X138" s="1244"/>
      <c r="Y138" s="1244"/>
      <c r="Z138" s="1244"/>
      <c r="AA138" s="1244"/>
      <c r="AB138" s="1244"/>
      <c r="AC138" s="1244"/>
      <c r="AD138" s="1244"/>
      <c r="AE138" s="1244"/>
      <c r="AF138" s="1244"/>
      <c r="AG138" s="1244"/>
      <c r="AH138" s="1239" t="s">
        <v>1947</v>
      </c>
      <c r="AU138" s="1239">
        <v>50</v>
      </c>
      <c r="AV138" s="1239">
        <v>0.1</v>
      </c>
    </row>
    <row r="139" spans="1:48">
      <c r="A139" s="1247" t="s">
        <v>1946</v>
      </c>
      <c r="B139" s="1246"/>
      <c r="C139" s="1246"/>
      <c r="D139" s="1246"/>
      <c r="E139" s="1246"/>
      <c r="F139" s="1246"/>
      <c r="G139" s="1246"/>
      <c r="H139" s="1246"/>
      <c r="I139" s="1245"/>
      <c r="J139" s="1244"/>
      <c r="K139" s="1244"/>
      <c r="L139" s="1244"/>
      <c r="M139" s="1244"/>
      <c r="N139" s="1244"/>
      <c r="O139" s="1244"/>
      <c r="P139" s="1244"/>
      <c r="Q139" s="1244"/>
      <c r="R139" s="1244"/>
      <c r="S139" s="1244"/>
      <c r="T139" s="1244"/>
      <c r="U139" s="1244"/>
      <c r="V139" s="1244"/>
      <c r="W139" s="1244"/>
      <c r="X139" s="1244"/>
      <c r="Y139" s="1244"/>
      <c r="Z139" s="1244"/>
      <c r="AA139" s="1244"/>
      <c r="AB139" s="1244"/>
      <c r="AC139" s="1244"/>
      <c r="AD139" s="1244"/>
      <c r="AE139" s="1244"/>
      <c r="AF139" s="1244"/>
      <c r="AG139" s="1244"/>
      <c r="AH139" s="1239" t="s">
        <v>1945</v>
      </c>
      <c r="AQ139" s="1239" t="s">
        <v>1904</v>
      </c>
    </row>
    <row r="140" spans="1:48">
      <c r="A140" s="1247" t="s">
        <v>1944</v>
      </c>
      <c r="B140" s="1246"/>
      <c r="C140" s="1246"/>
      <c r="D140" s="1246"/>
      <c r="E140" s="1246"/>
      <c r="F140" s="1246"/>
      <c r="G140" s="1246"/>
      <c r="H140" s="1246"/>
      <c r="I140" s="1245"/>
      <c r="J140" s="1244"/>
      <c r="K140" s="1244"/>
      <c r="L140" s="1244"/>
      <c r="M140" s="1244"/>
      <c r="N140" s="1244"/>
      <c r="O140" s="1244"/>
      <c r="P140" s="1244"/>
      <c r="Q140" s="1244"/>
      <c r="R140" s="1244"/>
      <c r="S140" s="1244"/>
      <c r="T140" s="1244"/>
      <c r="U140" s="1244"/>
      <c r="V140" s="1244"/>
      <c r="W140" s="1244"/>
      <c r="X140" s="1244"/>
      <c r="Y140" s="1244"/>
      <c r="Z140" s="1244"/>
      <c r="AA140" s="1244"/>
      <c r="AB140" s="1244"/>
      <c r="AC140" s="1244"/>
      <c r="AD140" s="1244"/>
      <c r="AE140" s="1244"/>
      <c r="AF140" s="1244"/>
      <c r="AG140" s="1244"/>
      <c r="AH140" s="1239" t="s">
        <v>1943</v>
      </c>
      <c r="AU140" s="1239">
        <v>49</v>
      </c>
      <c r="AV140" s="1239">
        <v>0.7</v>
      </c>
    </row>
    <row r="141" spans="1:48">
      <c r="A141" s="1247" t="s">
        <v>1942</v>
      </c>
      <c r="B141" s="1246"/>
      <c r="C141" s="1246"/>
      <c r="D141" s="1246"/>
      <c r="E141" s="1246"/>
      <c r="F141" s="1246"/>
      <c r="G141" s="1246"/>
      <c r="H141" s="1246"/>
      <c r="I141" s="1245"/>
      <c r="J141" s="1244"/>
      <c r="K141" s="1244"/>
      <c r="L141" s="1244"/>
      <c r="M141" s="1244"/>
      <c r="N141" s="1244"/>
      <c r="O141" s="1244"/>
      <c r="P141" s="1244"/>
      <c r="Q141" s="1244"/>
      <c r="R141" s="1244"/>
      <c r="S141" s="1244"/>
      <c r="T141" s="1244"/>
      <c r="U141" s="1244"/>
      <c r="V141" s="1244"/>
      <c r="W141" s="1244"/>
      <c r="X141" s="1244"/>
      <c r="Y141" s="1244"/>
      <c r="Z141" s="1244"/>
      <c r="AA141" s="1244"/>
      <c r="AB141" s="1244"/>
      <c r="AC141" s="1244"/>
      <c r="AD141" s="1244"/>
      <c r="AE141" s="1244"/>
      <c r="AF141" s="1244"/>
      <c r="AG141" s="1244"/>
      <c r="AH141" s="1239" t="s">
        <v>1941</v>
      </c>
      <c r="AQ141" s="1239" t="s">
        <v>1904</v>
      </c>
    </row>
    <row r="142" spans="1:48">
      <c r="A142" s="1247" t="s">
        <v>1940</v>
      </c>
      <c r="B142" s="1246"/>
      <c r="C142" s="1246"/>
      <c r="D142" s="1246"/>
      <c r="E142" s="1246"/>
      <c r="F142" s="1246"/>
      <c r="G142" s="1246"/>
      <c r="H142" s="1246"/>
      <c r="I142" s="1245"/>
      <c r="J142" s="1244"/>
      <c r="K142" s="1244"/>
      <c r="L142" s="1244"/>
      <c r="M142" s="1244"/>
      <c r="N142" s="1244"/>
      <c r="O142" s="1244"/>
      <c r="P142" s="1244"/>
      <c r="Q142" s="1244"/>
      <c r="R142" s="1244"/>
      <c r="S142" s="1244"/>
      <c r="T142" s="1244"/>
      <c r="U142" s="1244"/>
      <c r="V142" s="1244"/>
      <c r="W142" s="1244"/>
      <c r="X142" s="1244"/>
      <c r="Y142" s="1244"/>
      <c r="Z142" s="1244"/>
      <c r="AA142" s="1244"/>
      <c r="AB142" s="1244"/>
      <c r="AC142" s="1244"/>
      <c r="AD142" s="1244"/>
      <c r="AE142" s="1244"/>
      <c r="AF142" s="1244"/>
      <c r="AG142" s="1244"/>
      <c r="AH142" s="1239" t="s">
        <v>1939</v>
      </c>
      <c r="AU142" s="1239">
        <v>660</v>
      </c>
      <c r="AV142" s="1239">
        <v>1</v>
      </c>
    </row>
    <row r="143" spans="1:48">
      <c r="A143" s="1247" t="s">
        <v>1938</v>
      </c>
      <c r="B143" s="1246"/>
      <c r="C143" s="1246"/>
      <c r="D143" s="1246"/>
      <c r="E143" s="1246"/>
      <c r="F143" s="1246"/>
      <c r="G143" s="1246"/>
      <c r="H143" s="1246"/>
      <c r="I143" s="1245"/>
      <c r="J143" s="1244"/>
      <c r="K143" s="1244"/>
      <c r="L143" s="1244"/>
      <c r="M143" s="1244"/>
      <c r="N143" s="1244"/>
      <c r="O143" s="1244"/>
      <c r="P143" s="1244"/>
      <c r="Q143" s="1244"/>
      <c r="R143" s="1244"/>
      <c r="S143" s="1244"/>
      <c r="T143" s="1244"/>
      <c r="U143" s="1244"/>
      <c r="V143" s="1244"/>
      <c r="W143" s="1244"/>
      <c r="X143" s="1244"/>
      <c r="Y143" s="1244"/>
      <c r="Z143" s="1244"/>
      <c r="AA143" s="1244"/>
      <c r="AB143" s="1244"/>
      <c r="AC143" s="1244"/>
      <c r="AD143" s="1244"/>
      <c r="AE143" s="1244"/>
      <c r="AF143" s="1244"/>
      <c r="AG143" s="1244"/>
      <c r="AH143" s="1239" t="s">
        <v>1937</v>
      </c>
      <c r="AQ143" s="1239" t="s">
        <v>1904</v>
      </c>
    </row>
    <row r="144" spans="1:48">
      <c r="A144" s="1247" t="s">
        <v>1936</v>
      </c>
      <c r="B144" s="1246"/>
      <c r="C144" s="1246"/>
      <c r="D144" s="1246"/>
      <c r="E144" s="1246"/>
      <c r="F144" s="1246"/>
      <c r="G144" s="1246"/>
      <c r="H144" s="1246"/>
      <c r="I144" s="1245"/>
      <c r="J144" s="1244"/>
      <c r="K144" s="1244"/>
      <c r="L144" s="1244"/>
      <c r="M144" s="1244"/>
      <c r="N144" s="1244"/>
      <c r="O144" s="1244"/>
      <c r="P144" s="1244"/>
      <c r="Q144" s="1244"/>
      <c r="R144" s="1244"/>
      <c r="S144" s="1244"/>
      <c r="T144" s="1244"/>
      <c r="U144" s="1244"/>
      <c r="V144" s="1244"/>
      <c r="W144" s="1244"/>
      <c r="X144" s="1244"/>
      <c r="Y144" s="1244"/>
      <c r="Z144" s="1244"/>
      <c r="AA144" s="1244"/>
      <c r="AB144" s="1244"/>
      <c r="AC144" s="1244"/>
      <c r="AD144" s="1244"/>
      <c r="AE144" s="1244"/>
      <c r="AF144" s="1244"/>
      <c r="AG144" s="1244"/>
      <c r="AH144" s="1239" t="s">
        <v>1935</v>
      </c>
      <c r="AU144" s="1239">
        <v>460</v>
      </c>
      <c r="AV144" s="1239">
        <v>9</v>
      </c>
    </row>
    <row r="145" spans="1:48">
      <c r="A145" s="1247" t="s">
        <v>1934</v>
      </c>
      <c r="B145" s="1246"/>
      <c r="C145" s="1246"/>
      <c r="D145" s="1246"/>
      <c r="E145" s="1246"/>
      <c r="F145" s="1246"/>
      <c r="G145" s="1246"/>
      <c r="H145" s="1246"/>
      <c r="I145" s="1245"/>
      <c r="J145" s="1244"/>
      <c r="K145" s="1244"/>
      <c r="L145" s="1244"/>
      <c r="M145" s="1244"/>
      <c r="N145" s="1244"/>
      <c r="O145" s="1244"/>
      <c r="P145" s="1244"/>
      <c r="Q145" s="1244"/>
      <c r="R145" s="1244"/>
      <c r="S145" s="1244"/>
      <c r="T145" s="1244"/>
      <c r="U145" s="1244"/>
      <c r="V145" s="1244"/>
      <c r="W145" s="1244"/>
      <c r="X145" s="1244"/>
      <c r="Y145" s="1244"/>
      <c r="Z145" s="1244"/>
      <c r="AA145" s="1244"/>
      <c r="AB145" s="1244"/>
      <c r="AC145" s="1244"/>
      <c r="AD145" s="1244"/>
      <c r="AE145" s="1244"/>
      <c r="AF145" s="1244"/>
      <c r="AG145" s="1244"/>
      <c r="AH145" s="1239" t="s">
        <v>1933</v>
      </c>
      <c r="AQ145" s="1239" t="s">
        <v>1904</v>
      </c>
    </row>
    <row r="146" spans="1:48">
      <c r="A146" s="1247" t="s">
        <v>1932</v>
      </c>
      <c r="B146" s="1246"/>
      <c r="C146" s="1246"/>
      <c r="D146" s="1246"/>
      <c r="E146" s="1246"/>
      <c r="F146" s="1246"/>
      <c r="G146" s="1246"/>
      <c r="H146" s="1246"/>
      <c r="I146" s="1245"/>
      <c r="J146" s="1244"/>
      <c r="K146" s="1244"/>
      <c r="L146" s="1244"/>
      <c r="M146" s="1244"/>
      <c r="N146" s="1244"/>
      <c r="O146" s="1244"/>
      <c r="P146" s="1244"/>
      <c r="Q146" s="1244"/>
      <c r="R146" s="1244"/>
      <c r="S146" s="1244"/>
      <c r="T146" s="1244"/>
      <c r="U146" s="1244"/>
      <c r="V146" s="1244"/>
      <c r="W146" s="1244"/>
      <c r="X146" s="1244"/>
      <c r="Y146" s="1244"/>
      <c r="Z146" s="1244"/>
      <c r="AA146" s="1244"/>
      <c r="AB146" s="1244"/>
      <c r="AC146" s="1244"/>
      <c r="AD146" s="1244"/>
      <c r="AE146" s="1244"/>
      <c r="AF146" s="1244"/>
      <c r="AG146" s="1244"/>
      <c r="AH146" s="1239" t="s">
        <v>1931</v>
      </c>
      <c r="AU146" s="1239">
        <v>420</v>
      </c>
      <c r="AV146" s="1239">
        <v>8</v>
      </c>
    </row>
    <row r="147" spans="1:48">
      <c r="A147" s="1247" t="s">
        <v>1930</v>
      </c>
      <c r="B147" s="1246"/>
      <c r="C147" s="1246"/>
      <c r="D147" s="1246"/>
      <c r="E147" s="1246"/>
      <c r="F147" s="1246"/>
      <c r="G147" s="1246"/>
      <c r="H147" s="1246"/>
      <c r="I147" s="1245"/>
      <c r="J147" s="1244"/>
      <c r="K147" s="1244"/>
      <c r="L147" s="1244"/>
      <c r="M147" s="1244"/>
      <c r="N147" s="1244"/>
      <c r="O147" s="1244"/>
      <c r="P147" s="1244"/>
      <c r="Q147" s="1244"/>
      <c r="R147" s="1244"/>
      <c r="S147" s="1244"/>
      <c r="T147" s="1244"/>
      <c r="U147" s="1244"/>
      <c r="V147" s="1244"/>
      <c r="W147" s="1244"/>
      <c r="X147" s="1244"/>
      <c r="Y147" s="1244"/>
      <c r="Z147" s="1244"/>
      <c r="AA147" s="1244"/>
      <c r="AB147" s="1244"/>
      <c r="AC147" s="1244"/>
      <c r="AD147" s="1244"/>
      <c r="AE147" s="1244"/>
      <c r="AF147" s="1244"/>
      <c r="AG147" s="1244"/>
      <c r="AH147" s="1239" t="s">
        <v>1929</v>
      </c>
      <c r="AQ147" s="1239" t="s">
        <v>1904</v>
      </c>
    </row>
    <row r="148" spans="1:48">
      <c r="A148" s="1247" t="s">
        <v>1928</v>
      </c>
      <c r="B148" s="1246"/>
      <c r="C148" s="1246"/>
      <c r="D148" s="1246"/>
      <c r="E148" s="1246"/>
      <c r="F148" s="1246"/>
      <c r="G148" s="1246"/>
      <c r="H148" s="1246"/>
      <c r="I148" s="1245"/>
      <c r="J148" s="1244"/>
      <c r="K148" s="1244"/>
      <c r="L148" s="1244"/>
      <c r="M148" s="1244"/>
      <c r="N148" s="1244"/>
      <c r="O148" s="1244"/>
      <c r="P148" s="1244"/>
      <c r="Q148" s="1244"/>
      <c r="R148" s="1244"/>
      <c r="S148" s="1244"/>
      <c r="T148" s="1244"/>
      <c r="U148" s="1244"/>
      <c r="V148" s="1244"/>
      <c r="W148" s="1244"/>
      <c r="X148" s="1244"/>
      <c r="Y148" s="1244"/>
      <c r="Z148" s="1244"/>
      <c r="AA148" s="1244"/>
      <c r="AB148" s="1244"/>
      <c r="AC148" s="1244"/>
      <c r="AD148" s="1244"/>
      <c r="AE148" s="1244"/>
      <c r="AF148" s="1244"/>
      <c r="AG148" s="1244"/>
      <c r="AH148" s="1239" t="s">
        <v>1927</v>
      </c>
      <c r="AU148" s="1239">
        <v>655</v>
      </c>
      <c r="AV148" s="1239">
        <v>13</v>
      </c>
    </row>
    <row r="149" spans="1:48">
      <c r="A149" s="1247" t="s">
        <v>1926</v>
      </c>
      <c r="B149" s="1246"/>
      <c r="C149" s="1246"/>
      <c r="D149" s="1246"/>
      <c r="E149" s="1246"/>
      <c r="F149" s="1246"/>
      <c r="G149" s="1246"/>
      <c r="H149" s="1246"/>
      <c r="I149" s="1245"/>
      <c r="J149" s="1244"/>
      <c r="K149" s="1244"/>
      <c r="L149" s="1244"/>
      <c r="M149" s="1244"/>
      <c r="N149" s="1244"/>
      <c r="O149" s="1244"/>
      <c r="P149" s="1244"/>
      <c r="Q149" s="1244"/>
      <c r="R149" s="1244"/>
      <c r="S149" s="1244"/>
      <c r="T149" s="1244"/>
      <c r="U149" s="1244"/>
      <c r="V149" s="1244"/>
      <c r="W149" s="1244"/>
      <c r="X149" s="1244"/>
      <c r="Y149" s="1244"/>
      <c r="Z149" s="1244"/>
      <c r="AA149" s="1244"/>
      <c r="AB149" s="1244"/>
      <c r="AC149" s="1244"/>
      <c r="AD149" s="1244"/>
      <c r="AE149" s="1244"/>
      <c r="AF149" s="1244"/>
      <c r="AG149" s="1244"/>
      <c r="AH149" s="1239" t="s">
        <v>1925</v>
      </c>
      <c r="AQ149" s="1239" t="s">
        <v>1904</v>
      </c>
    </row>
    <row r="150" spans="1:48">
      <c r="A150" s="1247" t="s">
        <v>1924</v>
      </c>
      <c r="B150" s="1246"/>
      <c r="C150" s="1246"/>
      <c r="D150" s="1246"/>
      <c r="E150" s="1246"/>
      <c r="F150" s="1246"/>
      <c r="G150" s="1246"/>
      <c r="H150" s="1246"/>
      <c r="I150" s="1245"/>
      <c r="J150" s="1244"/>
      <c r="K150" s="1244"/>
      <c r="L150" s="1244"/>
      <c r="M150" s="1244"/>
      <c r="N150" s="1244"/>
      <c r="O150" s="1244"/>
      <c r="P150" s="1244"/>
      <c r="Q150" s="1244"/>
      <c r="R150" s="1244"/>
      <c r="S150" s="1244"/>
      <c r="T150" s="1244"/>
      <c r="U150" s="1244"/>
      <c r="V150" s="1244"/>
      <c r="W150" s="1244"/>
      <c r="X150" s="1244"/>
      <c r="Y150" s="1244"/>
      <c r="Z150" s="1244"/>
      <c r="AA150" s="1244"/>
      <c r="AB150" s="1244"/>
      <c r="AC150" s="1244"/>
      <c r="AD150" s="1244"/>
      <c r="AE150" s="1244"/>
      <c r="AF150" s="1244"/>
      <c r="AG150" s="1244"/>
      <c r="AH150" s="1239" t="s">
        <v>1923</v>
      </c>
      <c r="AU150" s="1239">
        <v>380</v>
      </c>
      <c r="AV150" s="1239">
        <v>0.75</v>
      </c>
    </row>
    <row r="151" spans="1:48">
      <c r="A151" s="1247" t="s">
        <v>1922</v>
      </c>
      <c r="B151" s="1246"/>
      <c r="C151" s="1246"/>
      <c r="D151" s="1246"/>
      <c r="E151" s="1246"/>
      <c r="F151" s="1246"/>
      <c r="G151" s="1246"/>
      <c r="H151" s="1246"/>
      <c r="I151" s="1245"/>
      <c r="J151" s="1244"/>
      <c r="K151" s="1244"/>
      <c r="L151" s="1244"/>
      <c r="M151" s="1244"/>
      <c r="N151" s="1244"/>
      <c r="O151" s="1244"/>
      <c r="P151" s="1244"/>
      <c r="Q151" s="1244"/>
      <c r="R151" s="1244"/>
      <c r="S151" s="1244"/>
      <c r="T151" s="1244"/>
      <c r="U151" s="1244"/>
      <c r="V151" s="1244"/>
      <c r="W151" s="1244"/>
      <c r="X151" s="1244"/>
      <c r="Y151" s="1244"/>
      <c r="Z151" s="1244"/>
      <c r="AA151" s="1244"/>
      <c r="AB151" s="1244"/>
      <c r="AC151" s="1244"/>
      <c r="AD151" s="1244"/>
      <c r="AE151" s="1244"/>
      <c r="AF151" s="1244"/>
      <c r="AG151" s="1244"/>
      <c r="AH151" s="1239" t="s">
        <v>1921</v>
      </c>
      <c r="AQ151" s="1239" t="s">
        <v>1904</v>
      </c>
    </row>
    <row r="152" spans="1:48">
      <c r="A152" s="1247" t="s">
        <v>1920</v>
      </c>
      <c r="B152" s="1246"/>
      <c r="C152" s="1246"/>
      <c r="D152" s="1246"/>
      <c r="E152" s="1246"/>
      <c r="F152" s="1246"/>
      <c r="G152" s="1246"/>
      <c r="H152" s="1246"/>
      <c r="I152" s="1245"/>
      <c r="J152" s="1244"/>
      <c r="K152" s="1244"/>
      <c r="L152" s="1244"/>
      <c r="M152" s="1244"/>
      <c r="N152" s="1244"/>
      <c r="O152" s="1244"/>
      <c r="P152" s="1244"/>
      <c r="Q152" s="1244"/>
      <c r="R152" s="1244"/>
      <c r="S152" s="1244"/>
      <c r="T152" s="1244"/>
      <c r="U152" s="1244"/>
      <c r="V152" s="1244"/>
      <c r="W152" s="1244"/>
      <c r="X152" s="1244"/>
      <c r="Y152" s="1244"/>
      <c r="Z152" s="1244"/>
      <c r="AA152" s="1244"/>
      <c r="AB152" s="1244"/>
      <c r="AC152" s="1244"/>
      <c r="AD152" s="1244"/>
      <c r="AE152" s="1244"/>
      <c r="AF152" s="1244"/>
      <c r="AG152" s="1244"/>
      <c r="AH152" s="1239" t="s">
        <v>1919</v>
      </c>
      <c r="AU152" s="1239">
        <v>1400</v>
      </c>
      <c r="AV152" s="1239">
        <v>29</v>
      </c>
    </row>
    <row r="153" spans="1:48">
      <c r="A153" s="1247" t="s">
        <v>1918</v>
      </c>
      <c r="B153" s="1246"/>
      <c r="C153" s="1246"/>
      <c r="D153" s="1246"/>
      <c r="E153" s="1246"/>
      <c r="F153" s="1246"/>
      <c r="G153" s="1246"/>
      <c r="H153" s="1246"/>
      <c r="I153" s="1245"/>
      <c r="J153" s="1244"/>
      <c r="K153" s="1244"/>
      <c r="L153" s="1244"/>
      <c r="M153" s="1244"/>
      <c r="N153" s="1244"/>
      <c r="O153" s="1244"/>
      <c r="P153" s="1244"/>
      <c r="Q153" s="1244"/>
      <c r="R153" s="1244"/>
      <c r="S153" s="1244"/>
      <c r="T153" s="1244"/>
      <c r="U153" s="1244"/>
      <c r="V153" s="1244"/>
      <c r="W153" s="1244"/>
      <c r="X153" s="1244"/>
      <c r="Y153" s="1244"/>
      <c r="Z153" s="1244"/>
      <c r="AA153" s="1244"/>
      <c r="AB153" s="1244"/>
      <c r="AC153" s="1244"/>
      <c r="AD153" s="1244"/>
      <c r="AE153" s="1244"/>
      <c r="AF153" s="1244"/>
      <c r="AG153" s="1244"/>
      <c r="AH153" s="1239" t="s">
        <v>1917</v>
      </c>
      <c r="AQ153" s="1239" t="s">
        <v>1904</v>
      </c>
    </row>
    <row r="154" spans="1:48">
      <c r="A154" s="1247" t="s">
        <v>1916</v>
      </c>
      <c r="B154" s="1246"/>
      <c r="C154" s="1246"/>
      <c r="D154" s="1246"/>
      <c r="E154" s="1246"/>
      <c r="F154" s="1246"/>
      <c r="G154" s="1246"/>
      <c r="H154" s="1246"/>
      <c r="I154" s="1245"/>
      <c r="J154" s="1244"/>
      <c r="K154" s="1244"/>
      <c r="L154" s="1244"/>
      <c r="M154" s="1244"/>
      <c r="N154" s="1244"/>
      <c r="O154" s="1244"/>
      <c r="P154" s="1244"/>
      <c r="Q154" s="1244"/>
      <c r="R154" s="1244"/>
      <c r="S154" s="1244"/>
      <c r="T154" s="1244"/>
      <c r="U154" s="1244"/>
      <c r="V154" s="1244"/>
      <c r="W154" s="1244"/>
      <c r="X154" s="1244"/>
      <c r="Y154" s="1244"/>
      <c r="Z154" s="1244"/>
      <c r="AA154" s="1244"/>
      <c r="AB154" s="1244"/>
      <c r="AC154" s="1244"/>
      <c r="AD154" s="1244"/>
      <c r="AE154" s="1244"/>
      <c r="AF154" s="1244"/>
      <c r="AG154" s="1244"/>
      <c r="AH154" s="1239" t="s">
        <v>1915</v>
      </c>
      <c r="AU154" s="1239">
        <v>2200</v>
      </c>
      <c r="AV154" s="1239">
        <v>22</v>
      </c>
    </row>
    <row r="155" spans="1:48">
      <c r="A155" s="1247" t="s">
        <v>1914</v>
      </c>
      <c r="B155" s="1246"/>
      <c r="C155" s="1246"/>
      <c r="D155" s="1246"/>
      <c r="E155" s="1246"/>
      <c r="F155" s="1246"/>
      <c r="G155" s="1246"/>
      <c r="H155" s="1246"/>
      <c r="I155" s="1245"/>
      <c r="J155" s="1244"/>
      <c r="K155" s="1244"/>
      <c r="L155" s="1244"/>
      <c r="M155" s="1244"/>
      <c r="N155" s="1244"/>
      <c r="O155" s="1244"/>
      <c r="P155" s="1244"/>
      <c r="Q155" s="1244"/>
      <c r="R155" s="1244"/>
      <c r="S155" s="1244"/>
      <c r="T155" s="1244"/>
      <c r="U155" s="1244"/>
      <c r="V155" s="1244"/>
      <c r="W155" s="1244"/>
      <c r="X155" s="1244"/>
      <c r="Y155" s="1244"/>
      <c r="Z155" s="1244"/>
      <c r="AA155" s="1244"/>
      <c r="AB155" s="1244"/>
      <c r="AC155" s="1244"/>
      <c r="AD155" s="1244"/>
      <c r="AE155" s="1244"/>
      <c r="AF155" s="1244"/>
      <c r="AG155" s="1244"/>
      <c r="AH155" s="1239" t="s">
        <v>1913</v>
      </c>
      <c r="AQ155" s="1239" t="s">
        <v>1904</v>
      </c>
    </row>
    <row r="156" spans="1:48">
      <c r="A156" s="1247" t="s">
        <v>1912</v>
      </c>
      <c r="B156" s="1246"/>
      <c r="C156" s="1246"/>
      <c r="D156" s="1246"/>
      <c r="E156" s="1246"/>
      <c r="F156" s="1246"/>
      <c r="G156" s="1246"/>
      <c r="H156" s="1246"/>
      <c r="I156" s="1245"/>
      <c r="J156" s="1244"/>
      <c r="K156" s="1244"/>
      <c r="L156" s="1244"/>
      <c r="M156" s="1244"/>
      <c r="N156" s="1244"/>
      <c r="O156" s="1244"/>
      <c r="P156" s="1244"/>
      <c r="Q156" s="1244"/>
      <c r="R156" s="1244"/>
      <c r="S156" s="1244"/>
      <c r="T156" s="1244"/>
      <c r="U156" s="1244"/>
      <c r="V156" s="1244"/>
      <c r="W156" s="1244"/>
      <c r="X156" s="1244"/>
      <c r="Y156" s="1244"/>
      <c r="Z156" s="1244"/>
      <c r="AA156" s="1244"/>
      <c r="AB156" s="1244"/>
      <c r="AC156" s="1244"/>
      <c r="AD156" s="1244"/>
      <c r="AE156" s="1244"/>
      <c r="AF156" s="1244"/>
      <c r="AG156" s="1244"/>
      <c r="AH156" s="1239" t="s">
        <v>1911</v>
      </c>
      <c r="AU156" s="1239">
        <v>850</v>
      </c>
      <c r="AV156" s="1239">
        <v>6</v>
      </c>
    </row>
    <row r="157" spans="1:48">
      <c r="A157" s="1247" t="s">
        <v>1910</v>
      </c>
      <c r="B157" s="1246"/>
      <c r="C157" s="1246"/>
      <c r="D157" s="1246"/>
      <c r="E157" s="1246"/>
      <c r="F157" s="1246"/>
      <c r="G157" s="1246"/>
      <c r="H157" s="1246"/>
      <c r="I157" s="1245"/>
      <c r="J157" s="1244"/>
      <c r="K157" s="1244"/>
      <c r="L157" s="1244"/>
      <c r="M157" s="1244"/>
      <c r="N157" s="1244"/>
      <c r="O157" s="1244"/>
      <c r="P157" s="1244"/>
      <c r="Q157" s="1244"/>
      <c r="R157" s="1244"/>
      <c r="S157" s="1244"/>
      <c r="T157" s="1244"/>
      <c r="U157" s="1244"/>
      <c r="V157" s="1244"/>
      <c r="W157" s="1244"/>
      <c r="X157" s="1244"/>
      <c r="Y157" s="1244"/>
      <c r="Z157" s="1244"/>
      <c r="AA157" s="1244"/>
      <c r="AB157" s="1244"/>
      <c r="AC157" s="1244"/>
      <c r="AD157" s="1244"/>
      <c r="AE157" s="1244"/>
      <c r="AF157" s="1244"/>
      <c r="AG157" s="1244"/>
      <c r="AH157" s="1239" t="s">
        <v>1909</v>
      </c>
      <c r="AQ157" s="1239" t="s">
        <v>1904</v>
      </c>
    </row>
    <row r="158" spans="1:48">
      <c r="A158" s="1247" t="s">
        <v>1908</v>
      </c>
      <c r="B158" s="1246"/>
      <c r="C158" s="1246"/>
      <c r="D158" s="1246"/>
      <c r="E158" s="1246"/>
      <c r="F158" s="1246"/>
      <c r="G158" s="1246"/>
      <c r="H158" s="1246"/>
      <c r="I158" s="1245"/>
      <c r="J158" s="1244"/>
      <c r="K158" s="1244"/>
      <c r="L158" s="1244"/>
      <c r="M158" s="1244"/>
      <c r="N158" s="1244"/>
      <c r="O158" s="1244"/>
      <c r="P158" s="1244"/>
      <c r="Q158" s="1244"/>
      <c r="R158" s="1244"/>
      <c r="S158" s="1244"/>
      <c r="T158" s="1244"/>
      <c r="U158" s="1244"/>
      <c r="V158" s="1244"/>
      <c r="W158" s="1244"/>
      <c r="X158" s="1244"/>
      <c r="Y158" s="1244"/>
      <c r="Z158" s="1244"/>
      <c r="AA158" s="1244"/>
      <c r="AB158" s="1244"/>
      <c r="AC158" s="1244"/>
      <c r="AD158" s="1244"/>
      <c r="AE158" s="1244"/>
      <c r="AF158" s="1244"/>
      <c r="AG158" s="1244"/>
      <c r="AH158" s="1239" t="s">
        <v>1907</v>
      </c>
      <c r="AU158" s="1239">
        <v>600</v>
      </c>
      <c r="AV158" s="1239">
        <v>1</v>
      </c>
    </row>
    <row r="159" spans="1:48">
      <c r="A159" s="1247" t="s">
        <v>1906</v>
      </c>
      <c r="B159" s="1246"/>
      <c r="C159" s="1246"/>
      <c r="D159" s="1246"/>
      <c r="E159" s="1246"/>
      <c r="F159" s="1246"/>
      <c r="G159" s="1246"/>
      <c r="H159" s="1246"/>
      <c r="I159" s="1245"/>
      <c r="J159" s="1244"/>
      <c r="K159" s="1244"/>
      <c r="L159" s="1244"/>
      <c r="M159" s="1244"/>
      <c r="N159" s="1244"/>
      <c r="O159" s="1244"/>
      <c r="P159" s="1244"/>
      <c r="Q159" s="1244"/>
      <c r="R159" s="1244"/>
      <c r="S159" s="1244"/>
      <c r="T159" s="1244"/>
      <c r="U159" s="1244"/>
      <c r="V159" s="1244"/>
      <c r="W159" s="1244"/>
      <c r="X159" s="1244"/>
      <c r="Y159" s="1244"/>
      <c r="Z159" s="1244"/>
      <c r="AA159" s="1244"/>
      <c r="AB159" s="1244"/>
      <c r="AC159" s="1244"/>
      <c r="AD159" s="1244"/>
      <c r="AE159" s="1244"/>
      <c r="AF159" s="1244"/>
      <c r="AG159" s="1244"/>
      <c r="AH159" s="1239" t="s">
        <v>1905</v>
      </c>
      <c r="AQ159" s="1239" t="s">
        <v>1904</v>
      </c>
      <c r="AU159" s="1244"/>
      <c r="AV159" s="1244"/>
    </row>
    <row r="160" spans="1:48">
      <c r="A160" s="1247" t="s">
        <v>1399</v>
      </c>
      <c r="B160" s="1246"/>
      <c r="C160" s="1246"/>
      <c r="D160" s="1246"/>
      <c r="E160" s="1246"/>
      <c r="F160" s="1246"/>
      <c r="G160" s="1246"/>
      <c r="H160" s="1246"/>
      <c r="I160" s="1245"/>
      <c r="Y160" s="1244"/>
      <c r="Z160" s="1244"/>
      <c r="AA160" s="1244"/>
      <c r="AB160" s="1244"/>
      <c r="AC160" s="1244"/>
      <c r="AD160" s="1244"/>
      <c r="AE160" s="1244"/>
      <c r="AF160" s="1244"/>
      <c r="AG160" s="1244"/>
      <c r="AH160" s="1244"/>
      <c r="AI160" s="1244"/>
      <c r="AJ160" s="1244"/>
      <c r="AK160" s="1244"/>
      <c r="AL160" s="1244"/>
      <c r="AM160" s="1244"/>
      <c r="AN160" s="1244"/>
      <c r="AO160" s="1244"/>
      <c r="AP160" s="1244"/>
      <c r="AQ160" s="1244"/>
      <c r="AR160" s="1244"/>
      <c r="AS160" s="1244"/>
      <c r="AT160" s="1244"/>
      <c r="AU160" s="1244"/>
      <c r="AV160" s="1244"/>
    </row>
    <row r="162" spans="1:11" s="1240" customFormat="1" ht="15.6">
      <c r="A162" s="1241"/>
      <c r="B162" s="1241"/>
      <c r="C162" s="1241"/>
      <c r="D162" s="1241"/>
      <c r="E162" s="1241"/>
      <c r="F162" s="1241"/>
      <c r="G162" s="1241"/>
      <c r="H162" s="1241"/>
      <c r="I162" s="1241"/>
      <c r="J162" s="1241"/>
      <c r="K162" s="1241"/>
    </row>
    <row r="163" spans="1:11" s="1240" customFormat="1" ht="15.6">
      <c r="A163" s="1241"/>
      <c r="B163" s="1241"/>
      <c r="C163" s="1243"/>
      <c r="D163" s="1241"/>
      <c r="E163" s="1241"/>
      <c r="F163" s="1241"/>
      <c r="G163" s="1241"/>
      <c r="H163" s="1241"/>
      <c r="I163" s="1243"/>
      <c r="J163" s="1241"/>
    </row>
    <row r="164" spans="1:11" s="1240" customFormat="1" ht="15.6">
      <c r="A164" s="1241"/>
      <c r="B164" s="1241"/>
      <c r="C164" s="1241"/>
      <c r="D164" s="1241"/>
      <c r="E164" s="1241"/>
      <c r="F164" s="1241"/>
      <c r="G164" s="1241"/>
      <c r="H164" s="1241"/>
      <c r="I164" s="1241"/>
      <c r="J164" s="1241"/>
    </row>
    <row r="165" spans="1:11" s="1240" customFormat="1" ht="15.6">
      <c r="A165" s="1241"/>
      <c r="B165" s="1241"/>
      <c r="C165" s="1241"/>
      <c r="D165" s="1241"/>
      <c r="E165" s="1241"/>
      <c r="F165" s="1241"/>
      <c r="G165" s="1243"/>
      <c r="H165" s="1241"/>
      <c r="I165" s="1243"/>
      <c r="J165" s="1241"/>
    </row>
    <row r="166" spans="1:11" s="1240" customFormat="1" ht="15.6">
      <c r="A166" s="1241"/>
      <c r="B166" s="1241"/>
      <c r="C166" s="1241"/>
      <c r="D166" s="1241"/>
      <c r="E166" s="1241"/>
      <c r="F166" s="1241"/>
      <c r="G166" s="1241"/>
      <c r="H166" s="1241"/>
      <c r="I166" s="1241"/>
      <c r="J166" s="1243"/>
    </row>
    <row r="167" spans="1:11" s="1240" customFormat="1" ht="15.6">
      <c r="A167" s="1241"/>
      <c r="B167" s="1241"/>
      <c r="C167" s="1241"/>
      <c r="D167" s="1241"/>
      <c r="E167" s="1241"/>
      <c r="F167" s="1241"/>
      <c r="G167" s="1241"/>
      <c r="H167" s="1241"/>
      <c r="I167" s="1241"/>
      <c r="J167" s="1243"/>
    </row>
    <row r="168" spans="1:11" s="1240" customFormat="1" ht="15.6">
      <c r="A168" s="1241"/>
      <c r="B168" s="1241"/>
      <c r="C168" s="1241"/>
      <c r="D168" s="1241"/>
      <c r="E168" s="1241"/>
      <c r="F168" s="1241"/>
      <c r="G168" s="1241"/>
      <c r="H168" s="1241"/>
      <c r="I168" s="1241"/>
      <c r="J168" s="1243"/>
    </row>
    <row r="169" spans="1:11" s="1240" customFormat="1" ht="15.6">
      <c r="A169" s="1241"/>
      <c r="B169" s="1241"/>
      <c r="C169" s="1241"/>
      <c r="D169" s="1241"/>
      <c r="E169" s="1241"/>
      <c r="F169" s="1241"/>
      <c r="G169" s="1241"/>
      <c r="H169" s="1241"/>
      <c r="I169" s="1241"/>
      <c r="J169" s="1243"/>
    </row>
    <row r="170" spans="1:11" s="1240" customFormat="1" ht="15.6">
      <c r="A170" s="1241"/>
      <c r="B170" s="1241"/>
      <c r="C170" s="1241"/>
      <c r="D170" s="1241"/>
      <c r="E170" s="1241"/>
      <c r="F170" s="1241"/>
      <c r="G170" s="1241"/>
      <c r="H170" s="1241"/>
      <c r="I170" s="1241"/>
      <c r="J170" s="1241"/>
    </row>
    <row r="171" spans="1:11" s="1240" customFormat="1" ht="15.6">
      <c r="A171" s="1241"/>
      <c r="B171" s="1241"/>
      <c r="C171" s="1241"/>
      <c r="D171" s="1241"/>
      <c r="E171" s="1241"/>
      <c r="F171" s="1241"/>
      <c r="G171" s="1241"/>
      <c r="H171" s="1243"/>
      <c r="I171" s="1241"/>
      <c r="J171" s="1241"/>
    </row>
    <row r="172" spans="1:11" s="1240" customFormat="1" ht="15.6">
      <c r="A172" s="1241"/>
      <c r="B172" s="1241"/>
      <c r="C172" s="1241"/>
      <c r="D172" s="1241"/>
      <c r="E172" s="1241"/>
      <c r="F172" s="1241"/>
      <c r="G172" s="1241"/>
      <c r="H172" s="1243"/>
      <c r="I172" s="1241"/>
      <c r="J172" s="1241"/>
    </row>
    <row r="173" spans="1:11" s="1240" customFormat="1" ht="15.6">
      <c r="A173" s="1241"/>
      <c r="B173" s="1241"/>
      <c r="C173" s="1241"/>
      <c r="D173" s="1241"/>
      <c r="E173" s="1241"/>
      <c r="F173" s="1241"/>
      <c r="G173" s="1241"/>
      <c r="H173" s="1243"/>
      <c r="I173" s="1241"/>
      <c r="J173" s="1241"/>
    </row>
    <row r="174" spans="1:11" s="1240" customFormat="1" ht="15.6">
      <c r="A174" s="1241"/>
      <c r="B174" s="1241"/>
      <c r="C174" s="1241"/>
      <c r="D174" s="1241"/>
      <c r="E174" s="1241"/>
      <c r="F174" s="1241"/>
      <c r="G174" s="1243"/>
      <c r="H174" s="1241"/>
      <c r="I174" s="1243"/>
      <c r="J174" s="1241"/>
    </row>
    <row r="175" spans="1:11" s="1240" customFormat="1" ht="15.6">
      <c r="A175" s="1241"/>
      <c r="B175" s="1241"/>
      <c r="C175" s="1241"/>
      <c r="D175" s="1241"/>
      <c r="E175" s="1241"/>
      <c r="F175" s="1241"/>
      <c r="G175" s="1241"/>
      <c r="H175" s="1243"/>
      <c r="I175" s="1241"/>
      <c r="J175" s="1243"/>
    </row>
    <row r="176" spans="1:11" s="1240" customFormat="1" ht="15.6">
      <c r="A176" s="1241"/>
      <c r="B176" s="1241"/>
      <c r="C176" s="1241"/>
      <c r="D176" s="1241"/>
      <c r="E176" s="1241"/>
      <c r="F176" s="1241"/>
      <c r="G176" s="1241"/>
      <c r="H176" s="1241"/>
      <c r="I176" s="1243"/>
      <c r="J176" s="1241"/>
    </row>
    <row r="177" spans="1:11" s="1240" customFormat="1" ht="15.6">
      <c r="A177" s="1242"/>
      <c r="B177" s="1242"/>
      <c r="C177" s="1242"/>
      <c r="D177" s="1242"/>
      <c r="E177" s="1242"/>
      <c r="F177" s="1242"/>
      <c r="G177" s="1242"/>
      <c r="H177" s="1242"/>
      <c r="I177" s="1242"/>
      <c r="J177" s="1242"/>
      <c r="K177" s="1241"/>
    </row>
  </sheetData>
  <hyperlinks>
    <hyperlink ref="B219" r:id="rId1" display="https://www.energinet.dk/SiteCollectionDocuments/Danske%20dokumenter/El/Redeg%C3%B8relse%20for%20elforsyningssikkerhed%202015.pdf"/>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B2:W72"/>
  <sheetViews>
    <sheetView topLeftCell="A73" zoomScale="115" zoomScaleNormal="115" workbookViewId="0">
      <selection activeCell="C52" sqref="C52"/>
    </sheetView>
  </sheetViews>
  <sheetFormatPr defaultColWidth="8.44140625" defaultRowHeight="13.2"/>
  <cols>
    <col min="2" max="2" width="12.44140625" bestFit="1" customWidth="1"/>
    <col min="5" max="5" width="8.44140625" style="602"/>
    <col min="6" max="6" width="13.44140625" customWidth="1"/>
    <col min="10" max="11" width="8.44140625" style="602"/>
    <col min="17" max="17" width="11.44140625" customWidth="1"/>
    <col min="18" max="18" width="19.21875" customWidth="1"/>
  </cols>
  <sheetData>
    <row r="2" spans="2:11" ht="13.8">
      <c r="B2" s="9"/>
      <c r="C2" s="102"/>
      <c r="D2" s="102"/>
      <c r="E2" s="102"/>
      <c r="F2" s="10" t="s">
        <v>7</v>
      </c>
      <c r="G2" s="102"/>
    </row>
    <row r="3" spans="2:11" ht="27.6">
      <c r="B3" s="11" t="s">
        <v>1</v>
      </c>
      <c r="C3" s="11" t="s">
        <v>21</v>
      </c>
      <c r="D3" s="11" t="s">
        <v>81</v>
      </c>
      <c r="E3" s="1059" t="s">
        <v>80</v>
      </c>
      <c r="F3" s="103" t="s">
        <v>13</v>
      </c>
      <c r="G3" s="54" t="s">
        <v>82</v>
      </c>
      <c r="H3" s="1059" t="s">
        <v>92</v>
      </c>
      <c r="I3" s="1120" t="s">
        <v>1627</v>
      </c>
      <c r="J3" s="1121"/>
      <c r="K3" s="1121"/>
    </row>
    <row r="4" spans="2:11" ht="13.8" thickBot="1">
      <c r="B4" s="104" t="s">
        <v>214</v>
      </c>
      <c r="C4" s="105"/>
      <c r="D4" s="105"/>
      <c r="E4" s="105"/>
      <c r="F4" s="106"/>
      <c r="G4" s="107"/>
    </row>
    <row r="5" spans="2:11" ht="13.8" thickBot="1">
      <c r="B5" s="108" t="s">
        <v>22</v>
      </c>
      <c r="C5" s="109"/>
      <c r="D5" s="109"/>
      <c r="E5" s="109"/>
      <c r="F5" s="109"/>
      <c r="G5" s="110"/>
    </row>
    <row r="6" spans="2:11">
      <c r="B6" t="str">
        <f>Processes!D143</f>
        <v>FT-SUPELC</v>
      </c>
      <c r="D6" s="588" t="s">
        <v>1656</v>
      </c>
      <c r="E6" s="23"/>
      <c r="F6" s="23" t="str">
        <f>Commodities!E81</f>
        <v>SUPELC</v>
      </c>
      <c r="G6" s="111">
        <v>1</v>
      </c>
    </row>
    <row r="7" spans="2:11">
      <c r="B7" s="484" t="str">
        <f>Processes!D144</f>
        <v>FT-SUPHETC</v>
      </c>
      <c r="D7" s="588" t="s">
        <v>1650</v>
      </c>
      <c r="E7" s="23"/>
      <c r="F7" s="23" t="str">
        <f>Commodities!E82</f>
        <v>SUPHETC</v>
      </c>
      <c r="G7" s="112">
        <v>1</v>
      </c>
    </row>
    <row r="8" spans="2:11">
      <c r="B8" s="525" t="str">
        <f>Processes!D145</f>
        <v>FT-SUPHETD</v>
      </c>
      <c r="C8" s="525"/>
      <c r="D8" s="1138" t="s">
        <v>1651</v>
      </c>
      <c r="E8" s="587"/>
      <c r="F8" s="587" t="str">
        <f>Commodities!E83</f>
        <v>SUPHETD</v>
      </c>
      <c r="G8" s="590">
        <v>1</v>
      </c>
    </row>
    <row r="9" spans="2:11">
      <c r="B9" s="484" t="str">
        <f>Processes!D146</f>
        <v>FT-SUPCOA</v>
      </c>
      <c r="C9" s="484"/>
      <c r="D9" s="484" t="str">
        <f>IF(LEN(F9)=6,RIGHT(F9,3),RIGHT(F9,4))</f>
        <v>COA</v>
      </c>
      <c r="F9" s="23" t="str">
        <f>Commodities!E84</f>
        <v>SUPCOA</v>
      </c>
      <c r="G9" s="484">
        <v>1</v>
      </c>
    </row>
    <row r="10" spans="2:11">
      <c r="B10" s="484" t="str">
        <f>Processes!D147</f>
        <v>FT-SUPNGA</v>
      </c>
      <c r="C10" s="484"/>
      <c r="D10" s="484" t="s">
        <v>1665</v>
      </c>
      <c r="F10" s="23" t="str">
        <f>Commodities!E85</f>
        <v>SUPNGA</v>
      </c>
      <c r="G10" s="484">
        <v>1</v>
      </c>
    </row>
    <row r="11" spans="2:11">
      <c r="B11" s="484" t="str">
        <f>Processes!D148</f>
        <v>FT-SUPCRD</v>
      </c>
      <c r="D11" s="484" t="str">
        <f t="shared" ref="D11:D37" si="0">IF(LEN(F11)=6,RIGHT(F11,3),RIGHT(F11,4))</f>
        <v>CRD</v>
      </c>
      <c r="F11" s="23" t="str">
        <f>Commodities!E86</f>
        <v>SUPCRD</v>
      </c>
      <c r="G11">
        <v>1</v>
      </c>
    </row>
    <row r="12" spans="2:11">
      <c r="B12" s="484" t="str">
        <f>Processes!D149</f>
        <v>FT-SUPLPG</v>
      </c>
      <c r="C12" s="484"/>
      <c r="D12" s="484" t="str">
        <f t="shared" si="0"/>
        <v>LPG</v>
      </c>
      <c r="F12" s="23" t="str">
        <f>Commodities!E87</f>
        <v>SUPLPG</v>
      </c>
      <c r="G12" s="484">
        <v>1</v>
      </c>
    </row>
    <row r="13" spans="2:11">
      <c r="B13" s="484" t="str">
        <f>Processes!D150</f>
        <v>FT-SUPLVN</v>
      </c>
      <c r="C13" s="484"/>
      <c r="D13" s="484" t="str">
        <f t="shared" si="0"/>
        <v>LVN</v>
      </c>
      <c r="F13" s="23" t="str">
        <f>Commodities!E88</f>
        <v>SUPLVN</v>
      </c>
      <c r="G13" s="484">
        <v>1</v>
      </c>
    </row>
    <row r="14" spans="2:11">
      <c r="B14" s="484" t="str">
        <f>Processes!D151</f>
        <v>FT-SUPGSL</v>
      </c>
      <c r="C14" s="484"/>
      <c r="D14" s="484" t="str">
        <f t="shared" si="0"/>
        <v>GSL</v>
      </c>
      <c r="F14" s="23" t="str">
        <f>Commodities!E89</f>
        <v>SUPGSL</v>
      </c>
      <c r="G14" s="484">
        <v>1</v>
      </c>
    </row>
    <row r="15" spans="2:11">
      <c r="B15" s="484" t="str">
        <f>Processes!D152</f>
        <v>FT-SUPKER</v>
      </c>
      <c r="C15" s="484"/>
      <c r="D15" s="484" t="str">
        <f t="shared" si="0"/>
        <v>KER</v>
      </c>
      <c r="F15" s="23" t="str">
        <f>Commodities!E90</f>
        <v>SUPKER</v>
      </c>
      <c r="G15" s="484">
        <v>1</v>
      </c>
    </row>
    <row r="16" spans="2:11">
      <c r="B16" s="484" t="str">
        <f>Processes!D153</f>
        <v>FT-SUPDSL</v>
      </c>
      <c r="C16" s="484"/>
      <c r="D16" s="484" t="str">
        <f t="shared" si="0"/>
        <v>DSL</v>
      </c>
      <c r="F16" s="23" t="str">
        <f>Commodities!E91</f>
        <v>SUPDSL</v>
      </c>
      <c r="G16" s="484">
        <v>1</v>
      </c>
    </row>
    <row r="17" spans="2:7">
      <c r="B17" s="484" t="str">
        <f>Processes!D154</f>
        <v>FT-SUPHFO</v>
      </c>
      <c r="C17" s="484"/>
      <c r="D17" s="484" t="str">
        <f t="shared" si="0"/>
        <v>HFO</v>
      </c>
      <c r="F17" s="23" t="str">
        <f>Commodities!E92</f>
        <v>SUPHFO</v>
      </c>
      <c r="G17" s="484">
        <v>1</v>
      </c>
    </row>
    <row r="18" spans="2:7">
      <c r="B18" s="484" t="str">
        <f>Processes!D155</f>
        <v>FT-SUPMGO</v>
      </c>
      <c r="C18" s="484"/>
      <c r="D18" s="484" t="str">
        <f t="shared" si="0"/>
        <v>MGO</v>
      </c>
      <c r="F18" s="23" t="str">
        <f>Commodities!E93</f>
        <v>SUPMGO</v>
      </c>
      <c r="G18" s="484">
        <v>1</v>
      </c>
    </row>
    <row r="19" spans="2:7">
      <c r="B19" s="484" t="str">
        <f>Processes!D156</f>
        <v>FT-SUPAGSL</v>
      </c>
      <c r="C19" s="484"/>
      <c r="D19" s="484" t="str">
        <f t="shared" si="0"/>
        <v>AGSL</v>
      </c>
      <c r="F19" s="23" t="str">
        <f>Commodities!E94</f>
        <v>SUPAGSL</v>
      </c>
      <c r="G19" s="484">
        <v>1</v>
      </c>
    </row>
    <row r="20" spans="2:7">
      <c r="B20" s="484" t="str">
        <f>Processes!D157</f>
        <v>FT-SUPWST</v>
      </c>
      <c r="C20" s="484"/>
      <c r="D20" s="484" t="str">
        <f t="shared" si="0"/>
        <v>WST</v>
      </c>
      <c r="F20" s="23" t="str">
        <f>Commodities!E95</f>
        <v>SUPWST</v>
      </c>
      <c r="G20" s="484">
        <v>1</v>
      </c>
    </row>
    <row r="21" spans="2:7">
      <c r="B21" s="484" t="str">
        <f>Processes!D158</f>
        <v>FT-SUPSTR</v>
      </c>
      <c r="C21" s="484"/>
      <c r="D21" s="484" t="str">
        <f t="shared" si="0"/>
        <v>STR</v>
      </c>
      <c r="F21" s="23" t="str">
        <f>Commodities!E96</f>
        <v>SUPSTR</v>
      </c>
      <c r="G21" s="484">
        <v>1</v>
      </c>
    </row>
    <row r="22" spans="2:7">
      <c r="B22" s="484" t="str">
        <f>Processes!D159</f>
        <v>FT-SUPGRS</v>
      </c>
      <c r="C22" s="484"/>
      <c r="D22" s="484" t="str">
        <f t="shared" si="0"/>
        <v>GRS</v>
      </c>
      <c r="F22" s="23" t="str">
        <f>Commodities!E97</f>
        <v>SUPGRS</v>
      </c>
      <c r="G22" s="484">
        <v>1</v>
      </c>
    </row>
    <row r="23" spans="2:7">
      <c r="B23" s="484" t="str">
        <f>Processes!D160</f>
        <v>FT-SUPWPE</v>
      </c>
      <c r="C23" s="484"/>
      <c r="D23" s="484" t="str">
        <f t="shared" si="0"/>
        <v>WPE</v>
      </c>
      <c r="F23" s="23" t="str">
        <f>Commodities!E98</f>
        <v>SUPWPE</v>
      </c>
      <c r="G23" s="484">
        <v>1</v>
      </c>
    </row>
    <row r="24" spans="2:7">
      <c r="B24" s="484" t="str">
        <f>Processes!D161</f>
        <v>FT-SUPWCH</v>
      </c>
      <c r="C24" s="484"/>
      <c r="D24" s="484" t="str">
        <f t="shared" si="0"/>
        <v>WCH</v>
      </c>
      <c r="F24" s="23" t="str">
        <f>Commodities!E99</f>
        <v>SUPWCH</v>
      </c>
      <c r="G24" s="484">
        <v>1</v>
      </c>
    </row>
    <row r="25" spans="2:7">
      <c r="B25" s="484" t="str">
        <f>Processes!D162</f>
        <v>FT-SUPFIW</v>
      </c>
      <c r="C25" s="484"/>
      <c r="D25" s="484" t="str">
        <f t="shared" si="0"/>
        <v>FIW</v>
      </c>
      <c r="F25" s="23" t="str">
        <f>Commodities!E100</f>
        <v>SUPFIW</v>
      </c>
      <c r="G25" s="484">
        <v>1</v>
      </c>
    </row>
    <row r="26" spans="2:7">
      <c r="B26" s="484" t="str">
        <f>Processes!D163</f>
        <v>FT-SUPCRN</v>
      </c>
      <c r="C26" s="484"/>
      <c r="D26" s="484" t="str">
        <f t="shared" si="0"/>
        <v>CRN</v>
      </c>
      <c r="F26" s="23" t="str">
        <f>Commodities!E101</f>
        <v>SUPCRN</v>
      </c>
      <c r="G26" s="484">
        <v>1</v>
      </c>
    </row>
    <row r="27" spans="2:7">
      <c r="B27" s="484" t="str">
        <f>Processes!D164</f>
        <v>FT-SUPRPS</v>
      </c>
      <c r="C27" s="484"/>
      <c r="D27" s="484" t="str">
        <f t="shared" si="0"/>
        <v>RPS</v>
      </c>
      <c r="F27" s="23" t="str">
        <f>Commodities!E102</f>
        <v>SUPRPS</v>
      </c>
      <c r="G27" s="484">
        <v>1</v>
      </c>
    </row>
    <row r="28" spans="2:7">
      <c r="B28" s="484" t="str">
        <f>Processes!D165</f>
        <v>FT-SUPSGB</v>
      </c>
      <c r="C28" s="484"/>
      <c r="D28" s="484" t="str">
        <f t="shared" si="0"/>
        <v>SGB</v>
      </c>
      <c r="F28" s="23" t="str">
        <f>Commodities!E103</f>
        <v>SUPSGB</v>
      </c>
      <c r="G28" s="484">
        <v>1</v>
      </c>
    </row>
    <row r="29" spans="2:7">
      <c r="B29" s="484" t="str">
        <f>Processes!D166</f>
        <v>FT-SUPDLI</v>
      </c>
      <c r="C29" s="484"/>
      <c r="D29" s="484" t="str">
        <f t="shared" si="0"/>
        <v>DLI</v>
      </c>
      <c r="F29" s="23" t="str">
        <f>Commodities!E104</f>
        <v>SUPDLI</v>
      </c>
      <c r="G29" s="484">
        <v>1</v>
      </c>
    </row>
    <row r="30" spans="2:7">
      <c r="B30" s="484" t="str">
        <f>Processes!D167</f>
        <v>FT-SUPMNR</v>
      </c>
      <c r="C30" s="484"/>
      <c r="D30" s="484" t="str">
        <f t="shared" si="0"/>
        <v>MNR</v>
      </c>
      <c r="F30" s="23" t="str">
        <f>Commodities!E105</f>
        <v>SUPMNR</v>
      </c>
      <c r="G30" s="484">
        <v>1</v>
      </c>
    </row>
    <row r="31" spans="2:7">
      <c r="B31" s="484" t="str">
        <f>Processes!D168</f>
        <v>FT-SUPBGA</v>
      </c>
      <c r="C31" s="484"/>
      <c r="D31" s="484" t="str">
        <f t="shared" si="0"/>
        <v>BGA</v>
      </c>
      <c r="F31" s="23" t="str">
        <f>Commodities!E106</f>
        <v>SUPBGA</v>
      </c>
      <c r="G31" s="484">
        <v>1</v>
      </c>
    </row>
    <row r="32" spans="2:7">
      <c r="B32" s="484" t="str">
        <f>Processes!D169</f>
        <v>FT-SUPHFB</v>
      </c>
      <c r="C32" s="484"/>
      <c r="D32" s="484" t="str">
        <f t="shared" si="0"/>
        <v>HFB</v>
      </c>
      <c r="F32" s="23" t="str">
        <f>Commodities!E107</f>
        <v>SUPHFB</v>
      </c>
      <c r="G32" s="484">
        <v>1</v>
      </c>
    </row>
    <row r="33" spans="2:7">
      <c r="B33" s="484" t="str">
        <f>Processes!D170</f>
        <v>FT-SUPDDGS</v>
      </c>
      <c r="C33" s="484"/>
      <c r="D33" s="484" t="str">
        <f t="shared" si="0"/>
        <v>DDGS</v>
      </c>
      <c r="F33" s="23" t="str">
        <f>Commodities!E108</f>
        <v>SUPDDGS</v>
      </c>
      <c r="G33" s="484">
        <v>1</v>
      </c>
    </row>
    <row r="34" spans="2:7">
      <c r="B34" s="484" t="str">
        <f>Processes!D171</f>
        <v>FT-SUPH2</v>
      </c>
      <c r="C34" s="484"/>
      <c r="D34" s="589" t="s">
        <v>755</v>
      </c>
      <c r="E34" s="589"/>
      <c r="F34" s="23" t="str">
        <f>Commodities!E109</f>
        <v>SUPH2</v>
      </c>
      <c r="G34" s="484">
        <v>1</v>
      </c>
    </row>
    <row r="35" spans="2:7">
      <c r="B35" s="484" t="str">
        <f>Processes!D172</f>
        <v>FT-SUPH2G</v>
      </c>
      <c r="C35" s="484"/>
      <c r="D35" s="484" t="str">
        <f t="shared" si="0"/>
        <v>H2G</v>
      </c>
      <c r="F35" s="23" t="str">
        <f>Commodities!E110</f>
        <v>SUPH2G</v>
      </c>
      <c r="G35" s="484">
        <v>1</v>
      </c>
    </row>
    <row r="36" spans="2:7">
      <c r="B36" s="484" t="str">
        <f>Processes!D173</f>
        <v>FT-SUPAMM</v>
      </c>
      <c r="C36" s="484"/>
      <c r="D36" s="484" t="str">
        <f t="shared" si="0"/>
        <v>AMM</v>
      </c>
      <c r="F36" s="23" t="str">
        <f>Commodities!E111</f>
        <v>SUPAMM</v>
      </c>
      <c r="G36" s="484">
        <v>1</v>
      </c>
    </row>
    <row r="37" spans="2:7">
      <c r="B37" s="484" t="str">
        <f>Processes!D174</f>
        <v>FT-SUPDME</v>
      </c>
      <c r="C37" s="484"/>
      <c r="D37" s="484" t="str">
        <f t="shared" si="0"/>
        <v>DME</v>
      </c>
      <c r="F37" s="23" t="str">
        <f>Commodities!E112</f>
        <v>SUPDME</v>
      </c>
      <c r="G37" s="484">
        <v>1</v>
      </c>
    </row>
    <row r="38" spans="2:7">
      <c r="B38" s="484" t="str">
        <f>Processes!D175</f>
        <v>FT-SUPKRB</v>
      </c>
      <c r="C38" s="484"/>
      <c r="D38" s="484" t="str">
        <f>Commodities!E30</f>
        <v>KRB1</v>
      </c>
      <c r="F38" s="23" t="str">
        <f>Commodities!E113</f>
        <v>SUPKRB</v>
      </c>
      <c r="G38" s="484">
        <v>1</v>
      </c>
    </row>
    <row r="39" spans="2:7">
      <c r="B39" s="484"/>
      <c r="C39" s="484"/>
      <c r="D39" s="484" t="str">
        <f>Commodities!E31</f>
        <v>KRB2</v>
      </c>
      <c r="F39" s="23"/>
      <c r="G39" s="484">
        <v>1</v>
      </c>
    </row>
    <row r="40" spans="2:7">
      <c r="B40" s="484"/>
      <c r="C40" s="484"/>
      <c r="D40" s="484" t="str">
        <f>Commodities!E32</f>
        <v>KRE</v>
      </c>
      <c r="F40" s="23"/>
      <c r="G40" s="484">
        <v>1</v>
      </c>
    </row>
    <row r="41" spans="2:7">
      <c r="B41" s="484" t="str">
        <f>Processes!D176</f>
        <v>FT-SUPSNG</v>
      </c>
      <c r="C41" s="484"/>
      <c r="D41" s="484" t="str">
        <f>Commodities!E33</f>
        <v>SNG1</v>
      </c>
      <c r="F41" s="23" t="str">
        <f>Commodities!E114</f>
        <v>SUPSNG</v>
      </c>
      <c r="G41" s="484">
        <v>1</v>
      </c>
    </row>
    <row r="42" spans="2:7">
      <c r="B42" s="484"/>
      <c r="C42" s="484"/>
      <c r="D42" s="484" t="str">
        <f>Commodities!E34</f>
        <v>SNG2</v>
      </c>
      <c r="F42" s="23"/>
      <c r="G42" s="484">
        <v>1</v>
      </c>
    </row>
    <row r="43" spans="2:7">
      <c r="B43" s="484"/>
      <c r="C43" s="484"/>
      <c r="D43" s="484" t="str">
        <f>Commodities!E35</f>
        <v>SNE</v>
      </c>
      <c r="F43" s="23"/>
      <c r="G43" s="484">
        <v>1</v>
      </c>
    </row>
    <row r="44" spans="2:7">
      <c r="B44" s="484" t="str">
        <f>Processes!D177</f>
        <v>FT-SUPDSB</v>
      </c>
      <c r="C44" s="484"/>
      <c r="D44" s="484" t="str">
        <f>Commodities!E36</f>
        <v>DSB1</v>
      </c>
      <c r="F44" s="23" t="str">
        <f>Commodities!E115</f>
        <v>SUPDSB</v>
      </c>
      <c r="G44" s="484">
        <v>1</v>
      </c>
    </row>
    <row r="45" spans="2:7">
      <c r="B45" s="484"/>
      <c r="C45" s="484"/>
      <c r="D45" s="484" t="str">
        <f>Commodities!E37</f>
        <v>DSB2</v>
      </c>
      <c r="F45" s="23"/>
      <c r="G45" s="484">
        <v>1</v>
      </c>
    </row>
    <row r="46" spans="2:7">
      <c r="B46" s="484"/>
      <c r="C46" s="484"/>
      <c r="D46" s="484" t="str">
        <f>Commodities!E38</f>
        <v>DSE</v>
      </c>
      <c r="F46" s="23"/>
      <c r="G46" s="484">
        <v>1</v>
      </c>
    </row>
    <row r="47" spans="2:7">
      <c r="B47" s="484" t="str">
        <f>Processes!D178</f>
        <v>FT-SUPGSB</v>
      </c>
      <c r="C47" s="484"/>
      <c r="D47" s="484" t="str">
        <f>Commodities!E39</f>
        <v>GSB1</v>
      </c>
      <c r="F47" s="23" t="str">
        <f>Commodities!E116</f>
        <v>SUPGSB</v>
      </c>
      <c r="G47" s="484">
        <v>1</v>
      </c>
    </row>
    <row r="48" spans="2:7">
      <c r="B48" s="484"/>
      <c r="C48" s="484"/>
      <c r="D48" s="484" t="str">
        <f>Commodities!E40</f>
        <v>GSB2</v>
      </c>
      <c r="F48" s="23"/>
      <c r="G48" s="484">
        <v>1</v>
      </c>
    </row>
    <row r="49" spans="2:23">
      <c r="B49" s="484"/>
      <c r="C49" s="484"/>
      <c r="D49" s="484" t="str">
        <f>Commodities!E41</f>
        <v>GSE</v>
      </c>
      <c r="F49" s="23"/>
      <c r="G49" s="484">
        <v>1</v>
      </c>
    </row>
    <row r="50" spans="2:23">
      <c r="B50" s="484" t="str">
        <f>Processes!D179</f>
        <v>FT-SUPMOB</v>
      </c>
      <c r="C50" s="484"/>
      <c r="D50" s="484" t="str">
        <f>Commodities!E42</f>
        <v>MOB1</v>
      </c>
      <c r="F50" s="23" t="str">
        <f>Commodities!E117</f>
        <v>SUPMOB</v>
      </c>
      <c r="G50" s="484">
        <v>1</v>
      </c>
    </row>
    <row r="51" spans="2:23">
      <c r="B51" s="484"/>
      <c r="C51" s="484"/>
      <c r="D51" s="484" t="str">
        <f>Commodities!E43</f>
        <v>MOB2</v>
      </c>
      <c r="F51" s="23"/>
      <c r="G51" s="484">
        <v>1</v>
      </c>
    </row>
    <row r="52" spans="2:23">
      <c r="B52" s="525"/>
      <c r="C52" s="525"/>
      <c r="D52" s="525" t="str">
        <f>Commodities!E44</f>
        <v>MOE</v>
      </c>
      <c r="E52" s="525"/>
      <c r="F52" s="587"/>
      <c r="G52" s="525">
        <v>1</v>
      </c>
    </row>
    <row r="53" spans="2:23">
      <c r="B53" s="557" t="str">
        <f>Processes!D180</f>
        <v>FT-MINNGA</v>
      </c>
      <c r="C53" s="557"/>
      <c r="D53" s="557" t="s">
        <v>736</v>
      </c>
      <c r="E53" s="557"/>
      <c r="F53" s="557" t="s">
        <v>41</v>
      </c>
      <c r="G53" s="557">
        <v>1</v>
      </c>
      <c r="H53" s="557"/>
      <c r="I53" s="557"/>
      <c r="J53" s="557"/>
    </row>
    <row r="54" spans="2:23" s="602" customFormat="1">
      <c r="B54" s="557"/>
      <c r="C54" s="557"/>
      <c r="D54" s="557"/>
      <c r="E54" s="557" t="s">
        <v>729</v>
      </c>
      <c r="F54" s="557"/>
      <c r="G54" s="557"/>
      <c r="H54" s="1209">
        <f>'Oil &amp; Gas Data'!J12/L54*H62</f>
        <v>3.0232753332390731E-2</v>
      </c>
      <c r="I54" s="557"/>
      <c r="J54" s="557"/>
      <c r="K54" s="602">
        <f>H62*233*40.1</f>
        <v>211.96948051948056</v>
      </c>
      <c r="L54" s="602">
        <f>K54*57</f>
        <v>12082.260389610392</v>
      </c>
    </row>
    <row r="55" spans="2:23" s="602" customFormat="1" ht="14.4">
      <c r="B55" s="557"/>
      <c r="C55" s="557"/>
      <c r="D55" s="557"/>
      <c r="E55" s="557" t="s">
        <v>1590</v>
      </c>
      <c r="F55" s="557"/>
      <c r="G55" s="557"/>
      <c r="H55" s="1209"/>
      <c r="I55" s="557"/>
      <c r="J55" s="557"/>
      <c r="K55" s="602">
        <f>H63*233*40.1</f>
        <v>16.907629870129874</v>
      </c>
      <c r="L55" s="602">
        <f>K55*76</f>
        <v>1284.9798701298705</v>
      </c>
      <c r="P55" s="1134"/>
    </row>
    <row r="56" spans="2:23" s="602" customFormat="1">
      <c r="B56" s="557"/>
      <c r="C56" s="557"/>
      <c r="D56" s="557"/>
      <c r="E56" s="557" t="s">
        <v>212</v>
      </c>
      <c r="F56" s="557"/>
      <c r="G56" s="557"/>
      <c r="H56" s="1209">
        <f>H68</f>
        <v>4.8123987970164622E-3</v>
      </c>
      <c r="I56" s="557"/>
      <c r="J56" s="557"/>
      <c r="K56" s="602">
        <f>H64*230*40.1</f>
        <v>44.38475410488283</v>
      </c>
      <c r="P56" s="1135" t="s">
        <v>1644</v>
      </c>
    </row>
    <row r="57" spans="2:23">
      <c r="B57" s="557" t="str">
        <f>Processes!D181</f>
        <v>FT-MINCRD</v>
      </c>
      <c r="C57" s="557"/>
      <c r="D57" s="557" t="s">
        <v>735</v>
      </c>
      <c r="E57" s="557"/>
      <c r="F57" s="557" t="s">
        <v>93</v>
      </c>
      <c r="G57" s="557">
        <v>1</v>
      </c>
      <c r="H57" s="557"/>
      <c r="I57" s="557"/>
      <c r="J57" s="557"/>
    </row>
    <row r="58" spans="2:23" ht="29.4" thickBot="1">
      <c r="B58" s="557"/>
      <c r="C58" s="557"/>
      <c r="D58" s="557"/>
      <c r="E58" s="557" t="s">
        <v>729</v>
      </c>
      <c r="F58" s="557"/>
      <c r="G58" s="557"/>
      <c r="H58" s="1209">
        <f>H54</f>
        <v>3.0232753332390731E-2</v>
      </c>
      <c r="I58" s="557"/>
      <c r="J58" s="557"/>
      <c r="K58" s="602">
        <f>1/H62</f>
        <v>44.078515346181291</v>
      </c>
      <c r="L58">
        <f>K58*K54</f>
        <v>9343.2999999999993</v>
      </c>
      <c r="O58" s="1129"/>
      <c r="P58" s="1129"/>
      <c r="Q58" s="1130" t="s">
        <v>305</v>
      </c>
      <c r="R58" s="1130" t="s">
        <v>1637</v>
      </c>
      <c r="S58" s="1130" t="s">
        <v>1638</v>
      </c>
      <c r="T58" s="1130" t="s">
        <v>56</v>
      </c>
      <c r="U58" s="1130" t="s">
        <v>247</v>
      </c>
      <c r="V58" s="1130" t="s">
        <v>1639</v>
      </c>
      <c r="W58" s="1130" t="s">
        <v>1640</v>
      </c>
    </row>
    <row r="59" spans="2:23" s="602" customFormat="1" ht="14.4">
      <c r="B59" s="557"/>
      <c r="C59" s="557"/>
      <c r="D59" s="557"/>
      <c r="E59" s="557" t="s">
        <v>1590</v>
      </c>
      <c r="F59" s="557"/>
      <c r="G59" s="557"/>
      <c r="H59" s="1209"/>
      <c r="I59" s="557"/>
      <c r="J59" s="557"/>
      <c r="O59" s="1305" t="s">
        <v>1641</v>
      </c>
      <c r="P59" s="1305"/>
      <c r="Q59" s="1131">
        <v>186.8</v>
      </c>
      <c r="R59" s="1131">
        <v>14.9</v>
      </c>
      <c r="S59" s="1128"/>
      <c r="T59" s="1128"/>
      <c r="U59" s="1131">
        <v>29</v>
      </c>
      <c r="V59" s="1128"/>
      <c r="W59" s="1131">
        <v>230.8</v>
      </c>
    </row>
    <row r="60" spans="2:23" ht="15" thickBot="1">
      <c r="B60" s="557"/>
      <c r="C60" s="557"/>
      <c r="D60" s="557"/>
      <c r="E60" s="557" t="s">
        <v>212</v>
      </c>
      <c r="F60" s="557"/>
      <c r="G60" s="557"/>
      <c r="H60" s="1209">
        <f>H64</f>
        <v>4.8123987970164622E-3</v>
      </c>
      <c r="I60" s="557"/>
      <c r="J60" s="557"/>
      <c r="L60" s="602"/>
      <c r="O60" s="1129" t="s">
        <v>1642</v>
      </c>
      <c r="P60" s="1129"/>
      <c r="Q60" s="1132">
        <v>0</v>
      </c>
      <c r="R60" s="1132">
        <v>21.1</v>
      </c>
      <c r="S60" s="1132"/>
      <c r="T60" s="1132"/>
      <c r="U60" s="1132">
        <v>1.8</v>
      </c>
      <c r="V60" s="1129"/>
      <c r="W60" s="1132">
        <v>23</v>
      </c>
    </row>
    <row r="61" spans="2:23" s="602" customFormat="1" ht="15" thickBot="1">
      <c r="B61" s="557" t="str">
        <f>Processes!D182</f>
        <v>FT-MINNGA2</v>
      </c>
      <c r="C61" s="557"/>
      <c r="D61" s="557" t="s">
        <v>736</v>
      </c>
      <c r="E61" s="557"/>
      <c r="F61" s="557" t="s">
        <v>41</v>
      </c>
      <c r="G61" s="557">
        <v>1</v>
      </c>
      <c r="H61" s="1209"/>
      <c r="I61" s="557"/>
      <c r="J61" s="557"/>
      <c r="O61" s="1133" t="s">
        <v>1643</v>
      </c>
      <c r="P61" s="1133"/>
      <c r="Q61" s="1132">
        <v>186.8</v>
      </c>
      <c r="R61" s="1132">
        <v>36</v>
      </c>
      <c r="S61" s="1132">
        <v>0</v>
      </c>
      <c r="T61" s="1132">
        <v>0</v>
      </c>
      <c r="U61" s="1132">
        <v>30.8</v>
      </c>
      <c r="V61" s="1132">
        <v>0</v>
      </c>
      <c r="W61" s="1132">
        <v>253.8</v>
      </c>
    </row>
    <row r="62" spans="2:23" s="602" customFormat="1">
      <c r="B62" s="557"/>
      <c r="C62" s="557"/>
      <c r="D62" s="557"/>
      <c r="E62" s="557" t="s">
        <v>729</v>
      </c>
      <c r="F62" s="557"/>
      <c r="G62" s="557"/>
      <c r="H62" s="557">
        <f>186.8/'3.10'!F63*1.05</f>
        <v>2.2686789519707231E-2</v>
      </c>
      <c r="I62" s="557">
        <v>2020</v>
      </c>
      <c r="J62" s="557"/>
      <c r="K62" s="602" t="s">
        <v>1636</v>
      </c>
    </row>
    <row r="63" spans="2:23" s="602" customFormat="1">
      <c r="B63" s="557"/>
      <c r="C63" s="557"/>
      <c r="D63" s="557"/>
      <c r="E63" s="557" t="s">
        <v>1590</v>
      </c>
      <c r="F63" s="557"/>
      <c r="G63" s="557"/>
      <c r="H63" s="557">
        <f>14.9/'3.10'!F63*1.05</f>
        <v>1.8095993781779322E-3</v>
      </c>
      <c r="I63" s="557"/>
      <c r="J63" s="557"/>
    </row>
    <row r="64" spans="2:23" s="602" customFormat="1">
      <c r="B64" s="557"/>
      <c r="C64" s="557"/>
      <c r="D64" s="557"/>
      <c r="E64" s="557" t="s">
        <v>212</v>
      </c>
      <c r="F64" s="557"/>
      <c r="G64" s="557"/>
      <c r="H64" s="557">
        <f>29/SUM('MIN-IMP-EXP'!BB1:BB2)</f>
        <v>4.8123987970164622E-3</v>
      </c>
      <c r="I64" s="557"/>
      <c r="J64" s="557"/>
    </row>
    <row r="65" spans="2:12" s="602" customFormat="1">
      <c r="B65" s="557" t="str">
        <f>Processes!D183</f>
        <v>FT-MINCRD2</v>
      </c>
      <c r="C65" s="557"/>
      <c r="D65" s="557" t="s">
        <v>735</v>
      </c>
      <c r="E65" s="557"/>
      <c r="F65" s="557" t="s">
        <v>93</v>
      </c>
      <c r="G65" s="557">
        <v>1</v>
      </c>
      <c r="H65" s="557"/>
      <c r="I65" s="557"/>
      <c r="J65" s="557"/>
    </row>
    <row r="66" spans="2:12" s="602" customFormat="1">
      <c r="B66" s="557"/>
      <c r="C66" s="557"/>
      <c r="D66" s="557"/>
      <c r="E66" s="557" t="s">
        <v>729</v>
      </c>
      <c r="F66" s="557"/>
      <c r="G66" s="557"/>
      <c r="H66" s="557">
        <f>H62</f>
        <v>2.2686789519707231E-2</v>
      </c>
      <c r="I66" s="557">
        <v>2020</v>
      </c>
      <c r="J66" s="557"/>
    </row>
    <row r="67" spans="2:12" s="602" customFormat="1">
      <c r="B67" s="557"/>
      <c r="C67" s="557"/>
      <c r="D67" s="557"/>
      <c r="E67" s="557" t="s">
        <v>1590</v>
      </c>
      <c r="F67" s="557"/>
      <c r="G67" s="557"/>
      <c r="H67" s="557">
        <f>H63</f>
        <v>1.8095993781779322E-3</v>
      </c>
      <c r="I67" s="557"/>
      <c r="J67" s="557"/>
    </row>
    <row r="68" spans="2:12" s="602" customFormat="1">
      <c r="B68" s="557"/>
      <c r="C68" s="557"/>
      <c r="D68" s="557"/>
      <c r="E68" s="557" t="s">
        <v>212</v>
      </c>
      <c r="F68" s="557"/>
      <c r="G68" s="557"/>
      <c r="H68" s="557">
        <f>H64</f>
        <v>4.8123987970164622E-3</v>
      </c>
      <c r="I68" s="557"/>
      <c r="J68" s="557"/>
    </row>
    <row r="69" spans="2:12">
      <c r="B69" s="557" t="str">
        <f>Processes!D184</f>
        <v>FT-MINNGA3</v>
      </c>
      <c r="C69" s="557"/>
      <c r="D69" s="557" t="s">
        <v>736</v>
      </c>
      <c r="E69" s="557"/>
      <c r="F69" s="557" t="s">
        <v>41</v>
      </c>
      <c r="G69" s="557">
        <v>1</v>
      </c>
      <c r="H69" s="557"/>
      <c r="I69" s="557">
        <v>2030</v>
      </c>
      <c r="J69" s="557"/>
    </row>
    <row r="70" spans="2:12">
      <c r="B70" s="557"/>
      <c r="C70" s="557"/>
      <c r="D70" s="557"/>
      <c r="E70" s="557" t="s">
        <v>212</v>
      </c>
      <c r="F70" s="557"/>
      <c r="G70" s="557"/>
      <c r="H70" s="557">
        <f>H64+H62/2</f>
        <v>1.6155793556870079E-2</v>
      </c>
      <c r="I70" s="557"/>
      <c r="J70" s="557"/>
      <c r="L70" t="s">
        <v>1626</v>
      </c>
    </row>
    <row r="71" spans="2:12">
      <c r="B71" s="557" t="str">
        <f>Processes!D185</f>
        <v>FT-MINCRD3</v>
      </c>
      <c r="C71" s="557"/>
      <c r="D71" s="557" t="s">
        <v>735</v>
      </c>
      <c r="E71" s="557"/>
      <c r="F71" s="557" t="s">
        <v>41</v>
      </c>
      <c r="G71" s="557">
        <v>1</v>
      </c>
      <c r="H71" s="557"/>
      <c r="I71" s="557">
        <v>2030</v>
      </c>
      <c r="J71" s="557"/>
    </row>
    <row r="72" spans="2:12">
      <c r="B72" s="557"/>
      <c r="C72" s="557"/>
      <c r="D72" s="557"/>
      <c r="E72" s="557" t="s">
        <v>212</v>
      </c>
      <c r="F72" s="557"/>
      <c r="G72" s="557"/>
      <c r="H72" s="557">
        <f>H70</f>
        <v>1.6155793556870079E-2</v>
      </c>
      <c r="I72" s="557"/>
      <c r="J72" s="557"/>
      <c r="L72" s="602"/>
    </row>
  </sheetData>
  <mergeCells count="1">
    <mergeCell ref="O59:P59"/>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showGridLines="0" workbookViewId="0">
      <selection activeCell="P26" sqref="P26"/>
    </sheetView>
  </sheetViews>
  <sheetFormatPr defaultColWidth="9.21875" defaultRowHeight="13.8"/>
  <cols>
    <col min="1" max="1" width="5.44140625" style="1168" customWidth="1"/>
    <col min="2" max="2" width="35.44140625" style="1168" customWidth="1"/>
    <col min="3" max="20" width="11.44140625" style="1168" customWidth="1"/>
    <col min="21" max="16384" width="9.21875" style="1168"/>
  </cols>
  <sheetData>
    <row r="1" spans="1:20">
      <c r="P1" s="1141">
        <f>P25+P26</f>
        <v>56519.8</v>
      </c>
    </row>
    <row r="2" spans="1:20">
      <c r="B2" s="1306" t="s">
        <v>1774</v>
      </c>
      <c r="C2" s="1306"/>
      <c r="D2" s="1306"/>
      <c r="E2" s="1306"/>
      <c r="F2" s="1306"/>
      <c r="G2" s="1306"/>
      <c r="H2" s="1306"/>
      <c r="I2" s="1306"/>
      <c r="J2" s="1306"/>
      <c r="K2" s="1306"/>
      <c r="L2" s="1306"/>
      <c r="M2" s="1306"/>
      <c r="N2" s="1306"/>
      <c r="O2" s="1306"/>
      <c r="P2" s="1306"/>
      <c r="Q2" s="1306"/>
      <c r="R2" s="1306"/>
      <c r="S2" s="1306"/>
      <c r="T2" s="1306"/>
    </row>
    <row r="3" spans="1:20" ht="14.4" thickBot="1">
      <c r="B3" s="1207" t="s">
        <v>1685</v>
      </c>
      <c r="C3" s="1207"/>
      <c r="D3" s="1207" t="s">
        <v>93</v>
      </c>
      <c r="E3" s="1207"/>
      <c r="F3" s="1207"/>
      <c r="G3" s="1207"/>
      <c r="H3" s="1207"/>
      <c r="I3" s="1207" t="s">
        <v>76</v>
      </c>
      <c r="J3" s="1207" t="s">
        <v>79</v>
      </c>
      <c r="K3" s="1207"/>
      <c r="L3" s="1207" t="s">
        <v>45</v>
      </c>
      <c r="M3" s="1207" t="s">
        <v>759</v>
      </c>
      <c r="N3" s="1207"/>
      <c r="O3" s="1207"/>
      <c r="P3" s="1207" t="s">
        <v>41</v>
      </c>
      <c r="Q3" s="1207"/>
      <c r="R3" s="1207"/>
      <c r="S3" s="1207" t="s">
        <v>215</v>
      </c>
      <c r="T3" s="1207"/>
    </row>
    <row r="4" spans="1:20" s="1145" customFormat="1" ht="19.5" customHeight="1">
      <c r="B4" s="1313"/>
      <c r="C4" s="1307" t="s">
        <v>1686</v>
      </c>
      <c r="D4" s="1315" t="s">
        <v>1687</v>
      </c>
      <c r="E4" s="1307" t="s">
        <v>1688</v>
      </c>
      <c r="F4" s="1307" t="s">
        <v>1689</v>
      </c>
      <c r="G4" s="1317" t="s">
        <v>1690</v>
      </c>
      <c r="H4" s="1317"/>
      <c r="I4" s="1317"/>
      <c r="J4" s="1317"/>
      <c r="K4" s="1317"/>
      <c r="L4" s="1317"/>
      <c r="M4" s="1317"/>
      <c r="N4" s="1317"/>
      <c r="O4" s="1317"/>
      <c r="P4" s="1307" t="s">
        <v>1691</v>
      </c>
      <c r="Q4" s="1309" t="s">
        <v>1692</v>
      </c>
      <c r="R4" s="1307" t="s">
        <v>1693</v>
      </c>
      <c r="S4" s="1307" t="s">
        <v>1694</v>
      </c>
      <c r="T4" s="1311" t="s">
        <v>1695</v>
      </c>
    </row>
    <row r="5" spans="1:20" s="1145" customFormat="1" ht="49.5" customHeight="1" thickBot="1">
      <c r="B5" s="1314"/>
      <c r="C5" s="1308"/>
      <c r="D5" s="1316"/>
      <c r="E5" s="1308"/>
      <c r="F5" s="1308"/>
      <c r="G5" s="1143" t="s">
        <v>1696</v>
      </c>
      <c r="H5" s="1143" t="s">
        <v>1697</v>
      </c>
      <c r="I5" s="1143" t="s">
        <v>1698</v>
      </c>
      <c r="J5" s="1143" t="s">
        <v>1699</v>
      </c>
      <c r="K5" s="1143" t="s">
        <v>1700</v>
      </c>
      <c r="L5" s="1143" t="s">
        <v>1701</v>
      </c>
      <c r="M5" s="1143" t="s">
        <v>1773</v>
      </c>
      <c r="N5" s="1143" t="s">
        <v>1703</v>
      </c>
      <c r="O5" s="1143" t="s">
        <v>1704</v>
      </c>
      <c r="P5" s="1308"/>
      <c r="Q5" s="1310"/>
      <c r="R5" s="1308"/>
      <c r="S5" s="1308"/>
      <c r="T5" s="1312"/>
    </row>
    <row r="6" spans="1:20">
      <c r="A6" s="1168" t="s">
        <v>171</v>
      </c>
      <c r="B6" s="1192" t="s">
        <v>927</v>
      </c>
      <c r="C6" s="1191">
        <v>2858233.9</v>
      </c>
      <c r="D6" s="1191">
        <v>2190821.4</v>
      </c>
      <c r="E6" s="1191" t="s">
        <v>1081</v>
      </c>
      <c r="F6" s="1191" t="s">
        <v>1081</v>
      </c>
      <c r="G6" s="1191" t="s">
        <v>1081</v>
      </c>
      <c r="H6" s="1191" t="s">
        <v>1081</v>
      </c>
      <c r="I6" s="1191" t="s">
        <v>1081</v>
      </c>
      <c r="J6" s="1191" t="s">
        <v>1081</v>
      </c>
      <c r="K6" s="1191" t="s">
        <v>1081</v>
      </c>
      <c r="L6" s="1191" t="s">
        <v>1081</v>
      </c>
      <c r="M6" s="1191" t="s">
        <v>1081</v>
      </c>
      <c r="N6" s="1191" t="s">
        <v>1081</v>
      </c>
      <c r="O6" s="1191" t="s">
        <v>1081</v>
      </c>
      <c r="P6" s="1191">
        <v>651235.69999999995</v>
      </c>
      <c r="Q6" s="1191">
        <v>16176.8</v>
      </c>
      <c r="R6" s="1191" t="s">
        <v>1081</v>
      </c>
      <c r="S6" s="1191" t="s">
        <v>1081</v>
      </c>
      <c r="T6" s="1190" t="s">
        <v>1081</v>
      </c>
    </row>
    <row r="7" spans="1:20">
      <c r="A7" s="1168" t="s">
        <v>61</v>
      </c>
      <c r="B7" s="1189" t="s">
        <v>1705</v>
      </c>
      <c r="C7" s="1174">
        <v>1822.8</v>
      </c>
      <c r="D7" s="1174" t="s">
        <v>1081</v>
      </c>
      <c r="E7" s="1174" t="s">
        <v>1081</v>
      </c>
      <c r="F7" s="1174">
        <v>1124.3</v>
      </c>
      <c r="G7" s="1174" t="s">
        <v>1081</v>
      </c>
      <c r="H7" s="1174">
        <v>4.7</v>
      </c>
      <c r="I7" s="1174">
        <v>17.3</v>
      </c>
      <c r="J7" s="1174" t="s">
        <v>1081</v>
      </c>
      <c r="K7" s="1174">
        <v>21.5</v>
      </c>
      <c r="L7" s="1174">
        <v>4.3</v>
      </c>
      <c r="M7" s="1174" t="s">
        <v>1081</v>
      </c>
      <c r="N7" s="1174" t="s">
        <v>1081</v>
      </c>
      <c r="O7" s="1174">
        <v>1076.5</v>
      </c>
      <c r="P7" s="1174" t="s">
        <v>1081</v>
      </c>
      <c r="Q7" s="1174" t="s">
        <v>1081</v>
      </c>
      <c r="R7" s="1174" t="s">
        <v>1081</v>
      </c>
      <c r="S7" s="1174">
        <v>359.3</v>
      </c>
      <c r="T7" s="1173">
        <v>339.2</v>
      </c>
    </row>
    <row r="8" spans="1:20">
      <c r="A8" s="1168" t="s">
        <v>298</v>
      </c>
      <c r="B8" s="1189" t="s">
        <v>912</v>
      </c>
      <c r="C8" s="1174">
        <v>-2275745.2999999998</v>
      </c>
      <c r="D8" s="1174">
        <v>-1918023.4</v>
      </c>
      <c r="E8" s="1174" t="s">
        <v>1081</v>
      </c>
      <c r="F8" s="1174">
        <v>-114385.3</v>
      </c>
      <c r="G8" s="1174" t="s">
        <v>1081</v>
      </c>
      <c r="H8" s="1174">
        <v>-7393.6</v>
      </c>
      <c r="I8" s="1174">
        <v>-8501.2000000000007</v>
      </c>
      <c r="J8" s="1174">
        <v>-4947.7</v>
      </c>
      <c r="K8" s="1174" t="s">
        <v>1081</v>
      </c>
      <c r="L8" s="1174">
        <v>-66944.3</v>
      </c>
      <c r="M8" s="1174">
        <v>-7829.1</v>
      </c>
      <c r="N8" s="1174">
        <v>-573.29999999999995</v>
      </c>
      <c r="O8" s="1174">
        <v>-18196.099999999999</v>
      </c>
      <c r="P8" s="1174">
        <v>-241672</v>
      </c>
      <c r="Q8" s="1174" t="s">
        <v>1081</v>
      </c>
      <c r="R8" s="1174" t="s">
        <v>1081</v>
      </c>
      <c r="S8" s="1174">
        <v>-1664.6</v>
      </c>
      <c r="T8" s="1173" t="s">
        <v>1081</v>
      </c>
    </row>
    <row r="9" spans="1:20">
      <c r="B9" s="1188" t="s">
        <v>1706</v>
      </c>
      <c r="C9" s="1174">
        <v>-20059.5</v>
      </c>
      <c r="D9" s="1174" t="s">
        <v>1081</v>
      </c>
      <c r="E9" s="1174" t="s">
        <v>1081</v>
      </c>
      <c r="F9" s="1174">
        <v>-20059.5</v>
      </c>
      <c r="G9" s="1174" t="s">
        <v>1081</v>
      </c>
      <c r="H9" s="1174" t="s">
        <v>1081</v>
      </c>
      <c r="I9" s="1174" t="s">
        <v>1081</v>
      </c>
      <c r="J9" s="1174">
        <v>-16928.5</v>
      </c>
      <c r="K9" s="1174" t="s">
        <v>1081</v>
      </c>
      <c r="L9" s="1174">
        <v>-3131</v>
      </c>
      <c r="M9" s="1174" t="s">
        <v>1081</v>
      </c>
      <c r="N9" s="1174" t="s">
        <v>1081</v>
      </c>
      <c r="O9" s="1174" t="s">
        <v>1081</v>
      </c>
      <c r="P9" s="1174" t="s">
        <v>1081</v>
      </c>
      <c r="Q9" s="1174" t="s">
        <v>1081</v>
      </c>
      <c r="R9" s="1174" t="s">
        <v>1081</v>
      </c>
      <c r="S9" s="1174" t="s">
        <v>1081</v>
      </c>
      <c r="T9" s="1173" t="s">
        <v>1081</v>
      </c>
    </row>
    <row r="10" spans="1:20">
      <c r="B10" s="1183" t="s">
        <v>1707</v>
      </c>
      <c r="C10" s="1174">
        <v>-3131</v>
      </c>
      <c r="D10" s="1174" t="s">
        <v>1081</v>
      </c>
      <c r="E10" s="1174" t="s">
        <v>1081</v>
      </c>
      <c r="F10" s="1174">
        <v>-3131</v>
      </c>
      <c r="G10" s="1174" t="s">
        <v>1081</v>
      </c>
      <c r="H10" s="1174" t="s">
        <v>1081</v>
      </c>
      <c r="I10" s="1174" t="s">
        <v>1081</v>
      </c>
      <c r="J10" s="1174" t="s">
        <v>1081</v>
      </c>
      <c r="K10" s="1174" t="s">
        <v>1081</v>
      </c>
      <c r="L10" s="1174">
        <v>-3131</v>
      </c>
      <c r="M10" s="1174" t="s">
        <v>1081</v>
      </c>
      <c r="N10" s="1174" t="s">
        <v>1081</v>
      </c>
      <c r="O10" s="1174" t="s">
        <v>1081</v>
      </c>
      <c r="P10" s="1174" t="s">
        <v>1081</v>
      </c>
      <c r="Q10" s="1174" t="s">
        <v>1081</v>
      </c>
      <c r="R10" s="1174" t="s">
        <v>1081</v>
      </c>
      <c r="S10" s="1174" t="s">
        <v>1081</v>
      </c>
      <c r="T10" s="1173" t="s">
        <v>1081</v>
      </c>
    </row>
    <row r="11" spans="1:20">
      <c r="B11" s="1183" t="s">
        <v>1708</v>
      </c>
      <c r="C11" s="1174">
        <v>-16928.5</v>
      </c>
      <c r="D11" s="1174" t="s">
        <v>1081</v>
      </c>
      <c r="E11" s="1174" t="s">
        <v>1081</v>
      </c>
      <c r="F11" s="1174">
        <v>-16928.5</v>
      </c>
      <c r="G11" s="1174" t="s">
        <v>1081</v>
      </c>
      <c r="H11" s="1174" t="s">
        <v>1081</v>
      </c>
      <c r="I11" s="1174" t="s">
        <v>1081</v>
      </c>
      <c r="J11" s="1174">
        <v>-16928.5</v>
      </c>
      <c r="K11" s="1174" t="s">
        <v>1081</v>
      </c>
      <c r="L11" s="1174" t="s">
        <v>1081</v>
      </c>
      <c r="M11" s="1174" t="s">
        <v>1081</v>
      </c>
      <c r="N11" s="1174" t="s">
        <v>1081</v>
      </c>
      <c r="O11" s="1174" t="s">
        <v>1081</v>
      </c>
      <c r="P11" s="1174" t="s">
        <v>1081</v>
      </c>
      <c r="Q11" s="1174" t="s">
        <v>1081</v>
      </c>
      <c r="R11" s="1174" t="s">
        <v>1081</v>
      </c>
      <c r="S11" s="1174" t="s">
        <v>1081</v>
      </c>
      <c r="T11" s="1173" t="s">
        <v>1081</v>
      </c>
    </row>
    <row r="12" spans="1:20">
      <c r="B12" s="1187" t="s">
        <v>1709</v>
      </c>
      <c r="C12" s="1174">
        <v>-38043.699999999997</v>
      </c>
      <c r="D12" s="1174">
        <v>1590.2</v>
      </c>
      <c r="E12" s="1174" t="s">
        <v>1081</v>
      </c>
      <c r="F12" s="1174">
        <v>4202</v>
      </c>
      <c r="G12" s="1174" t="s">
        <v>1081</v>
      </c>
      <c r="H12" s="1174">
        <v>227.6</v>
      </c>
      <c r="I12" s="1174">
        <v>151.19999999999999</v>
      </c>
      <c r="J12" s="1174">
        <v>86.3</v>
      </c>
      <c r="K12" s="1174">
        <v>47.4</v>
      </c>
      <c r="L12" s="1174">
        <v>934.2</v>
      </c>
      <c r="M12" s="1174">
        <v>1397.6</v>
      </c>
      <c r="N12" s="1174">
        <v>-348</v>
      </c>
      <c r="O12" s="1174">
        <v>1705.7</v>
      </c>
      <c r="P12" s="1174">
        <v>-43876.1</v>
      </c>
      <c r="Q12" s="1174">
        <v>4.2</v>
      </c>
      <c r="R12" s="1174" t="s">
        <v>1081</v>
      </c>
      <c r="S12" s="1174" t="s">
        <v>1081</v>
      </c>
      <c r="T12" s="1173">
        <v>36</v>
      </c>
    </row>
    <row r="13" spans="1:20">
      <c r="B13" s="1186" t="s">
        <v>1710</v>
      </c>
      <c r="C13" s="1178">
        <v>526208.19999999995</v>
      </c>
      <c r="D13" s="1178">
        <v>274388.2</v>
      </c>
      <c r="E13" s="1174" t="s">
        <v>1081</v>
      </c>
      <c r="F13" s="1178">
        <v>-129118.5</v>
      </c>
      <c r="G13" s="1174" t="s">
        <v>1081</v>
      </c>
      <c r="H13" s="1174">
        <v>-7161.3</v>
      </c>
      <c r="I13" s="1174">
        <v>-8332.7000000000007</v>
      </c>
      <c r="J13" s="1174">
        <v>-21789.9</v>
      </c>
      <c r="K13" s="1174">
        <v>68.900000000000006</v>
      </c>
      <c r="L13" s="1174">
        <v>-69136.800000000003</v>
      </c>
      <c r="M13" s="1174">
        <v>-6431.5</v>
      </c>
      <c r="N13" s="1174">
        <v>-921.3</v>
      </c>
      <c r="O13" s="1174">
        <v>-15413.9</v>
      </c>
      <c r="P13" s="1178">
        <v>365687.6</v>
      </c>
      <c r="Q13" s="1178">
        <v>16181</v>
      </c>
      <c r="R13" s="1174" t="s">
        <v>1081</v>
      </c>
      <c r="S13" s="1178">
        <v>-1305.3</v>
      </c>
      <c r="T13" s="1177">
        <v>375.2</v>
      </c>
    </row>
    <row r="14" spans="1:20">
      <c r="B14" s="1185" t="s">
        <v>1711</v>
      </c>
      <c r="C14" s="1178">
        <v>11153</v>
      </c>
      <c r="D14" s="1178">
        <v>6459.9</v>
      </c>
      <c r="E14" s="1174" t="s">
        <v>1081</v>
      </c>
      <c r="F14" s="1178">
        <v>3054.2</v>
      </c>
      <c r="G14" s="1174" t="s">
        <v>1081</v>
      </c>
      <c r="H14" s="1174">
        <v>170.7</v>
      </c>
      <c r="I14" s="1174">
        <v>1110.0999999999999</v>
      </c>
      <c r="J14" s="1174" t="s">
        <v>1081</v>
      </c>
      <c r="K14" s="1174" t="s">
        <v>1081</v>
      </c>
      <c r="L14" s="1174">
        <v>1309.5999999999999</v>
      </c>
      <c r="M14" s="1174">
        <v>89.2</v>
      </c>
      <c r="N14" s="1174">
        <v>266.10000000000002</v>
      </c>
      <c r="O14" s="1174">
        <v>108.5</v>
      </c>
      <c r="P14" s="1178">
        <v>1191.4000000000001</v>
      </c>
      <c r="Q14" s="1174" t="s">
        <v>1081</v>
      </c>
      <c r="R14" s="1174" t="s">
        <v>1081</v>
      </c>
      <c r="S14" s="1178">
        <v>447.5</v>
      </c>
      <c r="T14" s="1173" t="s">
        <v>1081</v>
      </c>
    </row>
    <row r="15" spans="1:20">
      <c r="B15" s="1185" t="s">
        <v>1712</v>
      </c>
      <c r="C15" s="1174" t="s">
        <v>1081</v>
      </c>
      <c r="D15" s="1174" t="s">
        <v>1081</v>
      </c>
      <c r="E15" s="1178">
        <v>5728.5</v>
      </c>
      <c r="F15" s="1178">
        <v>-5728.5</v>
      </c>
      <c r="G15" s="1174" t="s">
        <v>1081</v>
      </c>
      <c r="H15" s="1174" t="s">
        <v>1081</v>
      </c>
      <c r="I15" s="1174" t="s">
        <v>1081</v>
      </c>
      <c r="J15" s="1174" t="s">
        <v>1081</v>
      </c>
      <c r="K15" s="1174" t="s">
        <v>1081</v>
      </c>
      <c r="L15" s="1174" t="s">
        <v>1081</v>
      </c>
      <c r="M15" s="1174" t="s">
        <v>1081</v>
      </c>
      <c r="N15" s="1174" t="s">
        <v>1081</v>
      </c>
      <c r="O15" s="1174">
        <v>-5728.5</v>
      </c>
      <c r="P15" s="1174" t="s">
        <v>1081</v>
      </c>
      <c r="Q15" s="1174" t="s">
        <v>1081</v>
      </c>
      <c r="R15" s="1174" t="s">
        <v>1081</v>
      </c>
      <c r="S15" s="1174" t="s">
        <v>1081</v>
      </c>
      <c r="T15" s="1173" t="s">
        <v>1081</v>
      </c>
    </row>
    <row r="16" spans="1:20">
      <c r="B16" s="1185" t="s">
        <v>1713</v>
      </c>
      <c r="C16" s="1178">
        <v>-112884.5</v>
      </c>
      <c r="D16" s="1178">
        <v>-265872.7</v>
      </c>
      <c r="E16" s="1178">
        <v>-5728.5</v>
      </c>
      <c r="F16" s="1178">
        <v>265564.3</v>
      </c>
      <c r="G16" s="1174">
        <v>11151</v>
      </c>
      <c r="H16" s="1174">
        <v>11391.5</v>
      </c>
      <c r="I16" s="1174">
        <v>53948.7</v>
      </c>
      <c r="J16" s="1174">
        <v>25921.7</v>
      </c>
      <c r="K16" s="1174" t="s">
        <v>1081</v>
      </c>
      <c r="L16" s="1174">
        <v>106008.8</v>
      </c>
      <c r="M16" s="1174">
        <v>9596.2000000000007</v>
      </c>
      <c r="N16" s="1174">
        <v>9888.9</v>
      </c>
      <c r="O16" s="1174">
        <v>37657.5</v>
      </c>
      <c r="P16" s="1178">
        <v>-165512.9</v>
      </c>
      <c r="Q16" s="1178">
        <v>-12408.5</v>
      </c>
      <c r="R16" s="1178">
        <v>3788.8</v>
      </c>
      <c r="S16" s="1178">
        <v>67354.2</v>
      </c>
      <c r="T16" s="1177">
        <v>-69.2</v>
      </c>
    </row>
    <row r="17" spans="2:20">
      <c r="B17" s="1183" t="s">
        <v>1714</v>
      </c>
      <c r="C17" s="1174">
        <v>-59982.8</v>
      </c>
      <c r="D17" s="1174" t="s">
        <v>1081</v>
      </c>
      <c r="E17" s="1174" t="s">
        <v>1081</v>
      </c>
      <c r="F17" s="1174">
        <v>-136.5</v>
      </c>
      <c r="G17" s="1174" t="s">
        <v>1081</v>
      </c>
      <c r="H17" s="1174" t="s">
        <v>1081</v>
      </c>
      <c r="I17" s="1174" t="s">
        <v>1081</v>
      </c>
      <c r="J17" s="1174" t="s">
        <v>1081</v>
      </c>
      <c r="K17" s="1174" t="s">
        <v>1081</v>
      </c>
      <c r="L17" s="1174">
        <v>-136.5</v>
      </c>
      <c r="M17" s="1174" t="s">
        <v>1081</v>
      </c>
      <c r="N17" s="1174" t="s">
        <v>1081</v>
      </c>
      <c r="O17" s="1174" t="s">
        <v>1081</v>
      </c>
      <c r="P17" s="1174">
        <v>-93861.2</v>
      </c>
      <c r="Q17" s="1174">
        <v>-12408.5</v>
      </c>
      <c r="R17" s="1174" t="s">
        <v>1081</v>
      </c>
      <c r="S17" s="1174">
        <v>46423.4</v>
      </c>
      <c r="T17" s="1173" t="s">
        <v>1081</v>
      </c>
    </row>
    <row r="18" spans="2:20">
      <c r="B18" s="1183" t="s">
        <v>1715</v>
      </c>
      <c r="C18" s="1174">
        <v>-45894.1</v>
      </c>
      <c r="D18" s="1174" t="s">
        <v>1081</v>
      </c>
      <c r="E18" s="1174" t="s">
        <v>1081</v>
      </c>
      <c r="F18" s="1174">
        <v>-102</v>
      </c>
      <c r="G18" s="1174" t="s">
        <v>1081</v>
      </c>
      <c r="H18" s="1174" t="s">
        <v>1081</v>
      </c>
      <c r="I18" s="1174" t="s">
        <v>1081</v>
      </c>
      <c r="J18" s="1174" t="s">
        <v>1081</v>
      </c>
      <c r="K18" s="1174" t="s">
        <v>1081</v>
      </c>
      <c r="L18" s="1174" t="s">
        <v>1081</v>
      </c>
      <c r="M18" s="1174">
        <v>-102</v>
      </c>
      <c r="N18" s="1174" t="s">
        <v>1081</v>
      </c>
      <c r="O18" s="1174" t="s">
        <v>1081</v>
      </c>
      <c r="P18" s="1174">
        <v>-68034.7</v>
      </c>
      <c r="Q18" s="1174" t="s">
        <v>1081</v>
      </c>
      <c r="R18" s="1174">
        <v>1311.8</v>
      </c>
      <c r="S18" s="1174">
        <v>20930.8</v>
      </c>
      <c r="T18" s="1173" t="s">
        <v>1081</v>
      </c>
    </row>
    <row r="19" spans="2:20">
      <c r="B19" s="1183" t="s">
        <v>1716</v>
      </c>
      <c r="C19" s="1174">
        <v>-818.6</v>
      </c>
      <c r="D19" s="1174" t="s">
        <v>1081</v>
      </c>
      <c r="E19" s="1174" t="s">
        <v>1081</v>
      </c>
      <c r="F19" s="1174">
        <v>-131.69999999999999</v>
      </c>
      <c r="G19" s="1174" t="s">
        <v>1081</v>
      </c>
      <c r="H19" s="1174" t="s">
        <v>1081</v>
      </c>
      <c r="I19" s="1174" t="s">
        <v>1081</v>
      </c>
      <c r="J19" s="1174" t="s">
        <v>1081</v>
      </c>
      <c r="K19" s="1174" t="s">
        <v>1081</v>
      </c>
      <c r="L19" s="1174" t="s">
        <v>1081</v>
      </c>
      <c r="M19" s="1174">
        <v>-131.69999999999999</v>
      </c>
      <c r="N19" s="1174" t="s">
        <v>1081</v>
      </c>
      <c r="O19" s="1174" t="s">
        <v>1081</v>
      </c>
      <c r="P19" s="1174">
        <v>-3163.9</v>
      </c>
      <c r="Q19" s="1174" t="s">
        <v>1081</v>
      </c>
      <c r="R19" s="1174">
        <v>2477</v>
      </c>
      <c r="S19" s="1174" t="s">
        <v>1081</v>
      </c>
      <c r="T19" s="1173" t="s">
        <v>1081</v>
      </c>
    </row>
    <row r="20" spans="2:20">
      <c r="B20" s="1183" t="s">
        <v>1060</v>
      </c>
      <c r="C20" s="1174">
        <v>2218.8000000000002</v>
      </c>
      <c r="D20" s="1174" t="s">
        <v>1081</v>
      </c>
      <c r="E20" s="1174" t="s">
        <v>1081</v>
      </c>
      <c r="F20" s="1174">
        <v>2671.9</v>
      </c>
      <c r="G20" s="1174" t="s">
        <v>1081</v>
      </c>
      <c r="H20" s="1174">
        <v>1242.5</v>
      </c>
      <c r="I20" s="1174" t="s">
        <v>1081</v>
      </c>
      <c r="J20" s="1174" t="s">
        <v>1081</v>
      </c>
      <c r="K20" s="1174" t="s">
        <v>1081</v>
      </c>
      <c r="L20" s="1174" t="s">
        <v>1081</v>
      </c>
      <c r="M20" s="1174" t="s">
        <v>1081</v>
      </c>
      <c r="N20" s="1174" t="s">
        <v>1081</v>
      </c>
      <c r="O20" s="1174">
        <v>1429.4</v>
      </c>
      <c r="P20" s="1174">
        <v>-453.1</v>
      </c>
      <c r="Q20" s="1174" t="s">
        <v>1081</v>
      </c>
      <c r="R20" s="1174" t="s">
        <v>1081</v>
      </c>
      <c r="S20" s="1174" t="s">
        <v>1081</v>
      </c>
      <c r="T20" s="1173" t="s">
        <v>1081</v>
      </c>
    </row>
    <row r="21" spans="2:20">
      <c r="B21" s="1183" t="s">
        <v>1717</v>
      </c>
      <c r="C21" s="1174">
        <v>-69.2</v>
      </c>
      <c r="D21" s="1174" t="s">
        <v>1081</v>
      </c>
      <c r="E21" s="1174" t="s">
        <v>1081</v>
      </c>
      <c r="F21" s="1174" t="s">
        <v>1081</v>
      </c>
      <c r="G21" s="1174" t="s">
        <v>1081</v>
      </c>
      <c r="H21" s="1174" t="s">
        <v>1081</v>
      </c>
      <c r="I21" s="1174" t="s">
        <v>1081</v>
      </c>
      <c r="J21" s="1174" t="s">
        <v>1081</v>
      </c>
      <c r="K21" s="1174" t="s">
        <v>1081</v>
      </c>
      <c r="L21" s="1174" t="s">
        <v>1081</v>
      </c>
      <c r="M21" s="1174" t="s">
        <v>1081</v>
      </c>
      <c r="N21" s="1174" t="s">
        <v>1081</v>
      </c>
      <c r="O21" s="1174" t="s">
        <v>1081</v>
      </c>
      <c r="P21" s="1174" t="s">
        <v>1081</v>
      </c>
      <c r="Q21" s="1174" t="s">
        <v>1081</v>
      </c>
      <c r="R21" s="1174" t="s">
        <v>1081</v>
      </c>
      <c r="S21" s="1174" t="s">
        <v>1081</v>
      </c>
      <c r="T21" s="1173">
        <v>-69.2</v>
      </c>
    </row>
    <row r="22" spans="2:20">
      <c r="B22" s="1184" t="s">
        <v>1642</v>
      </c>
      <c r="C22" s="1174">
        <v>-9210.2999999999993</v>
      </c>
      <c r="D22" s="1174">
        <v>-265872.7</v>
      </c>
      <c r="E22" s="1174">
        <v>-5728.5</v>
      </c>
      <c r="F22" s="1174">
        <v>262390.90000000002</v>
      </c>
      <c r="G22" s="1174">
        <v>11151</v>
      </c>
      <c r="H22" s="1174">
        <v>10149</v>
      </c>
      <c r="I22" s="1174">
        <v>53948.7</v>
      </c>
      <c r="J22" s="1174">
        <v>25921.7</v>
      </c>
      <c r="K22" s="1174" t="s">
        <v>1081</v>
      </c>
      <c r="L22" s="1174">
        <v>106145.3</v>
      </c>
      <c r="M22" s="1174">
        <v>9829.9</v>
      </c>
      <c r="N22" s="1174">
        <v>9888.9</v>
      </c>
      <c r="O22" s="1174">
        <v>35356.400000000001</v>
      </c>
      <c r="P22" s="1174" t="s">
        <v>1081</v>
      </c>
      <c r="Q22" s="1174" t="s">
        <v>1081</v>
      </c>
      <c r="R22" s="1174" t="s">
        <v>1081</v>
      </c>
      <c r="S22" s="1174" t="s">
        <v>1081</v>
      </c>
      <c r="T22" s="1173" t="s">
        <v>1081</v>
      </c>
    </row>
    <row r="23" spans="2:20">
      <c r="B23" s="1184" t="s">
        <v>1718</v>
      </c>
      <c r="C23" s="1174">
        <v>871.7</v>
      </c>
      <c r="D23" s="1174" t="s">
        <v>1081</v>
      </c>
      <c r="E23" s="1174" t="s">
        <v>1081</v>
      </c>
      <c r="F23" s="1174">
        <v>871.7</v>
      </c>
      <c r="G23" s="1174" t="s">
        <v>1081</v>
      </c>
      <c r="H23" s="1174" t="s">
        <v>1081</v>
      </c>
      <c r="I23" s="1174" t="s">
        <v>1081</v>
      </c>
      <c r="J23" s="1174" t="s">
        <v>1081</v>
      </c>
      <c r="K23" s="1174" t="s">
        <v>1081</v>
      </c>
      <c r="L23" s="1174" t="s">
        <v>1081</v>
      </c>
      <c r="M23" s="1174" t="s">
        <v>1081</v>
      </c>
      <c r="N23" s="1174" t="s">
        <v>1081</v>
      </c>
      <c r="O23" s="1174">
        <v>871.7</v>
      </c>
      <c r="P23" s="1174" t="s">
        <v>1081</v>
      </c>
      <c r="Q23" s="1174" t="s">
        <v>1081</v>
      </c>
      <c r="R23" s="1174" t="s">
        <v>1081</v>
      </c>
      <c r="S23" s="1174" t="s">
        <v>1081</v>
      </c>
      <c r="T23" s="1173" t="s">
        <v>1081</v>
      </c>
    </row>
    <row r="24" spans="2:20">
      <c r="B24" s="1183" t="s">
        <v>1719</v>
      </c>
      <c r="C24" s="1174" t="s">
        <v>1081</v>
      </c>
      <c r="D24" s="1174" t="s">
        <v>1081</v>
      </c>
      <c r="E24" s="1174" t="s">
        <v>1081</v>
      </c>
      <c r="F24" s="1174" t="s">
        <v>1081</v>
      </c>
      <c r="G24" s="1174" t="s">
        <v>1081</v>
      </c>
      <c r="H24" s="1174" t="s">
        <v>1081</v>
      </c>
      <c r="I24" s="1174" t="s">
        <v>1081</v>
      </c>
      <c r="J24" s="1174" t="s">
        <v>1081</v>
      </c>
      <c r="K24" s="1174" t="s">
        <v>1081</v>
      </c>
      <c r="L24" s="1174" t="s">
        <v>1081</v>
      </c>
      <c r="M24" s="1174" t="s">
        <v>1081</v>
      </c>
      <c r="N24" s="1174" t="s">
        <v>1081</v>
      </c>
      <c r="O24" s="1174" t="s">
        <v>1081</v>
      </c>
      <c r="P24" s="1174" t="s">
        <v>1081</v>
      </c>
      <c r="Q24" s="1174" t="s">
        <v>1081</v>
      </c>
      <c r="R24" s="1174" t="s">
        <v>1081</v>
      </c>
      <c r="S24" s="1174" t="s">
        <v>1081</v>
      </c>
      <c r="T24" s="1173" t="s">
        <v>1081</v>
      </c>
    </row>
    <row r="25" spans="2:20">
      <c r="B25" s="1182" t="s">
        <v>1720</v>
      </c>
      <c r="C25" s="1178">
        <v>38973.800000000003</v>
      </c>
      <c r="D25" s="1178">
        <v>168.1</v>
      </c>
      <c r="E25" s="1174" t="s">
        <v>1081</v>
      </c>
      <c r="F25" s="1178">
        <v>17169.5</v>
      </c>
      <c r="G25" s="1174">
        <v>11151</v>
      </c>
      <c r="H25" s="1174" t="s">
        <v>1081</v>
      </c>
      <c r="I25" s="1174" t="s">
        <v>1081</v>
      </c>
      <c r="J25" s="1174" t="s">
        <v>1081</v>
      </c>
      <c r="K25" s="1174" t="s">
        <v>1081</v>
      </c>
      <c r="L25" s="1174">
        <v>85.3</v>
      </c>
      <c r="M25" s="1174">
        <v>696.7</v>
      </c>
      <c r="N25" s="1174" t="s">
        <v>1081</v>
      </c>
      <c r="O25" s="1174">
        <v>5236.5</v>
      </c>
      <c r="P25" s="1178">
        <v>12889.8</v>
      </c>
      <c r="Q25" s="1174" t="s">
        <v>1081</v>
      </c>
      <c r="R25" s="1178">
        <v>974.7</v>
      </c>
      <c r="S25" s="1178">
        <v>7771.7</v>
      </c>
      <c r="T25" s="1173" t="s">
        <v>1081</v>
      </c>
    </row>
    <row r="26" spans="2:20">
      <c r="B26" s="1182" t="s">
        <v>1721</v>
      </c>
      <c r="C26" s="1178">
        <v>59811.7</v>
      </c>
      <c r="D26" s="1178">
        <v>1887.5</v>
      </c>
      <c r="E26" s="1174" t="s">
        <v>1081</v>
      </c>
      <c r="F26" s="1178"/>
      <c r="G26" s="1174" t="s">
        <v>1081</v>
      </c>
      <c r="H26" s="1174" t="s">
        <v>1081</v>
      </c>
      <c r="I26" s="1174" t="s">
        <v>1081</v>
      </c>
      <c r="J26" s="1174" t="s">
        <v>1081</v>
      </c>
      <c r="K26" s="1174" t="s">
        <v>1081</v>
      </c>
      <c r="L26" s="1174" t="s">
        <v>1081</v>
      </c>
      <c r="M26" s="1174" t="s">
        <v>1081</v>
      </c>
      <c r="N26" s="1174" t="s">
        <v>1081</v>
      </c>
      <c r="O26" s="1174" t="s">
        <v>1081</v>
      </c>
      <c r="P26" s="1178">
        <v>43630</v>
      </c>
      <c r="Q26" s="1174" t="s">
        <v>1081</v>
      </c>
      <c r="R26" s="1178">
        <v>505.8</v>
      </c>
      <c r="S26" s="1178">
        <v>13788.4</v>
      </c>
      <c r="T26" s="1173" t="s">
        <v>1081</v>
      </c>
    </row>
    <row r="27" spans="2:20">
      <c r="B27" s="1182" t="s">
        <v>1722</v>
      </c>
      <c r="C27" s="1178">
        <v>303385.2</v>
      </c>
      <c r="D27" s="1174" t="s">
        <v>1081</v>
      </c>
      <c r="E27" s="1174" t="s">
        <v>1081</v>
      </c>
      <c r="F27" s="1178">
        <v>110493.6</v>
      </c>
      <c r="G27" s="1174" t="s">
        <v>1081</v>
      </c>
      <c r="H27" s="1174">
        <v>4059.5</v>
      </c>
      <c r="I27" s="1174">
        <v>44505.9</v>
      </c>
      <c r="J27" s="1174">
        <v>4131.8</v>
      </c>
      <c r="K27" s="1174">
        <v>68.900000000000006</v>
      </c>
      <c r="L27" s="1174">
        <v>35477.1</v>
      </c>
      <c r="M27" s="1174">
        <v>2378.8000000000002</v>
      </c>
      <c r="N27" s="1174">
        <v>8701.5</v>
      </c>
      <c r="O27" s="1174">
        <v>11170.1</v>
      </c>
      <c r="P27" s="1178">
        <v>142463.5</v>
      </c>
      <c r="Q27" s="1178">
        <v>3772.5</v>
      </c>
      <c r="R27" s="1178">
        <v>2308.3000000000002</v>
      </c>
      <c r="S27" s="1178">
        <v>44041.3</v>
      </c>
      <c r="T27" s="1177">
        <v>306</v>
      </c>
    </row>
    <row r="28" spans="2:20">
      <c r="B28" s="1182" t="s">
        <v>1723</v>
      </c>
      <c r="C28" s="1178">
        <v>280902.3</v>
      </c>
      <c r="D28" s="1174" t="s">
        <v>1081</v>
      </c>
      <c r="E28" s="1174" t="s">
        <v>1081</v>
      </c>
      <c r="F28" s="1178">
        <v>89661.8</v>
      </c>
      <c r="G28" s="1174" t="s">
        <v>1081</v>
      </c>
      <c r="H28" s="1174">
        <v>3822.4</v>
      </c>
      <c r="I28" s="1174">
        <v>44505.9</v>
      </c>
      <c r="J28" s="1174">
        <v>3885.7</v>
      </c>
      <c r="K28" s="1174">
        <v>68.900000000000006</v>
      </c>
      <c r="L28" s="1174">
        <v>35477.1</v>
      </c>
      <c r="M28" s="1174">
        <v>1869</v>
      </c>
      <c r="N28" s="1174">
        <v>32.799999999999997</v>
      </c>
      <c r="O28" s="1174" t="s">
        <v>1081</v>
      </c>
      <c r="P28" s="1178">
        <v>140944.1</v>
      </c>
      <c r="Q28" s="1178">
        <v>3772.5</v>
      </c>
      <c r="R28" s="1178">
        <v>2308.3000000000002</v>
      </c>
      <c r="S28" s="1178">
        <v>44041.3</v>
      </c>
      <c r="T28" s="1177">
        <v>174.1</v>
      </c>
    </row>
    <row r="29" spans="2:20">
      <c r="B29" s="1181" t="s">
        <v>1725</v>
      </c>
      <c r="C29" s="1178">
        <v>33379.199999999997</v>
      </c>
      <c r="D29" s="1174" t="s">
        <v>1081</v>
      </c>
      <c r="E29" s="1174" t="s">
        <v>1081</v>
      </c>
      <c r="F29" s="1178">
        <v>3224.3</v>
      </c>
      <c r="G29" s="1174" t="s">
        <v>1081</v>
      </c>
      <c r="H29" s="1174">
        <v>246.5</v>
      </c>
      <c r="I29" s="1174" t="s">
        <v>1081</v>
      </c>
      <c r="J29" s="1174">
        <v>4.3</v>
      </c>
      <c r="K29" s="1174">
        <v>4.3</v>
      </c>
      <c r="L29" s="1174">
        <v>1271.3</v>
      </c>
      <c r="M29" s="1174">
        <v>1665.1</v>
      </c>
      <c r="N29" s="1174">
        <v>32.799999999999997</v>
      </c>
      <c r="O29" s="1174" t="s">
        <v>1081</v>
      </c>
      <c r="P29" s="1178">
        <v>23818.7</v>
      </c>
      <c r="Q29" s="1178">
        <v>2.1</v>
      </c>
      <c r="R29" s="1178">
        <v>6.7</v>
      </c>
      <c r="S29" s="1178">
        <v>6327.4</v>
      </c>
      <c r="T29" s="1177" t="s">
        <v>1081</v>
      </c>
    </row>
    <row r="30" spans="2:20">
      <c r="B30" s="1176" t="s">
        <v>1727</v>
      </c>
      <c r="C30" s="1174">
        <v>2199.9</v>
      </c>
      <c r="D30" s="1174" t="s">
        <v>1081</v>
      </c>
      <c r="E30" s="1174" t="s">
        <v>1081</v>
      </c>
      <c r="F30" s="1174">
        <v>144.9</v>
      </c>
      <c r="G30" s="1174" t="s">
        <v>1081</v>
      </c>
      <c r="H30" s="1174">
        <v>4.7</v>
      </c>
      <c r="I30" s="1174" t="s">
        <v>1081</v>
      </c>
      <c r="J30" s="1174" t="s">
        <v>1081</v>
      </c>
      <c r="K30" s="1174" t="s">
        <v>1081</v>
      </c>
      <c r="L30" s="1174" t="s">
        <v>1081</v>
      </c>
      <c r="M30" s="1174">
        <v>140.19999999999999</v>
      </c>
      <c r="N30" s="1174" t="s">
        <v>1081</v>
      </c>
      <c r="O30" s="1174" t="s">
        <v>1081</v>
      </c>
      <c r="P30" s="1174">
        <v>902.3</v>
      </c>
      <c r="Q30" s="1174" t="s">
        <v>1081</v>
      </c>
      <c r="R30" s="1174" t="s">
        <v>1081</v>
      </c>
      <c r="S30" s="1174">
        <v>1152.7</v>
      </c>
      <c r="T30" s="1173" t="s">
        <v>1081</v>
      </c>
    </row>
    <row r="31" spans="2:20">
      <c r="B31" s="1176" t="s">
        <v>1729</v>
      </c>
      <c r="C31" s="1174">
        <v>8763.5</v>
      </c>
      <c r="D31" s="1174" t="s">
        <v>1081</v>
      </c>
      <c r="E31" s="1174" t="s">
        <v>1081</v>
      </c>
      <c r="F31" s="1174">
        <v>46.1</v>
      </c>
      <c r="G31" s="1174" t="s">
        <v>1081</v>
      </c>
      <c r="H31" s="1174">
        <v>4.7</v>
      </c>
      <c r="I31" s="1174" t="s">
        <v>1081</v>
      </c>
      <c r="J31" s="1174" t="s">
        <v>1081</v>
      </c>
      <c r="K31" s="1174">
        <v>4.3</v>
      </c>
      <c r="L31" s="1174">
        <v>4.3</v>
      </c>
      <c r="M31" s="1174" t="s">
        <v>1081</v>
      </c>
      <c r="N31" s="1174">
        <v>32.799999999999997</v>
      </c>
      <c r="O31" s="1174" t="s">
        <v>1081</v>
      </c>
      <c r="P31" s="1174">
        <v>7913.5</v>
      </c>
      <c r="Q31" s="1174" t="s">
        <v>1081</v>
      </c>
      <c r="R31" s="1174" t="s">
        <v>1081</v>
      </c>
      <c r="S31" s="1174">
        <v>803.9</v>
      </c>
      <c r="T31" s="1173" t="s">
        <v>1081</v>
      </c>
    </row>
    <row r="32" spans="2:20">
      <c r="B32" s="1176" t="s">
        <v>1730</v>
      </c>
      <c r="C32" s="1174">
        <v>353.3</v>
      </c>
      <c r="D32" s="1174" t="s">
        <v>1081</v>
      </c>
      <c r="E32" s="1174" t="s">
        <v>1081</v>
      </c>
      <c r="F32" s="1174">
        <v>21.2</v>
      </c>
      <c r="G32" s="1174" t="s">
        <v>1081</v>
      </c>
      <c r="H32" s="1174" t="s">
        <v>1081</v>
      </c>
      <c r="I32" s="1174" t="s">
        <v>1081</v>
      </c>
      <c r="J32" s="1174" t="s">
        <v>1081</v>
      </c>
      <c r="K32" s="1174" t="s">
        <v>1081</v>
      </c>
      <c r="L32" s="1174" t="s">
        <v>1081</v>
      </c>
      <c r="M32" s="1174">
        <v>21.2</v>
      </c>
      <c r="N32" s="1174" t="s">
        <v>1081</v>
      </c>
      <c r="O32" s="1174" t="s">
        <v>1081</v>
      </c>
      <c r="P32" s="1174">
        <v>300.8</v>
      </c>
      <c r="Q32" s="1174" t="s">
        <v>1081</v>
      </c>
      <c r="R32" s="1174" t="s">
        <v>1081</v>
      </c>
      <c r="S32" s="1174">
        <v>31.3</v>
      </c>
      <c r="T32" s="1173" t="s">
        <v>1081</v>
      </c>
    </row>
    <row r="33" spans="2:20">
      <c r="B33" s="1176" t="s">
        <v>1732</v>
      </c>
      <c r="C33" s="1174">
        <v>5130.8999999999996</v>
      </c>
      <c r="D33" s="1174" t="s">
        <v>1081</v>
      </c>
      <c r="E33" s="1174" t="s">
        <v>1081</v>
      </c>
      <c r="F33" s="1174">
        <v>72.3</v>
      </c>
      <c r="G33" s="1174" t="s">
        <v>1081</v>
      </c>
      <c r="H33" s="1174" t="s">
        <v>1081</v>
      </c>
      <c r="I33" s="1174" t="s">
        <v>1081</v>
      </c>
      <c r="J33" s="1174" t="s">
        <v>1081</v>
      </c>
      <c r="K33" s="1174" t="s">
        <v>1081</v>
      </c>
      <c r="L33" s="1174">
        <v>4.3</v>
      </c>
      <c r="M33" s="1174">
        <v>68</v>
      </c>
      <c r="N33" s="1174" t="s">
        <v>1081</v>
      </c>
      <c r="O33" s="1174" t="s">
        <v>1081</v>
      </c>
      <c r="P33" s="1174">
        <v>4491.8999999999996</v>
      </c>
      <c r="Q33" s="1174" t="s">
        <v>1081</v>
      </c>
      <c r="R33" s="1174">
        <v>0.8</v>
      </c>
      <c r="S33" s="1174">
        <v>565.9</v>
      </c>
      <c r="T33" s="1173" t="s">
        <v>1081</v>
      </c>
    </row>
    <row r="34" spans="2:20">
      <c r="B34" s="1176" t="s">
        <v>1734</v>
      </c>
      <c r="C34" s="1174">
        <v>247</v>
      </c>
      <c r="D34" s="1174" t="s">
        <v>1081</v>
      </c>
      <c r="E34" s="1174" t="s">
        <v>1081</v>
      </c>
      <c r="F34" s="1174">
        <v>4.3</v>
      </c>
      <c r="G34" s="1174" t="s">
        <v>1081</v>
      </c>
      <c r="H34" s="1174" t="s">
        <v>1081</v>
      </c>
      <c r="I34" s="1174" t="s">
        <v>1081</v>
      </c>
      <c r="J34" s="1174" t="s">
        <v>1081</v>
      </c>
      <c r="K34" s="1174" t="s">
        <v>1081</v>
      </c>
      <c r="L34" s="1174">
        <v>4.3</v>
      </c>
      <c r="M34" s="1174" t="s">
        <v>1081</v>
      </c>
      <c r="N34" s="1174" t="s">
        <v>1081</v>
      </c>
      <c r="O34" s="1174" t="s">
        <v>1081</v>
      </c>
      <c r="P34" s="1174">
        <v>203.1</v>
      </c>
      <c r="Q34" s="1174" t="s">
        <v>1081</v>
      </c>
      <c r="R34" s="1174" t="s">
        <v>1081</v>
      </c>
      <c r="S34" s="1174">
        <v>39.6</v>
      </c>
      <c r="T34" s="1173" t="s">
        <v>1081</v>
      </c>
    </row>
    <row r="35" spans="2:20">
      <c r="B35" s="1176" t="s">
        <v>1010</v>
      </c>
      <c r="C35" s="1174">
        <v>955.8</v>
      </c>
      <c r="D35" s="1174" t="s">
        <v>1081</v>
      </c>
      <c r="E35" s="1174" t="s">
        <v>1081</v>
      </c>
      <c r="F35" s="1174">
        <v>4.3</v>
      </c>
      <c r="G35" s="1174" t="s">
        <v>1081</v>
      </c>
      <c r="H35" s="1174" t="s">
        <v>1081</v>
      </c>
      <c r="I35" s="1174" t="s">
        <v>1081</v>
      </c>
      <c r="J35" s="1174" t="s">
        <v>1081</v>
      </c>
      <c r="K35" s="1174" t="s">
        <v>1081</v>
      </c>
      <c r="L35" s="1174">
        <v>4.3</v>
      </c>
      <c r="M35" s="1174" t="s">
        <v>1081</v>
      </c>
      <c r="N35" s="1174" t="s">
        <v>1081</v>
      </c>
      <c r="O35" s="1174" t="s">
        <v>1081</v>
      </c>
      <c r="P35" s="1174">
        <v>546.79999999999995</v>
      </c>
      <c r="Q35" s="1174" t="s">
        <v>1081</v>
      </c>
      <c r="R35" s="1174" t="s">
        <v>1081</v>
      </c>
      <c r="S35" s="1174">
        <v>404.7</v>
      </c>
      <c r="T35" s="1173" t="s">
        <v>1081</v>
      </c>
    </row>
    <row r="36" spans="2:20">
      <c r="B36" s="1175" t="s">
        <v>948</v>
      </c>
      <c r="C36" s="1174">
        <v>729</v>
      </c>
      <c r="D36" s="1174" t="s">
        <v>1081</v>
      </c>
      <c r="E36" s="1174" t="s">
        <v>1081</v>
      </c>
      <c r="F36" s="1174">
        <v>281.60000000000002</v>
      </c>
      <c r="G36" s="1174" t="s">
        <v>1081</v>
      </c>
      <c r="H36" s="1174">
        <v>4.7</v>
      </c>
      <c r="I36" s="1174" t="s">
        <v>1081</v>
      </c>
      <c r="J36" s="1174" t="s">
        <v>1081</v>
      </c>
      <c r="K36" s="1174" t="s">
        <v>1081</v>
      </c>
      <c r="L36" s="1174">
        <v>196.2</v>
      </c>
      <c r="M36" s="1174">
        <v>80.7</v>
      </c>
      <c r="N36" s="1174" t="s">
        <v>1081</v>
      </c>
      <c r="O36" s="1174" t="s">
        <v>1081</v>
      </c>
      <c r="P36" s="1174">
        <v>175.8</v>
      </c>
      <c r="Q36" s="1174" t="s">
        <v>1081</v>
      </c>
      <c r="R36" s="1174">
        <v>5.9</v>
      </c>
      <c r="S36" s="1174">
        <v>265.7</v>
      </c>
      <c r="T36" s="1173" t="s">
        <v>1081</v>
      </c>
    </row>
    <row r="37" spans="2:20">
      <c r="B37" s="1175" t="s">
        <v>1738</v>
      </c>
      <c r="C37" s="1174">
        <v>9633.1</v>
      </c>
      <c r="D37" s="1174" t="s">
        <v>1081</v>
      </c>
      <c r="E37" s="1174" t="s">
        <v>1081</v>
      </c>
      <c r="F37" s="1174">
        <v>900</v>
      </c>
      <c r="G37" s="1174" t="s">
        <v>1081</v>
      </c>
      <c r="H37" s="1174">
        <v>28.5</v>
      </c>
      <c r="I37" s="1174" t="s">
        <v>1081</v>
      </c>
      <c r="J37" s="1174" t="s">
        <v>1081</v>
      </c>
      <c r="K37" s="1174" t="s">
        <v>1081</v>
      </c>
      <c r="L37" s="1174">
        <v>162.1</v>
      </c>
      <c r="M37" s="1174">
        <v>709.4</v>
      </c>
      <c r="N37" s="1174" t="s">
        <v>1081</v>
      </c>
      <c r="O37" s="1174" t="s">
        <v>1081</v>
      </c>
      <c r="P37" s="1174">
        <v>7815.9</v>
      </c>
      <c r="Q37" s="1174">
        <v>2.1</v>
      </c>
      <c r="R37" s="1174" t="s">
        <v>1081</v>
      </c>
      <c r="S37" s="1174">
        <v>915.1</v>
      </c>
      <c r="T37" s="1173" t="s">
        <v>1081</v>
      </c>
    </row>
    <row r="38" spans="2:20">
      <c r="B38" s="1175" t="s">
        <v>1740</v>
      </c>
      <c r="C38" s="1174">
        <v>75</v>
      </c>
      <c r="D38" s="1174" t="s">
        <v>1081</v>
      </c>
      <c r="E38" s="1174" t="s">
        <v>1081</v>
      </c>
      <c r="F38" s="1174" t="s">
        <v>1081</v>
      </c>
      <c r="G38" s="1174" t="s">
        <v>1081</v>
      </c>
      <c r="H38" s="1174" t="s">
        <v>1081</v>
      </c>
      <c r="I38" s="1174" t="s">
        <v>1081</v>
      </c>
      <c r="J38" s="1174" t="s">
        <v>1081</v>
      </c>
      <c r="K38" s="1174" t="s">
        <v>1081</v>
      </c>
      <c r="L38" s="1174" t="s">
        <v>1081</v>
      </c>
      <c r="M38" s="1174" t="s">
        <v>1081</v>
      </c>
      <c r="N38" s="1174" t="s">
        <v>1081</v>
      </c>
      <c r="O38" s="1174" t="s">
        <v>1081</v>
      </c>
      <c r="P38" s="1174">
        <v>46.9</v>
      </c>
      <c r="Q38" s="1174" t="s">
        <v>1081</v>
      </c>
      <c r="R38" s="1174" t="s">
        <v>1081</v>
      </c>
      <c r="S38" s="1174">
        <v>28.1</v>
      </c>
      <c r="T38" s="1173" t="s">
        <v>1081</v>
      </c>
    </row>
    <row r="39" spans="2:20">
      <c r="B39" s="1176" t="s">
        <v>1742</v>
      </c>
      <c r="C39" s="1174">
        <v>22.9</v>
      </c>
      <c r="D39" s="1174" t="s">
        <v>1081</v>
      </c>
      <c r="E39" s="1174" t="s">
        <v>1081</v>
      </c>
      <c r="F39" s="1174" t="s">
        <v>1081</v>
      </c>
      <c r="G39" s="1174" t="s">
        <v>1081</v>
      </c>
      <c r="H39" s="1174" t="s">
        <v>1081</v>
      </c>
      <c r="I39" s="1174" t="s">
        <v>1081</v>
      </c>
      <c r="J39" s="1174" t="s">
        <v>1081</v>
      </c>
      <c r="K39" s="1174" t="s">
        <v>1081</v>
      </c>
      <c r="L39" s="1174" t="s">
        <v>1081</v>
      </c>
      <c r="M39" s="1174" t="s">
        <v>1081</v>
      </c>
      <c r="N39" s="1174" t="s">
        <v>1081</v>
      </c>
      <c r="O39" s="1174" t="s">
        <v>1081</v>
      </c>
      <c r="P39" s="1174">
        <v>7.8</v>
      </c>
      <c r="Q39" s="1174" t="s">
        <v>1081</v>
      </c>
      <c r="R39" s="1174" t="s">
        <v>1081</v>
      </c>
      <c r="S39" s="1174">
        <v>15.1</v>
      </c>
      <c r="T39" s="1173" t="s">
        <v>1081</v>
      </c>
    </row>
    <row r="40" spans="2:20">
      <c r="B40" s="1175" t="s">
        <v>1744</v>
      </c>
      <c r="C40" s="1174">
        <v>348.5</v>
      </c>
      <c r="D40" s="1174" t="s">
        <v>1081</v>
      </c>
      <c r="E40" s="1174" t="s">
        <v>1081</v>
      </c>
      <c r="F40" s="1174">
        <v>17</v>
      </c>
      <c r="G40" s="1174" t="s">
        <v>1081</v>
      </c>
      <c r="H40" s="1174" t="s">
        <v>1081</v>
      </c>
      <c r="I40" s="1174" t="s">
        <v>1081</v>
      </c>
      <c r="J40" s="1174" t="s">
        <v>1081</v>
      </c>
      <c r="K40" s="1174" t="s">
        <v>1081</v>
      </c>
      <c r="L40" s="1174">
        <v>8.5</v>
      </c>
      <c r="M40" s="1174">
        <v>8.5</v>
      </c>
      <c r="N40" s="1174" t="s">
        <v>1081</v>
      </c>
      <c r="O40" s="1174" t="s">
        <v>1081</v>
      </c>
      <c r="P40" s="1174">
        <v>136.69999999999999</v>
      </c>
      <c r="Q40" s="1174" t="s">
        <v>1081</v>
      </c>
      <c r="R40" s="1174" t="s">
        <v>1081</v>
      </c>
      <c r="S40" s="1174">
        <v>194.8</v>
      </c>
      <c r="T40" s="1173" t="s">
        <v>1081</v>
      </c>
    </row>
    <row r="41" spans="2:20">
      <c r="B41" s="1175" t="s">
        <v>1000</v>
      </c>
      <c r="C41" s="1180">
        <v>4250.2</v>
      </c>
      <c r="D41" s="1174" t="s">
        <v>1081</v>
      </c>
      <c r="E41" s="1174" t="s">
        <v>1081</v>
      </c>
      <c r="F41" s="1180">
        <v>1714.1</v>
      </c>
      <c r="G41" s="1174" t="s">
        <v>1081</v>
      </c>
      <c r="H41" s="1174">
        <v>189.7</v>
      </c>
      <c r="I41" s="1174" t="s">
        <v>1081</v>
      </c>
      <c r="J41" s="1174">
        <v>4.3</v>
      </c>
      <c r="K41" s="1174" t="s">
        <v>1081</v>
      </c>
      <c r="L41" s="1180">
        <v>883</v>
      </c>
      <c r="M41" s="1180">
        <v>637.1</v>
      </c>
      <c r="N41" s="1174" t="s">
        <v>1081</v>
      </c>
      <c r="O41" s="1174" t="s">
        <v>1081</v>
      </c>
      <c r="P41" s="1180">
        <v>789</v>
      </c>
      <c r="Q41" s="1174" t="s">
        <v>1081</v>
      </c>
      <c r="R41" s="1174" t="s">
        <v>1081</v>
      </c>
      <c r="S41" s="1180">
        <v>1747.1</v>
      </c>
      <c r="T41" s="1173" t="s">
        <v>1081</v>
      </c>
    </row>
    <row r="42" spans="2:20">
      <c r="B42" s="1176" t="s">
        <v>1745</v>
      </c>
      <c r="C42" s="1174">
        <v>670.1</v>
      </c>
      <c r="D42" s="1174" t="s">
        <v>1081</v>
      </c>
      <c r="E42" s="1174" t="s">
        <v>1081</v>
      </c>
      <c r="F42" s="1174">
        <v>18.5</v>
      </c>
      <c r="G42" s="1174" t="s">
        <v>1081</v>
      </c>
      <c r="H42" s="1174">
        <v>14.2</v>
      </c>
      <c r="I42" s="1174" t="s">
        <v>1081</v>
      </c>
      <c r="J42" s="1174" t="s">
        <v>1081</v>
      </c>
      <c r="K42" s="1174" t="s">
        <v>1081</v>
      </c>
      <c r="L42" s="1174">
        <v>4.3</v>
      </c>
      <c r="M42" s="1174" t="s">
        <v>1081</v>
      </c>
      <c r="N42" s="1174" t="s">
        <v>1081</v>
      </c>
      <c r="O42" s="1174" t="s">
        <v>1081</v>
      </c>
      <c r="P42" s="1174">
        <v>488.2</v>
      </c>
      <c r="Q42" s="1174" t="s">
        <v>1081</v>
      </c>
      <c r="R42" s="1174" t="s">
        <v>1081</v>
      </c>
      <c r="S42" s="1174">
        <v>163.4</v>
      </c>
      <c r="T42" s="1173" t="s">
        <v>1081</v>
      </c>
    </row>
    <row r="43" spans="2:20">
      <c r="B43" s="1179" t="s">
        <v>994</v>
      </c>
      <c r="C43" s="1178">
        <v>71350.899999999994</v>
      </c>
      <c r="D43" s="1174" t="s">
        <v>1081</v>
      </c>
      <c r="E43" s="1174" t="s">
        <v>1081</v>
      </c>
      <c r="F43" s="1178">
        <v>69214.7</v>
      </c>
      <c r="G43" s="1174" t="s">
        <v>1081</v>
      </c>
      <c r="H43" s="1174">
        <v>901.1</v>
      </c>
      <c r="I43" s="1174">
        <v>43978.9</v>
      </c>
      <c r="J43" s="1174">
        <v>3881.4</v>
      </c>
      <c r="K43" s="1174" t="s">
        <v>1081</v>
      </c>
      <c r="L43" s="1174">
        <v>20398.099999999999</v>
      </c>
      <c r="M43" s="1174">
        <v>55.2</v>
      </c>
      <c r="N43" s="1174" t="s">
        <v>1081</v>
      </c>
      <c r="O43" s="1174" t="s">
        <v>1081</v>
      </c>
      <c r="P43" s="1178" t="s">
        <v>1081</v>
      </c>
      <c r="Q43" s="1178">
        <v>2.1</v>
      </c>
      <c r="R43" s="1174" t="s">
        <v>1081</v>
      </c>
      <c r="S43" s="1178">
        <v>1959.8</v>
      </c>
      <c r="T43" s="1177">
        <v>174.3</v>
      </c>
    </row>
    <row r="44" spans="2:20">
      <c r="B44" s="1175" t="s">
        <v>1747</v>
      </c>
      <c r="C44" s="1174">
        <v>64010.8</v>
      </c>
      <c r="D44" s="1174" t="s">
        <v>1081</v>
      </c>
      <c r="E44" s="1174" t="s">
        <v>1081</v>
      </c>
      <c r="F44" s="1174">
        <v>64010.8</v>
      </c>
      <c r="G44" s="1174" t="s">
        <v>1081</v>
      </c>
      <c r="H44" s="1174">
        <v>896.4</v>
      </c>
      <c r="I44" s="1174">
        <v>43978.9</v>
      </c>
      <c r="J44" s="1174" t="s">
        <v>1081</v>
      </c>
      <c r="K44" s="1174" t="s">
        <v>1081</v>
      </c>
      <c r="L44" s="1174">
        <v>19135.5</v>
      </c>
      <c r="M44" s="1174" t="s">
        <v>1081</v>
      </c>
      <c r="N44" s="1174" t="s">
        <v>1081</v>
      </c>
      <c r="O44" s="1174" t="s">
        <v>1081</v>
      </c>
      <c r="P44" s="1174" t="s">
        <v>1081</v>
      </c>
      <c r="Q44" s="1174" t="s">
        <v>1081</v>
      </c>
      <c r="R44" s="1174" t="s">
        <v>1081</v>
      </c>
      <c r="S44" s="1174" t="s">
        <v>1081</v>
      </c>
      <c r="T44" s="1173" t="s">
        <v>1081</v>
      </c>
    </row>
    <row r="45" spans="2:20">
      <c r="B45" s="1176" t="s">
        <v>992</v>
      </c>
      <c r="C45" s="1174">
        <v>1875.8</v>
      </c>
      <c r="D45" s="1174" t="s">
        <v>1081</v>
      </c>
      <c r="E45" s="1174" t="s">
        <v>1081</v>
      </c>
      <c r="F45" s="1174">
        <v>140.6</v>
      </c>
      <c r="G45" s="1174" t="s">
        <v>1081</v>
      </c>
      <c r="H45" s="1174" t="s">
        <v>1081</v>
      </c>
      <c r="I45" s="1174" t="s">
        <v>1081</v>
      </c>
      <c r="J45" s="1174" t="s">
        <v>1081</v>
      </c>
      <c r="K45" s="1174" t="s">
        <v>1081</v>
      </c>
      <c r="L45" s="1174">
        <v>102.4</v>
      </c>
      <c r="M45" s="1174">
        <v>38.200000000000003</v>
      </c>
      <c r="N45" s="1174" t="s">
        <v>1081</v>
      </c>
      <c r="O45" s="1174" t="s">
        <v>1081</v>
      </c>
      <c r="P45" s="1174" t="s">
        <v>1081</v>
      </c>
      <c r="Q45" s="1174">
        <v>2.1</v>
      </c>
      <c r="R45" s="1174" t="s">
        <v>1081</v>
      </c>
      <c r="S45" s="1174">
        <v>1558.8</v>
      </c>
      <c r="T45" s="1173">
        <v>174.3</v>
      </c>
    </row>
    <row r="46" spans="2:20">
      <c r="B46" s="1175" t="s">
        <v>986</v>
      </c>
      <c r="C46" s="1174">
        <v>3881.4</v>
      </c>
      <c r="D46" s="1174" t="s">
        <v>1081</v>
      </c>
      <c r="E46" s="1174" t="s">
        <v>1081</v>
      </c>
      <c r="F46" s="1174">
        <v>3881.4</v>
      </c>
      <c r="G46" s="1174" t="s">
        <v>1081</v>
      </c>
      <c r="H46" s="1174" t="s">
        <v>1081</v>
      </c>
      <c r="I46" s="1174" t="s">
        <v>1081</v>
      </c>
      <c r="J46" s="1174">
        <v>3881.4</v>
      </c>
      <c r="K46" s="1174" t="s">
        <v>1081</v>
      </c>
      <c r="L46" s="1174" t="s">
        <v>1081</v>
      </c>
      <c r="M46" s="1174" t="s">
        <v>1081</v>
      </c>
      <c r="N46" s="1174" t="s">
        <v>1081</v>
      </c>
      <c r="O46" s="1174" t="s">
        <v>1081</v>
      </c>
      <c r="P46" s="1174" t="s">
        <v>1081</v>
      </c>
      <c r="Q46" s="1174" t="s">
        <v>1081</v>
      </c>
      <c r="R46" s="1174" t="s">
        <v>1081</v>
      </c>
      <c r="S46" s="1174" t="s">
        <v>1081</v>
      </c>
      <c r="T46" s="1173" t="s">
        <v>1081</v>
      </c>
    </row>
    <row r="47" spans="2:20">
      <c r="B47" s="1175" t="s">
        <v>1750</v>
      </c>
      <c r="C47" s="1174">
        <v>1177.2</v>
      </c>
      <c r="D47" s="1174" t="s">
        <v>1081</v>
      </c>
      <c r="E47" s="1174" t="s">
        <v>1081</v>
      </c>
      <c r="F47" s="1174">
        <v>1177.2</v>
      </c>
      <c r="G47" s="1174" t="s">
        <v>1081</v>
      </c>
      <c r="H47" s="1174" t="s">
        <v>1081</v>
      </c>
      <c r="I47" s="1174" t="s">
        <v>1081</v>
      </c>
      <c r="J47" s="1174" t="s">
        <v>1081</v>
      </c>
      <c r="K47" s="1174" t="s">
        <v>1081</v>
      </c>
      <c r="L47" s="1174">
        <v>1160.2</v>
      </c>
      <c r="M47" s="1174">
        <v>17</v>
      </c>
      <c r="N47" s="1174" t="s">
        <v>1081</v>
      </c>
      <c r="O47" s="1174" t="s">
        <v>1081</v>
      </c>
      <c r="P47" s="1174" t="s">
        <v>1081</v>
      </c>
      <c r="Q47" s="1174" t="s">
        <v>1081</v>
      </c>
      <c r="R47" s="1174" t="s">
        <v>1081</v>
      </c>
      <c r="S47" s="1174" t="s">
        <v>1081</v>
      </c>
      <c r="T47" s="1173" t="s">
        <v>1081</v>
      </c>
    </row>
    <row r="48" spans="2:20">
      <c r="B48" s="1175" t="s">
        <v>1772</v>
      </c>
      <c r="C48" s="1174">
        <v>405.7</v>
      </c>
      <c r="D48" s="1174" t="s">
        <v>1081</v>
      </c>
      <c r="E48" s="1174" t="s">
        <v>1081</v>
      </c>
      <c r="F48" s="1174">
        <v>4.7</v>
      </c>
      <c r="G48" s="1174" t="s">
        <v>1081</v>
      </c>
      <c r="H48" s="1174">
        <v>4.7</v>
      </c>
      <c r="I48" s="1174" t="s">
        <v>1081</v>
      </c>
      <c r="J48" s="1174" t="s">
        <v>1081</v>
      </c>
      <c r="K48" s="1174" t="s">
        <v>1081</v>
      </c>
      <c r="L48" s="1174" t="s">
        <v>1081</v>
      </c>
      <c r="M48" s="1174" t="s">
        <v>1081</v>
      </c>
      <c r="N48" s="1174" t="s">
        <v>1081</v>
      </c>
      <c r="O48" s="1174" t="s">
        <v>1081</v>
      </c>
      <c r="P48" s="1174" t="s">
        <v>1081</v>
      </c>
      <c r="Q48" s="1174" t="s">
        <v>1081</v>
      </c>
      <c r="R48" s="1174" t="s">
        <v>1081</v>
      </c>
      <c r="S48" s="1174">
        <v>401</v>
      </c>
      <c r="T48" s="1173" t="s">
        <v>1081</v>
      </c>
    </row>
    <row r="49" spans="2:20">
      <c r="B49" s="1163" t="s">
        <v>1752</v>
      </c>
      <c r="C49" s="1174" t="s">
        <v>1081</v>
      </c>
      <c r="D49" s="1174" t="s">
        <v>1081</v>
      </c>
      <c r="E49" s="1174" t="s">
        <v>1081</v>
      </c>
      <c r="F49" s="1174" t="s">
        <v>1081</v>
      </c>
      <c r="G49" s="1174" t="s">
        <v>1081</v>
      </c>
      <c r="H49" s="1174" t="s">
        <v>1081</v>
      </c>
      <c r="I49" s="1174" t="s">
        <v>1081</v>
      </c>
      <c r="J49" s="1174" t="s">
        <v>1081</v>
      </c>
      <c r="K49" s="1174" t="s">
        <v>1081</v>
      </c>
      <c r="L49" s="1174" t="s">
        <v>1081</v>
      </c>
      <c r="M49" s="1174" t="s">
        <v>1081</v>
      </c>
      <c r="N49" s="1174" t="s">
        <v>1081</v>
      </c>
      <c r="O49" s="1174" t="s">
        <v>1081</v>
      </c>
      <c r="P49" s="1174" t="s">
        <v>1081</v>
      </c>
      <c r="Q49" s="1174" t="s">
        <v>1081</v>
      </c>
      <c r="R49" s="1174" t="s">
        <v>1081</v>
      </c>
      <c r="S49" s="1174" t="s">
        <v>1081</v>
      </c>
      <c r="T49" s="1173" t="s">
        <v>1081</v>
      </c>
    </row>
    <row r="50" spans="2:20">
      <c r="B50" s="1179" t="s">
        <v>1753</v>
      </c>
      <c r="C50" s="1178">
        <v>176172.2</v>
      </c>
      <c r="D50" s="1174" t="s">
        <v>1081</v>
      </c>
      <c r="E50" s="1174" t="s">
        <v>1081</v>
      </c>
      <c r="F50" s="1178">
        <v>17222.8</v>
      </c>
      <c r="G50" s="1174" t="s">
        <v>1081</v>
      </c>
      <c r="H50" s="1174">
        <v>2674.8</v>
      </c>
      <c r="I50" s="1174">
        <v>527</v>
      </c>
      <c r="J50" s="1174" t="s">
        <v>1081</v>
      </c>
      <c r="K50" s="1174">
        <v>64.599999999999994</v>
      </c>
      <c r="L50" s="1174">
        <v>13807.7</v>
      </c>
      <c r="M50" s="1174">
        <v>148.69999999999999</v>
      </c>
      <c r="N50" s="1174" t="s">
        <v>1081</v>
      </c>
      <c r="O50" s="1174" t="s">
        <v>1081</v>
      </c>
      <c r="P50" s="1178">
        <v>117125.4</v>
      </c>
      <c r="Q50" s="1178">
        <v>3768.3</v>
      </c>
      <c r="R50" s="1178">
        <v>2301.6</v>
      </c>
      <c r="S50" s="1178">
        <v>35754.1</v>
      </c>
      <c r="T50" s="1177" t="s">
        <v>1081</v>
      </c>
    </row>
    <row r="51" spans="2:20">
      <c r="B51" s="1176" t="s">
        <v>1755</v>
      </c>
      <c r="C51" s="1174">
        <v>17023.900000000001</v>
      </c>
      <c r="D51" s="1174" t="s">
        <v>1081</v>
      </c>
      <c r="E51" s="1174" t="s">
        <v>1081</v>
      </c>
      <c r="F51" s="1174">
        <v>13673.7</v>
      </c>
      <c r="G51" s="1174" t="s">
        <v>1081</v>
      </c>
      <c r="H51" s="1174">
        <v>9.5</v>
      </c>
      <c r="I51" s="1174">
        <v>475.2</v>
      </c>
      <c r="J51" s="1174" t="s">
        <v>1081</v>
      </c>
      <c r="K51" s="1174" t="s">
        <v>1081</v>
      </c>
      <c r="L51" s="1174">
        <v>13142.3</v>
      </c>
      <c r="M51" s="1174">
        <v>46.7</v>
      </c>
      <c r="N51" s="1174" t="s">
        <v>1081</v>
      </c>
      <c r="O51" s="1174" t="s">
        <v>1081</v>
      </c>
      <c r="P51" s="1174">
        <v>898.4</v>
      </c>
      <c r="Q51" s="1174">
        <v>54.6</v>
      </c>
      <c r="R51" s="1174" t="s">
        <v>1081</v>
      </c>
      <c r="S51" s="1174">
        <v>2397.1999999999998</v>
      </c>
      <c r="T51" s="1173" t="s">
        <v>1081</v>
      </c>
    </row>
    <row r="52" spans="2:20">
      <c r="B52" s="1175" t="s">
        <v>1757</v>
      </c>
      <c r="C52" s="1174">
        <v>18409.8</v>
      </c>
      <c r="D52" s="1174" t="s">
        <v>1081</v>
      </c>
      <c r="E52" s="1174" t="s">
        <v>1081</v>
      </c>
      <c r="F52" s="1174">
        <v>357.1</v>
      </c>
      <c r="G52" s="1174" t="s">
        <v>1081</v>
      </c>
      <c r="H52" s="1174">
        <v>118.6</v>
      </c>
      <c r="I52" s="1174" t="s">
        <v>1081</v>
      </c>
      <c r="J52" s="1174" t="s">
        <v>1081</v>
      </c>
      <c r="K52" s="1174" t="s">
        <v>1081</v>
      </c>
      <c r="L52" s="1174">
        <v>136.5</v>
      </c>
      <c r="M52" s="1174">
        <v>102</v>
      </c>
      <c r="N52" s="1174" t="s">
        <v>1081</v>
      </c>
      <c r="O52" s="1174" t="s">
        <v>1081</v>
      </c>
      <c r="P52" s="1174">
        <v>3816.2</v>
      </c>
      <c r="Q52" s="1174">
        <v>668.3</v>
      </c>
      <c r="R52" s="1174">
        <v>930.4</v>
      </c>
      <c r="S52" s="1174">
        <v>12637.8</v>
      </c>
      <c r="T52" s="1173" t="s">
        <v>1081</v>
      </c>
    </row>
    <row r="53" spans="2:20">
      <c r="B53" s="1175" t="s">
        <v>1759</v>
      </c>
      <c r="C53" s="1174">
        <v>140738.5</v>
      </c>
      <c r="D53" s="1174" t="s">
        <v>1081</v>
      </c>
      <c r="E53" s="1174" t="s">
        <v>1081</v>
      </c>
      <c r="F53" s="1174">
        <v>3192</v>
      </c>
      <c r="G53" s="1174" t="s">
        <v>1081</v>
      </c>
      <c r="H53" s="1174">
        <v>2546.6999999999998</v>
      </c>
      <c r="I53" s="1174">
        <v>51.8</v>
      </c>
      <c r="J53" s="1174" t="s">
        <v>1081</v>
      </c>
      <c r="K53" s="1174">
        <v>64.599999999999994</v>
      </c>
      <c r="L53" s="1174">
        <v>528.9</v>
      </c>
      <c r="M53" s="1174" t="s">
        <v>1081</v>
      </c>
      <c r="N53" s="1174" t="s">
        <v>1081</v>
      </c>
      <c r="O53" s="1174" t="s">
        <v>1081</v>
      </c>
      <c r="P53" s="1174">
        <v>112410.8</v>
      </c>
      <c r="Q53" s="1174">
        <v>3045.4</v>
      </c>
      <c r="R53" s="1174">
        <v>1371.2</v>
      </c>
      <c r="S53" s="1174">
        <v>20719.099999999999</v>
      </c>
      <c r="T53" s="1173" t="s">
        <v>1081</v>
      </c>
    </row>
    <row r="54" spans="2:20">
      <c r="B54" s="1175" t="s">
        <v>1761</v>
      </c>
      <c r="C54" s="1174" t="s">
        <v>1081</v>
      </c>
      <c r="D54" s="1174" t="s">
        <v>1081</v>
      </c>
      <c r="E54" s="1174" t="s">
        <v>1081</v>
      </c>
      <c r="F54" s="1174" t="s">
        <v>1081</v>
      </c>
      <c r="G54" s="1174" t="s">
        <v>1081</v>
      </c>
      <c r="H54" s="1174" t="s">
        <v>1081</v>
      </c>
      <c r="I54" s="1174" t="s">
        <v>1081</v>
      </c>
      <c r="J54" s="1174" t="s">
        <v>1081</v>
      </c>
      <c r="K54" s="1174" t="s">
        <v>1081</v>
      </c>
      <c r="L54" s="1174" t="s">
        <v>1081</v>
      </c>
      <c r="M54" s="1174" t="s">
        <v>1081</v>
      </c>
      <c r="N54" s="1174" t="s">
        <v>1081</v>
      </c>
      <c r="O54" s="1174" t="s">
        <v>1081</v>
      </c>
      <c r="P54" s="1174"/>
      <c r="Q54" s="1174" t="s">
        <v>1081</v>
      </c>
      <c r="R54" s="1174" t="s">
        <v>1081</v>
      </c>
      <c r="S54" s="1174" t="s">
        <v>1081</v>
      </c>
      <c r="T54" s="1173" t="s">
        <v>1081</v>
      </c>
    </row>
    <row r="55" spans="2:20" ht="14.4" thickBot="1">
      <c r="B55" s="1172" t="s">
        <v>1763</v>
      </c>
      <c r="C55" s="1171">
        <v>22482.9</v>
      </c>
      <c r="D55" s="1170" t="s">
        <v>1081</v>
      </c>
      <c r="E55" s="1170" t="s">
        <v>1081</v>
      </c>
      <c r="F55" s="1171">
        <v>20831.8</v>
      </c>
      <c r="G55" s="1170" t="s">
        <v>1081</v>
      </c>
      <c r="H55" s="1170">
        <v>237.1</v>
      </c>
      <c r="I55" s="1170" t="s">
        <v>1081</v>
      </c>
      <c r="J55" s="1170">
        <v>246.1</v>
      </c>
      <c r="K55" s="1170" t="s">
        <v>1081</v>
      </c>
      <c r="L55" s="1170" t="s">
        <v>1081</v>
      </c>
      <c r="M55" s="1170">
        <v>509.8</v>
      </c>
      <c r="N55" s="1170">
        <v>8668.7000000000007</v>
      </c>
      <c r="O55" s="1170">
        <v>11170.1</v>
      </c>
      <c r="P55" s="1171">
        <v>1519.4</v>
      </c>
      <c r="Q55" s="1170" t="s">
        <v>1081</v>
      </c>
      <c r="R55" s="1170" t="s">
        <v>1081</v>
      </c>
      <c r="S55" s="1170" t="s">
        <v>1081</v>
      </c>
      <c r="T55" s="1169">
        <v>131.69999999999999</v>
      </c>
    </row>
  </sheetData>
  <mergeCells count="12">
    <mergeCell ref="B2:T2"/>
    <mergeCell ref="P4:P5"/>
    <mergeCell ref="Q4:Q5"/>
    <mergeCell ref="R4:R5"/>
    <mergeCell ref="S4:S5"/>
    <mergeCell ref="T4:T5"/>
    <mergeCell ref="B4:B5"/>
    <mergeCell ref="C4:C5"/>
    <mergeCell ref="D4:D5"/>
    <mergeCell ref="E4:E5"/>
    <mergeCell ref="F4:F5"/>
    <mergeCell ref="G4:O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showGridLines="0" topLeftCell="D1" workbookViewId="0">
      <selection activeCell="P26" sqref="P26"/>
    </sheetView>
  </sheetViews>
  <sheetFormatPr defaultColWidth="8.77734375" defaultRowHeight="13.8"/>
  <cols>
    <col min="1" max="1" width="5.44140625" style="1140" customWidth="1"/>
    <col min="2" max="2" width="31.44140625" style="1140" bestFit="1" customWidth="1"/>
    <col min="3" max="3" width="11.44140625" style="1140" customWidth="1"/>
    <col min="4" max="4" width="12" style="1140" customWidth="1"/>
    <col min="5" max="20" width="11.44140625" style="1140" customWidth="1"/>
    <col min="21" max="256" width="9.21875" style="1140"/>
    <col min="257" max="257" width="5.44140625" style="1140" customWidth="1"/>
    <col min="258" max="258" width="31.44140625" style="1140" bestFit="1" customWidth="1"/>
    <col min="259" max="259" width="11.44140625" style="1140" customWidth="1"/>
    <col min="260" max="260" width="12" style="1140" customWidth="1"/>
    <col min="261" max="276" width="11.44140625" style="1140" customWidth="1"/>
    <col min="277" max="512" width="9.21875" style="1140"/>
    <col min="513" max="513" width="5.44140625" style="1140" customWidth="1"/>
    <col min="514" max="514" width="31.44140625" style="1140" bestFit="1" customWidth="1"/>
    <col min="515" max="515" width="11.44140625" style="1140" customWidth="1"/>
    <col min="516" max="516" width="12" style="1140" customWidth="1"/>
    <col min="517" max="532" width="11.44140625" style="1140" customWidth="1"/>
    <col min="533" max="768" width="9.21875" style="1140"/>
    <col min="769" max="769" width="5.44140625" style="1140" customWidth="1"/>
    <col min="770" max="770" width="31.44140625" style="1140" bestFit="1" customWidth="1"/>
    <col min="771" max="771" width="11.44140625" style="1140" customWidth="1"/>
    <col min="772" max="772" width="12" style="1140" customWidth="1"/>
    <col min="773" max="788" width="11.44140625" style="1140" customWidth="1"/>
    <col min="789" max="1024" width="9.21875" style="1140"/>
    <col min="1025" max="1025" width="5.44140625" style="1140" customWidth="1"/>
    <col min="1026" max="1026" width="31.44140625" style="1140" bestFit="1" customWidth="1"/>
    <col min="1027" max="1027" width="11.44140625" style="1140" customWidth="1"/>
    <col min="1028" max="1028" width="12" style="1140" customWidth="1"/>
    <col min="1029" max="1044" width="11.44140625" style="1140" customWidth="1"/>
    <col min="1045" max="1280" width="9.21875" style="1140"/>
    <col min="1281" max="1281" width="5.44140625" style="1140" customWidth="1"/>
    <col min="1282" max="1282" width="31.44140625" style="1140" bestFit="1" customWidth="1"/>
    <col min="1283" max="1283" width="11.44140625" style="1140" customWidth="1"/>
    <col min="1284" max="1284" width="12" style="1140" customWidth="1"/>
    <col min="1285" max="1300" width="11.44140625" style="1140" customWidth="1"/>
    <col min="1301" max="1536" width="9.21875" style="1140"/>
    <col min="1537" max="1537" width="5.44140625" style="1140" customWidth="1"/>
    <col min="1538" max="1538" width="31.44140625" style="1140" bestFit="1" customWidth="1"/>
    <col min="1539" max="1539" width="11.44140625" style="1140" customWidth="1"/>
    <col min="1540" max="1540" width="12" style="1140" customWidth="1"/>
    <col min="1541" max="1556" width="11.44140625" style="1140" customWidth="1"/>
    <col min="1557" max="1792" width="9.21875" style="1140"/>
    <col min="1793" max="1793" width="5.44140625" style="1140" customWidth="1"/>
    <col min="1794" max="1794" width="31.44140625" style="1140" bestFit="1" customWidth="1"/>
    <col min="1795" max="1795" width="11.44140625" style="1140" customWidth="1"/>
    <col min="1796" max="1796" width="12" style="1140" customWidth="1"/>
    <col min="1797" max="1812" width="11.44140625" style="1140" customWidth="1"/>
    <col min="1813" max="2048" width="9.21875" style="1140"/>
    <col min="2049" max="2049" width="5.44140625" style="1140" customWidth="1"/>
    <col min="2050" max="2050" width="31.44140625" style="1140" bestFit="1" customWidth="1"/>
    <col min="2051" max="2051" width="11.44140625" style="1140" customWidth="1"/>
    <col min="2052" max="2052" width="12" style="1140" customWidth="1"/>
    <col min="2053" max="2068" width="11.44140625" style="1140" customWidth="1"/>
    <col min="2069" max="2304" width="9.21875" style="1140"/>
    <col min="2305" max="2305" width="5.44140625" style="1140" customWidth="1"/>
    <col min="2306" max="2306" width="31.44140625" style="1140" bestFit="1" customWidth="1"/>
    <col min="2307" max="2307" width="11.44140625" style="1140" customWidth="1"/>
    <col min="2308" max="2308" width="12" style="1140" customWidth="1"/>
    <col min="2309" max="2324" width="11.44140625" style="1140" customWidth="1"/>
    <col min="2325" max="2560" width="9.21875" style="1140"/>
    <col min="2561" max="2561" width="5.44140625" style="1140" customWidth="1"/>
    <col min="2562" max="2562" width="31.44140625" style="1140" bestFit="1" customWidth="1"/>
    <col min="2563" max="2563" width="11.44140625" style="1140" customWidth="1"/>
    <col min="2564" max="2564" width="12" style="1140" customWidth="1"/>
    <col min="2565" max="2580" width="11.44140625" style="1140" customWidth="1"/>
    <col min="2581" max="2816" width="9.21875" style="1140"/>
    <col min="2817" max="2817" width="5.44140625" style="1140" customWidth="1"/>
    <col min="2818" max="2818" width="31.44140625" style="1140" bestFit="1" customWidth="1"/>
    <col min="2819" max="2819" width="11.44140625" style="1140" customWidth="1"/>
    <col min="2820" max="2820" width="12" style="1140" customWidth="1"/>
    <col min="2821" max="2836" width="11.44140625" style="1140" customWidth="1"/>
    <col min="2837" max="3072" width="9.21875" style="1140"/>
    <col min="3073" max="3073" width="5.44140625" style="1140" customWidth="1"/>
    <col min="3074" max="3074" width="31.44140625" style="1140" bestFit="1" customWidth="1"/>
    <col min="3075" max="3075" width="11.44140625" style="1140" customWidth="1"/>
    <col min="3076" max="3076" width="12" style="1140" customWidth="1"/>
    <col min="3077" max="3092" width="11.44140625" style="1140" customWidth="1"/>
    <col min="3093" max="3328" width="9.21875" style="1140"/>
    <col min="3329" max="3329" width="5.44140625" style="1140" customWidth="1"/>
    <col min="3330" max="3330" width="31.44140625" style="1140" bestFit="1" customWidth="1"/>
    <col min="3331" max="3331" width="11.44140625" style="1140" customWidth="1"/>
    <col min="3332" max="3332" width="12" style="1140" customWidth="1"/>
    <col min="3333" max="3348" width="11.44140625" style="1140" customWidth="1"/>
    <col min="3349" max="3584" width="9.21875" style="1140"/>
    <col min="3585" max="3585" width="5.44140625" style="1140" customWidth="1"/>
    <col min="3586" max="3586" width="31.44140625" style="1140" bestFit="1" customWidth="1"/>
    <col min="3587" max="3587" width="11.44140625" style="1140" customWidth="1"/>
    <col min="3588" max="3588" width="12" style="1140" customWidth="1"/>
    <col min="3589" max="3604" width="11.44140625" style="1140" customWidth="1"/>
    <col min="3605" max="3840" width="9.21875" style="1140"/>
    <col min="3841" max="3841" width="5.44140625" style="1140" customWidth="1"/>
    <col min="3842" max="3842" width="31.44140625" style="1140" bestFit="1" customWidth="1"/>
    <col min="3843" max="3843" width="11.44140625" style="1140" customWidth="1"/>
    <col min="3844" max="3844" width="12" style="1140" customWidth="1"/>
    <col min="3845" max="3860" width="11.44140625" style="1140" customWidth="1"/>
    <col min="3861" max="4096" width="9.21875" style="1140"/>
    <col min="4097" max="4097" width="5.44140625" style="1140" customWidth="1"/>
    <col min="4098" max="4098" width="31.44140625" style="1140" bestFit="1" customWidth="1"/>
    <col min="4099" max="4099" width="11.44140625" style="1140" customWidth="1"/>
    <col min="4100" max="4100" width="12" style="1140" customWidth="1"/>
    <col min="4101" max="4116" width="11.44140625" style="1140" customWidth="1"/>
    <col min="4117" max="4352" width="9.21875" style="1140"/>
    <col min="4353" max="4353" width="5.44140625" style="1140" customWidth="1"/>
    <col min="4354" max="4354" width="31.44140625" style="1140" bestFit="1" customWidth="1"/>
    <col min="4355" max="4355" width="11.44140625" style="1140" customWidth="1"/>
    <col min="4356" max="4356" width="12" style="1140" customWidth="1"/>
    <col min="4357" max="4372" width="11.44140625" style="1140" customWidth="1"/>
    <col min="4373" max="4608" width="9.21875" style="1140"/>
    <col min="4609" max="4609" width="5.44140625" style="1140" customWidth="1"/>
    <col min="4610" max="4610" width="31.44140625" style="1140" bestFit="1" customWidth="1"/>
    <col min="4611" max="4611" width="11.44140625" style="1140" customWidth="1"/>
    <col min="4612" max="4612" width="12" style="1140" customWidth="1"/>
    <col min="4613" max="4628" width="11.44140625" style="1140" customWidth="1"/>
    <col min="4629" max="4864" width="9.21875" style="1140"/>
    <col min="4865" max="4865" width="5.44140625" style="1140" customWidth="1"/>
    <col min="4866" max="4866" width="31.44140625" style="1140" bestFit="1" customWidth="1"/>
    <col min="4867" max="4867" width="11.44140625" style="1140" customWidth="1"/>
    <col min="4868" max="4868" width="12" style="1140" customWidth="1"/>
    <col min="4869" max="4884" width="11.44140625" style="1140" customWidth="1"/>
    <col min="4885" max="5120" width="9.21875" style="1140"/>
    <col min="5121" max="5121" width="5.44140625" style="1140" customWidth="1"/>
    <col min="5122" max="5122" width="31.44140625" style="1140" bestFit="1" customWidth="1"/>
    <col min="5123" max="5123" width="11.44140625" style="1140" customWidth="1"/>
    <col min="5124" max="5124" width="12" style="1140" customWidth="1"/>
    <col min="5125" max="5140" width="11.44140625" style="1140" customWidth="1"/>
    <col min="5141" max="5376" width="9.21875" style="1140"/>
    <col min="5377" max="5377" width="5.44140625" style="1140" customWidth="1"/>
    <col min="5378" max="5378" width="31.44140625" style="1140" bestFit="1" customWidth="1"/>
    <col min="5379" max="5379" width="11.44140625" style="1140" customWidth="1"/>
    <col min="5380" max="5380" width="12" style="1140" customWidth="1"/>
    <col min="5381" max="5396" width="11.44140625" style="1140" customWidth="1"/>
    <col min="5397" max="5632" width="9.21875" style="1140"/>
    <col min="5633" max="5633" width="5.44140625" style="1140" customWidth="1"/>
    <col min="5634" max="5634" width="31.44140625" style="1140" bestFit="1" customWidth="1"/>
    <col min="5635" max="5635" width="11.44140625" style="1140" customWidth="1"/>
    <col min="5636" max="5636" width="12" style="1140" customWidth="1"/>
    <col min="5637" max="5652" width="11.44140625" style="1140" customWidth="1"/>
    <col min="5653" max="5888" width="9.21875" style="1140"/>
    <col min="5889" max="5889" width="5.44140625" style="1140" customWidth="1"/>
    <col min="5890" max="5890" width="31.44140625" style="1140" bestFit="1" customWidth="1"/>
    <col min="5891" max="5891" width="11.44140625" style="1140" customWidth="1"/>
    <col min="5892" max="5892" width="12" style="1140" customWidth="1"/>
    <col min="5893" max="5908" width="11.44140625" style="1140" customWidth="1"/>
    <col min="5909" max="6144" width="9.21875" style="1140"/>
    <col min="6145" max="6145" width="5.44140625" style="1140" customWidth="1"/>
    <col min="6146" max="6146" width="31.44140625" style="1140" bestFit="1" customWidth="1"/>
    <col min="6147" max="6147" width="11.44140625" style="1140" customWidth="1"/>
    <col min="6148" max="6148" width="12" style="1140" customWidth="1"/>
    <col min="6149" max="6164" width="11.44140625" style="1140" customWidth="1"/>
    <col min="6165" max="6400" width="9.21875" style="1140"/>
    <col min="6401" max="6401" width="5.44140625" style="1140" customWidth="1"/>
    <col min="6402" max="6402" width="31.44140625" style="1140" bestFit="1" customWidth="1"/>
    <col min="6403" max="6403" width="11.44140625" style="1140" customWidth="1"/>
    <col min="6404" max="6404" width="12" style="1140" customWidth="1"/>
    <col min="6405" max="6420" width="11.44140625" style="1140" customWidth="1"/>
    <col min="6421" max="6656" width="9.21875" style="1140"/>
    <col min="6657" max="6657" width="5.44140625" style="1140" customWidth="1"/>
    <col min="6658" max="6658" width="31.44140625" style="1140" bestFit="1" customWidth="1"/>
    <col min="6659" max="6659" width="11.44140625" style="1140" customWidth="1"/>
    <col min="6660" max="6660" width="12" style="1140" customWidth="1"/>
    <col min="6661" max="6676" width="11.44140625" style="1140" customWidth="1"/>
    <col min="6677" max="6912" width="9.21875" style="1140"/>
    <col min="6913" max="6913" width="5.44140625" style="1140" customWidth="1"/>
    <col min="6914" max="6914" width="31.44140625" style="1140" bestFit="1" customWidth="1"/>
    <col min="6915" max="6915" width="11.44140625" style="1140" customWidth="1"/>
    <col min="6916" max="6916" width="12" style="1140" customWidth="1"/>
    <col min="6917" max="6932" width="11.44140625" style="1140" customWidth="1"/>
    <col min="6933" max="7168" width="9.21875" style="1140"/>
    <col min="7169" max="7169" width="5.44140625" style="1140" customWidth="1"/>
    <col min="7170" max="7170" width="31.44140625" style="1140" bestFit="1" customWidth="1"/>
    <col min="7171" max="7171" width="11.44140625" style="1140" customWidth="1"/>
    <col min="7172" max="7172" width="12" style="1140" customWidth="1"/>
    <col min="7173" max="7188" width="11.44140625" style="1140" customWidth="1"/>
    <col min="7189" max="7424" width="9.21875" style="1140"/>
    <col min="7425" max="7425" width="5.44140625" style="1140" customWidth="1"/>
    <col min="7426" max="7426" width="31.44140625" style="1140" bestFit="1" customWidth="1"/>
    <col min="7427" max="7427" width="11.44140625" style="1140" customWidth="1"/>
    <col min="7428" max="7428" width="12" style="1140" customWidth="1"/>
    <col min="7429" max="7444" width="11.44140625" style="1140" customWidth="1"/>
    <col min="7445" max="7680" width="9.21875" style="1140"/>
    <col min="7681" max="7681" width="5.44140625" style="1140" customWidth="1"/>
    <col min="7682" max="7682" width="31.44140625" style="1140" bestFit="1" customWidth="1"/>
    <col min="7683" max="7683" width="11.44140625" style="1140" customWidth="1"/>
    <col min="7684" max="7684" width="12" style="1140" customWidth="1"/>
    <col min="7685" max="7700" width="11.44140625" style="1140" customWidth="1"/>
    <col min="7701" max="7936" width="9.21875" style="1140"/>
    <col min="7937" max="7937" width="5.44140625" style="1140" customWidth="1"/>
    <col min="7938" max="7938" width="31.44140625" style="1140" bestFit="1" customWidth="1"/>
    <col min="7939" max="7939" width="11.44140625" style="1140" customWidth="1"/>
    <col min="7940" max="7940" width="12" style="1140" customWidth="1"/>
    <col min="7941" max="7956" width="11.44140625" style="1140" customWidth="1"/>
    <col min="7957" max="8192" width="9.21875" style="1140"/>
    <col min="8193" max="8193" width="5.44140625" style="1140" customWidth="1"/>
    <col min="8194" max="8194" width="31.44140625" style="1140" bestFit="1" customWidth="1"/>
    <col min="8195" max="8195" width="11.44140625" style="1140" customWidth="1"/>
    <col min="8196" max="8196" width="12" style="1140" customWidth="1"/>
    <col min="8197" max="8212" width="11.44140625" style="1140" customWidth="1"/>
    <col min="8213" max="8448" width="9.21875" style="1140"/>
    <col min="8449" max="8449" width="5.44140625" style="1140" customWidth="1"/>
    <col min="8450" max="8450" width="31.44140625" style="1140" bestFit="1" customWidth="1"/>
    <col min="8451" max="8451" width="11.44140625" style="1140" customWidth="1"/>
    <col min="8452" max="8452" width="12" style="1140" customWidth="1"/>
    <col min="8453" max="8468" width="11.44140625" style="1140" customWidth="1"/>
    <col min="8469" max="8704" width="9.21875" style="1140"/>
    <col min="8705" max="8705" width="5.44140625" style="1140" customWidth="1"/>
    <col min="8706" max="8706" width="31.44140625" style="1140" bestFit="1" customWidth="1"/>
    <col min="8707" max="8707" width="11.44140625" style="1140" customWidth="1"/>
    <col min="8708" max="8708" width="12" style="1140" customWidth="1"/>
    <col min="8709" max="8724" width="11.44140625" style="1140" customWidth="1"/>
    <col min="8725" max="8960" width="9.21875" style="1140"/>
    <col min="8961" max="8961" width="5.44140625" style="1140" customWidth="1"/>
    <col min="8962" max="8962" width="31.44140625" style="1140" bestFit="1" customWidth="1"/>
    <col min="8963" max="8963" width="11.44140625" style="1140" customWidth="1"/>
    <col min="8964" max="8964" width="12" style="1140" customWidth="1"/>
    <col min="8965" max="8980" width="11.44140625" style="1140" customWidth="1"/>
    <col min="8981" max="9216" width="9.21875" style="1140"/>
    <col min="9217" max="9217" width="5.44140625" style="1140" customWidth="1"/>
    <col min="9218" max="9218" width="31.44140625" style="1140" bestFit="1" customWidth="1"/>
    <col min="9219" max="9219" width="11.44140625" style="1140" customWidth="1"/>
    <col min="9220" max="9220" width="12" style="1140" customWidth="1"/>
    <col min="9221" max="9236" width="11.44140625" style="1140" customWidth="1"/>
    <col min="9237" max="9472" width="9.21875" style="1140"/>
    <col min="9473" max="9473" width="5.44140625" style="1140" customWidth="1"/>
    <col min="9474" max="9474" width="31.44140625" style="1140" bestFit="1" customWidth="1"/>
    <col min="9475" max="9475" width="11.44140625" style="1140" customWidth="1"/>
    <col min="9476" max="9476" width="12" style="1140" customWidth="1"/>
    <col min="9477" max="9492" width="11.44140625" style="1140" customWidth="1"/>
    <col min="9493" max="9728" width="9.21875" style="1140"/>
    <col min="9729" max="9729" width="5.44140625" style="1140" customWidth="1"/>
    <col min="9730" max="9730" width="31.44140625" style="1140" bestFit="1" customWidth="1"/>
    <col min="9731" max="9731" width="11.44140625" style="1140" customWidth="1"/>
    <col min="9732" max="9732" width="12" style="1140" customWidth="1"/>
    <col min="9733" max="9748" width="11.44140625" style="1140" customWidth="1"/>
    <col min="9749" max="9984" width="9.21875" style="1140"/>
    <col min="9985" max="9985" width="5.44140625" style="1140" customWidth="1"/>
    <col min="9986" max="9986" width="31.44140625" style="1140" bestFit="1" customWidth="1"/>
    <col min="9987" max="9987" width="11.44140625" style="1140" customWidth="1"/>
    <col min="9988" max="9988" width="12" style="1140" customWidth="1"/>
    <col min="9989" max="10004" width="11.44140625" style="1140" customWidth="1"/>
    <col min="10005" max="10240" width="9.21875" style="1140"/>
    <col min="10241" max="10241" width="5.44140625" style="1140" customWidth="1"/>
    <col min="10242" max="10242" width="31.44140625" style="1140" bestFit="1" customWidth="1"/>
    <col min="10243" max="10243" width="11.44140625" style="1140" customWidth="1"/>
    <col min="10244" max="10244" width="12" style="1140" customWidth="1"/>
    <col min="10245" max="10260" width="11.44140625" style="1140" customWidth="1"/>
    <col min="10261" max="10496" width="9.21875" style="1140"/>
    <col min="10497" max="10497" width="5.44140625" style="1140" customWidth="1"/>
    <col min="10498" max="10498" width="31.44140625" style="1140" bestFit="1" customWidth="1"/>
    <col min="10499" max="10499" width="11.44140625" style="1140" customWidth="1"/>
    <col min="10500" max="10500" width="12" style="1140" customWidth="1"/>
    <col min="10501" max="10516" width="11.44140625" style="1140" customWidth="1"/>
    <col min="10517" max="10752" width="9.21875" style="1140"/>
    <col min="10753" max="10753" width="5.44140625" style="1140" customWidth="1"/>
    <col min="10754" max="10754" width="31.44140625" style="1140" bestFit="1" customWidth="1"/>
    <col min="10755" max="10755" width="11.44140625" style="1140" customWidth="1"/>
    <col min="10756" max="10756" width="12" style="1140" customWidth="1"/>
    <col min="10757" max="10772" width="11.44140625" style="1140" customWidth="1"/>
    <col min="10773" max="11008" width="9.21875" style="1140"/>
    <col min="11009" max="11009" width="5.44140625" style="1140" customWidth="1"/>
    <col min="11010" max="11010" width="31.44140625" style="1140" bestFit="1" customWidth="1"/>
    <col min="11011" max="11011" width="11.44140625" style="1140" customWidth="1"/>
    <col min="11012" max="11012" width="12" style="1140" customWidth="1"/>
    <col min="11013" max="11028" width="11.44140625" style="1140" customWidth="1"/>
    <col min="11029" max="11264" width="9.21875" style="1140"/>
    <col min="11265" max="11265" width="5.44140625" style="1140" customWidth="1"/>
    <col min="11266" max="11266" width="31.44140625" style="1140" bestFit="1" customWidth="1"/>
    <col min="11267" max="11267" width="11.44140625" style="1140" customWidth="1"/>
    <col min="11268" max="11268" width="12" style="1140" customWidth="1"/>
    <col min="11269" max="11284" width="11.44140625" style="1140" customWidth="1"/>
    <col min="11285" max="11520" width="9.21875" style="1140"/>
    <col min="11521" max="11521" width="5.44140625" style="1140" customWidth="1"/>
    <col min="11522" max="11522" width="31.44140625" style="1140" bestFit="1" customWidth="1"/>
    <col min="11523" max="11523" width="11.44140625" style="1140" customWidth="1"/>
    <col min="11524" max="11524" width="12" style="1140" customWidth="1"/>
    <col min="11525" max="11540" width="11.44140625" style="1140" customWidth="1"/>
    <col min="11541" max="11776" width="9.21875" style="1140"/>
    <col min="11777" max="11777" width="5.44140625" style="1140" customWidth="1"/>
    <col min="11778" max="11778" width="31.44140625" style="1140" bestFit="1" customWidth="1"/>
    <col min="11779" max="11779" width="11.44140625" style="1140" customWidth="1"/>
    <col min="11780" max="11780" width="12" style="1140" customWidth="1"/>
    <col min="11781" max="11796" width="11.44140625" style="1140" customWidth="1"/>
    <col min="11797" max="12032" width="9.21875" style="1140"/>
    <col min="12033" max="12033" width="5.44140625" style="1140" customWidth="1"/>
    <col min="12034" max="12034" width="31.44140625" style="1140" bestFit="1" customWidth="1"/>
    <col min="12035" max="12035" width="11.44140625" style="1140" customWidth="1"/>
    <col min="12036" max="12036" width="12" style="1140" customWidth="1"/>
    <col min="12037" max="12052" width="11.44140625" style="1140" customWidth="1"/>
    <col min="12053" max="12288" width="9.21875" style="1140"/>
    <col min="12289" max="12289" width="5.44140625" style="1140" customWidth="1"/>
    <col min="12290" max="12290" width="31.44140625" style="1140" bestFit="1" customWidth="1"/>
    <col min="12291" max="12291" width="11.44140625" style="1140" customWidth="1"/>
    <col min="12292" max="12292" width="12" style="1140" customWidth="1"/>
    <col min="12293" max="12308" width="11.44140625" style="1140" customWidth="1"/>
    <col min="12309" max="12544" width="9.21875" style="1140"/>
    <col min="12545" max="12545" width="5.44140625" style="1140" customWidth="1"/>
    <col min="12546" max="12546" width="31.44140625" style="1140" bestFit="1" customWidth="1"/>
    <col min="12547" max="12547" width="11.44140625" style="1140" customWidth="1"/>
    <col min="12548" max="12548" width="12" style="1140" customWidth="1"/>
    <col min="12549" max="12564" width="11.44140625" style="1140" customWidth="1"/>
    <col min="12565" max="12800" width="9.21875" style="1140"/>
    <col min="12801" max="12801" width="5.44140625" style="1140" customWidth="1"/>
    <col min="12802" max="12802" width="31.44140625" style="1140" bestFit="1" customWidth="1"/>
    <col min="12803" max="12803" width="11.44140625" style="1140" customWidth="1"/>
    <col min="12804" max="12804" width="12" style="1140" customWidth="1"/>
    <col min="12805" max="12820" width="11.44140625" style="1140" customWidth="1"/>
    <col min="12821" max="13056" width="9.21875" style="1140"/>
    <col min="13057" max="13057" width="5.44140625" style="1140" customWidth="1"/>
    <col min="13058" max="13058" width="31.44140625" style="1140" bestFit="1" customWidth="1"/>
    <col min="13059" max="13059" width="11.44140625" style="1140" customWidth="1"/>
    <col min="13060" max="13060" width="12" style="1140" customWidth="1"/>
    <col min="13061" max="13076" width="11.44140625" style="1140" customWidth="1"/>
    <col min="13077" max="13312" width="9.21875" style="1140"/>
    <col min="13313" max="13313" width="5.44140625" style="1140" customWidth="1"/>
    <col min="13314" max="13314" width="31.44140625" style="1140" bestFit="1" customWidth="1"/>
    <col min="13315" max="13315" width="11.44140625" style="1140" customWidth="1"/>
    <col min="13316" max="13316" width="12" style="1140" customWidth="1"/>
    <col min="13317" max="13332" width="11.44140625" style="1140" customWidth="1"/>
    <col min="13333" max="13568" width="9.21875" style="1140"/>
    <col min="13569" max="13569" width="5.44140625" style="1140" customWidth="1"/>
    <col min="13570" max="13570" width="31.44140625" style="1140" bestFit="1" customWidth="1"/>
    <col min="13571" max="13571" width="11.44140625" style="1140" customWidth="1"/>
    <col min="13572" max="13572" width="12" style="1140" customWidth="1"/>
    <col min="13573" max="13588" width="11.44140625" style="1140" customWidth="1"/>
    <col min="13589" max="13824" width="9.21875" style="1140"/>
    <col min="13825" max="13825" width="5.44140625" style="1140" customWidth="1"/>
    <col min="13826" max="13826" width="31.44140625" style="1140" bestFit="1" customWidth="1"/>
    <col min="13827" max="13827" width="11.44140625" style="1140" customWidth="1"/>
    <col min="13828" max="13828" width="12" style="1140" customWidth="1"/>
    <col min="13829" max="13844" width="11.44140625" style="1140" customWidth="1"/>
    <col min="13845" max="14080" width="9.21875" style="1140"/>
    <col min="14081" max="14081" width="5.44140625" style="1140" customWidth="1"/>
    <col min="14082" max="14082" width="31.44140625" style="1140" bestFit="1" customWidth="1"/>
    <col min="14083" max="14083" width="11.44140625" style="1140" customWidth="1"/>
    <col min="14084" max="14084" width="12" style="1140" customWidth="1"/>
    <col min="14085" max="14100" width="11.44140625" style="1140" customWidth="1"/>
    <col min="14101" max="14336" width="9.21875" style="1140"/>
    <col min="14337" max="14337" width="5.44140625" style="1140" customWidth="1"/>
    <col min="14338" max="14338" width="31.44140625" style="1140" bestFit="1" customWidth="1"/>
    <col min="14339" max="14339" width="11.44140625" style="1140" customWidth="1"/>
    <col min="14340" max="14340" width="12" style="1140" customWidth="1"/>
    <col min="14341" max="14356" width="11.44140625" style="1140" customWidth="1"/>
    <col min="14357" max="14592" width="9.21875" style="1140"/>
    <col min="14593" max="14593" width="5.44140625" style="1140" customWidth="1"/>
    <col min="14594" max="14594" width="31.44140625" style="1140" bestFit="1" customWidth="1"/>
    <col min="14595" max="14595" width="11.44140625" style="1140" customWidth="1"/>
    <col min="14596" max="14596" width="12" style="1140" customWidth="1"/>
    <col min="14597" max="14612" width="11.44140625" style="1140" customWidth="1"/>
    <col min="14613" max="14848" width="9.21875" style="1140"/>
    <col min="14849" max="14849" width="5.44140625" style="1140" customWidth="1"/>
    <col min="14850" max="14850" width="31.44140625" style="1140" bestFit="1" customWidth="1"/>
    <col min="14851" max="14851" width="11.44140625" style="1140" customWidth="1"/>
    <col min="14852" max="14852" width="12" style="1140" customWidth="1"/>
    <col min="14853" max="14868" width="11.44140625" style="1140" customWidth="1"/>
    <col min="14869" max="15104" width="9.21875" style="1140"/>
    <col min="15105" max="15105" width="5.44140625" style="1140" customWidth="1"/>
    <col min="15106" max="15106" width="31.44140625" style="1140" bestFit="1" customWidth="1"/>
    <col min="15107" max="15107" width="11.44140625" style="1140" customWidth="1"/>
    <col min="15108" max="15108" width="12" style="1140" customWidth="1"/>
    <col min="15109" max="15124" width="11.44140625" style="1140" customWidth="1"/>
    <col min="15125" max="15360" width="9.21875" style="1140"/>
    <col min="15361" max="15361" width="5.44140625" style="1140" customWidth="1"/>
    <col min="15362" max="15362" width="31.44140625" style="1140" bestFit="1" customWidth="1"/>
    <col min="15363" max="15363" width="11.44140625" style="1140" customWidth="1"/>
    <col min="15364" max="15364" width="12" style="1140" customWidth="1"/>
    <col min="15365" max="15380" width="11.44140625" style="1140" customWidth="1"/>
    <col min="15381" max="15616" width="9.21875" style="1140"/>
    <col min="15617" max="15617" width="5.44140625" style="1140" customWidth="1"/>
    <col min="15618" max="15618" width="31.44140625" style="1140" bestFit="1" customWidth="1"/>
    <col min="15619" max="15619" width="11.44140625" style="1140" customWidth="1"/>
    <col min="15620" max="15620" width="12" style="1140" customWidth="1"/>
    <col min="15621" max="15636" width="11.44140625" style="1140" customWidth="1"/>
    <col min="15637" max="15872" width="9.21875" style="1140"/>
    <col min="15873" max="15873" width="5.44140625" style="1140" customWidth="1"/>
    <col min="15874" max="15874" width="31.44140625" style="1140" bestFit="1" customWidth="1"/>
    <col min="15875" max="15875" width="11.44140625" style="1140" customWidth="1"/>
    <col min="15876" max="15876" width="12" style="1140" customWidth="1"/>
    <col min="15877" max="15892" width="11.44140625" style="1140" customWidth="1"/>
    <col min="15893" max="16128" width="9.21875" style="1140"/>
    <col min="16129" max="16129" width="5.44140625" style="1140" customWidth="1"/>
    <col min="16130" max="16130" width="31.44140625" style="1140" bestFit="1" customWidth="1"/>
    <col min="16131" max="16131" width="11.44140625" style="1140" customWidth="1"/>
    <col min="16132" max="16132" width="12" style="1140" customWidth="1"/>
    <col min="16133" max="16148" width="11.44140625" style="1140" customWidth="1"/>
    <col min="16149" max="16384" width="9.21875" style="1140"/>
  </cols>
  <sheetData>
    <row r="1" spans="1:20">
      <c r="P1" s="1141">
        <f>P25+P26</f>
        <v>62105.399999999994</v>
      </c>
    </row>
    <row r="2" spans="1:20">
      <c r="B2" s="1306" t="s">
        <v>1775</v>
      </c>
      <c r="C2" s="1306"/>
      <c r="D2" s="1306"/>
      <c r="E2" s="1306"/>
      <c r="F2" s="1306"/>
      <c r="G2" s="1306"/>
      <c r="H2" s="1306"/>
      <c r="I2" s="1306"/>
      <c r="J2" s="1306"/>
      <c r="K2" s="1306"/>
      <c r="L2" s="1306"/>
      <c r="M2" s="1306"/>
      <c r="N2" s="1306"/>
      <c r="O2" s="1306"/>
      <c r="P2" s="1306"/>
      <c r="Q2" s="1306"/>
      <c r="R2" s="1306"/>
      <c r="S2" s="1306"/>
      <c r="T2" s="1306"/>
    </row>
    <row r="3" spans="1:20" ht="14.4" thickBot="1">
      <c r="B3" s="1207" t="s">
        <v>1685</v>
      </c>
      <c r="C3" s="1207"/>
      <c r="D3" s="1207" t="s">
        <v>93</v>
      </c>
      <c r="E3" s="1207"/>
      <c r="F3" s="1207"/>
      <c r="G3" s="1207"/>
      <c r="H3" s="1207"/>
      <c r="I3" s="1207" t="s">
        <v>76</v>
      </c>
      <c r="J3" s="1207" t="s">
        <v>79</v>
      </c>
      <c r="K3" s="1207"/>
      <c r="L3" s="1207" t="s">
        <v>45</v>
      </c>
      <c r="M3" s="1207" t="s">
        <v>759</v>
      </c>
      <c r="N3" s="1207"/>
      <c r="O3" s="1207"/>
      <c r="P3" s="1207" t="s">
        <v>41</v>
      </c>
      <c r="Q3" s="1207"/>
      <c r="R3" s="1207"/>
      <c r="S3" s="1207" t="s">
        <v>215</v>
      </c>
      <c r="T3" s="1207"/>
    </row>
    <row r="4" spans="1:20" s="1193" customFormat="1" ht="18.75" customHeight="1">
      <c r="B4" s="1322"/>
      <c r="C4" s="1318" t="s">
        <v>1686</v>
      </c>
      <c r="D4" s="1318" t="s">
        <v>1687</v>
      </c>
      <c r="E4" s="1318" t="s">
        <v>1688</v>
      </c>
      <c r="F4" s="1318" t="s">
        <v>1689</v>
      </c>
      <c r="G4" s="1324" t="s">
        <v>1690</v>
      </c>
      <c r="H4" s="1325"/>
      <c r="I4" s="1325"/>
      <c r="J4" s="1325"/>
      <c r="K4" s="1325"/>
      <c r="L4" s="1325"/>
      <c r="M4" s="1325"/>
      <c r="N4" s="1325"/>
      <c r="O4" s="1326"/>
      <c r="P4" s="1318" t="s">
        <v>1691</v>
      </c>
      <c r="Q4" s="1318" t="s">
        <v>1692</v>
      </c>
      <c r="R4" s="1318" t="s">
        <v>1693</v>
      </c>
      <c r="S4" s="1318" t="s">
        <v>1694</v>
      </c>
      <c r="T4" s="1320" t="s">
        <v>1695</v>
      </c>
    </row>
    <row r="5" spans="1:20" s="1196" customFormat="1" ht="50.25" customHeight="1" thickBot="1">
      <c r="B5" s="1323"/>
      <c r="C5" s="1319"/>
      <c r="D5" s="1319"/>
      <c r="E5" s="1319"/>
      <c r="F5" s="1319"/>
      <c r="G5" s="1194" t="s">
        <v>1696</v>
      </c>
      <c r="H5" s="1194" t="s">
        <v>1697</v>
      </c>
      <c r="I5" s="1194" t="s">
        <v>1698</v>
      </c>
      <c r="J5" s="1194" t="s">
        <v>1699</v>
      </c>
      <c r="K5" s="1194" t="s">
        <v>1700</v>
      </c>
      <c r="L5" s="1194" t="s">
        <v>1776</v>
      </c>
      <c r="M5" s="1195" t="s">
        <v>1702</v>
      </c>
      <c r="N5" s="1194" t="s">
        <v>1703</v>
      </c>
      <c r="O5" s="1194" t="s">
        <v>1704</v>
      </c>
      <c r="P5" s="1319"/>
      <c r="Q5" s="1319"/>
      <c r="R5" s="1319"/>
      <c r="S5" s="1319"/>
      <c r="T5" s="1321"/>
    </row>
    <row r="6" spans="1:20">
      <c r="A6" s="1140" t="s">
        <v>171</v>
      </c>
      <c r="B6" s="1192" t="s">
        <v>927</v>
      </c>
      <c r="C6" s="1197">
        <v>2557914.5</v>
      </c>
      <c r="D6" s="1197">
        <v>1793930</v>
      </c>
      <c r="E6" s="1197" t="s">
        <v>1081</v>
      </c>
      <c r="F6" s="1197" t="s">
        <v>1081</v>
      </c>
      <c r="G6" s="1197" t="s">
        <v>1081</v>
      </c>
      <c r="H6" s="1197" t="s">
        <v>1081</v>
      </c>
      <c r="I6" s="1197" t="s">
        <v>1081</v>
      </c>
      <c r="J6" s="1197" t="s">
        <v>1081</v>
      </c>
      <c r="K6" s="1197" t="s">
        <v>1081</v>
      </c>
      <c r="L6" s="1197" t="s">
        <v>1081</v>
      </c>
      <c r="M6" s="1197" t="s">
        <v>1081</v>
      </c>
      <c r="N6" s="1197" t="s">
        <v>1081</v>
      </c>
      <c r="O6" s="1197" t="s">
        <v>1081</v>
      </c>
      <c r="P6" s="1197">
        <v>751362.1</v>
      </c>
      <c r="Q6" s="1197">
        <v>12622.4</v>
      </c>
      <c r="R6" s="1197" t="s">
        <v>1081</v>
      </c>
      <c r="S6" s="1197" t="s">
        <v>1081</v>
      </c>
      <c r="T6" s="1198" t="s">
        <v>1081</v>
      </c>
    </row>
    <row r="7" spans="1:20">
      <c r="A7" s="1140" t="s">
        <v>61</v>
      </c>
      <c r="B7" s="1189" t="s">
        <v>1705</v>
      </c>
      <c r="C7" s="1199">
        <v>12895.3</v>
      </c>
      <c r="D7" s="1199" t="s">
        <v>1081</v>
      </c>
      <c r="E7" s="1199" t="s">
        <v>1081</v>
      </c>
      <c r="F7" s="1199">
        <v>11847.4</v>
      </c>
      <c r="G7" s="1199" t="s">
        <v>1081</v>
      </c>
      <c r="H7" s="1199" t="s">
        <v>1081</v>
      </c>
      <c r="I7" s="1199">
        <v>1978.4</v>
      </c>
      <c r="J7" s="1199" t="s">
        <v>1081</v>
      </c>
      <c r="K7" s="1199">
        <v>624.29999999999995</v>
      </c>
      <c r="L7" s="1199">
        <v>528.9</v>
      </c>
      <c r="M7" s="1199">
        <v>5734.8</v>
      </c>
      <c r="N7" s="1199" t="s">
        <v>1081</v>
      </c>
      <c r="O7" s="1199">
        <v>2981</v>
      </c>
      <c r="P7" s="1199" t="s">
        <v>1081</v>
      </c>
      <c r="Q7" s="1199" t="s">
        <v>1081</v>
      </c>
      <c r="R7" s="1199" t="s">
        <v>1081</v>
      </c>
      <c r="S7" s="1199">
        <v>387</v>
      </c>
      <c r="T7" s="1200">
        <v>660.9</v>
      </c>
    </row>
    <row r="8" spans="1:20">
      <c r="A8" s="1140" t="s">
        <v>298</v>
      </c>
      <c r="B8" s="1189" t="s">
        <v>912</v>
      </c>
      <c r="C8" s="1199">
        <v>-1928627.4</v>
      </c>
      <c r="D8" s="1199">
        <v>-1513026</v>
      </c>
      <c r="E8" s="1199" t="s">
        <v>1081</v>
      </c>
      <c r="F8" s="1199">
        <v>-96495.9</v>
      </c>
      <c r="G8" s="1199" t="s">
        <v>1081</v>
      </c>
      <c r="H8" s="1199">
        <v>-735.1</v>
      </c>
      <c r="I8" s="1199">
        <v>-203</v>
      </c>
      <c r="J8" s="1199">
        <v>-10210.700000000001</v>
      </c>
      <c r="K8" s="1199" t="s">
        <v>1081</v>
      </c>
      <c r="L8" s="1199">
        <v>-70595.7</v>
      </c>
      <c r="M8" s="1199">
        <v>-4817.2</v>
      </c>
      <c r="N8" s="1199" t="s">
        <v>1081</v>
      </c>
      <c r="O8" s="1199">
        <v>-9934.2000000000007</v>
      </c>
      <c r="P8" s="1199">
        <v>-318151.5</v>
      </c>
      <c r="Q8" s="1199" t="s">
        <v>1081</v>
      </c>
      <c r="R8" s="1199" t="s">
        <v>1081</v>
      </c>
      <c r="S8" s="1199">
        <v>-954</v>
      </c>
      <c r="T8" s="1200" t="s">
        <v>1081</v>
      </c>
    </row>
    <row r="9" spans="1:20">
      <c r="B9" s="1188" t="s">
        <v>1706</v>
      </c>
      <c r="C9" s="1199">
        <v>-13573.9</v>
      </c>
      <c r="D9" s="1199" t="s">
        <v>1081</v>
      </c>
      <c r="E9" s="1199" t="s">
        <v>1081</v>
      </c>
      <c r="F9" s="1199">
        <v>-13573.9</v>
      </c>
      <c r="G9" s="1199" t="s">
        <v>1081</v>
      </c>
      <c r="H9" s="1199" t="s">
        <v>1081</v>
      </c>
      <c r="I9" s="1199" t="s">
        <v>1081</v>
      </c>
      <c r="J9" s="1199">
        <v>-11441.1</v>
      </c>
      <c r="K9" s="1199" t="s">
        <v>1081</v>
      </c>
      <c r="L9" s="1199">
        <v>-2132.8000000000002</v>
      </c>
      <c r="M9" s="1199" t="s">
        <v>1081</v>
      </c>
      <c r="N9" s="1199" t="s">
        <v>1081</v>
      </c>
      <c r="O9" s="1199" t="s">
        <v>1081</v>
      </c>
      <c r="P9" s="1199" t="s">
        <v>1081</v>
      </c>
      <c r="Q9" s="1199" t="s">
        <v>1081</v>
      </c>
      <c r="R9" s="1199" t="s">
        <v>1081</v>
      </c>
      <c r="S9" s="1199" t="s">
        <v>1081</v>
      </c>
      <c r="T9" s="1200" t="s">
        <v>1081</v>
      </c>
    </row>
    <row r="10" spans="1:20">
      <c r="B10" s="1183" t="s">
        <v>1707</v>
      </c>
      <c r="C10" s="1199">
        <v>-2132.8000000000002</v>
      </c>
      <c r="D10" s="1199" t="s">
        <v>1081</v>
      </c>
      <c r="E10" s="1199" t="s">
        <v>1081</v>
      </c>
      <c r="F10" s="1199">
        <v>-2132.8000000000002</v>
      </c>
      <c r="G10" s="1199" t="s">
        <v>1081</v>
      </c>
      <c r="H10" s="1199" t="s">
        <v>1081</v>
      </c>
      <c r="I10" s="1199" t="s">
        <v>1081</v>
      </c>
      <c r="J10" s="1199" t="s">
        <v>1081</v>
      </c>
      <c r="K10" s="1199" t="s">
        <v>1081</v>
      </c>
      <c r="L10" s="1199">
        <v>-2132.8000000000002</v>
      </c>
      <c r="M10" s="1199" t="s">
        <v>1081</v>
      </c>
      <c r="N10" s="1199" t="s">
        <v>1081</v>
      </c>
      <c r="O10" s="1199" t="s">
        <v>1081</v>
      </c>
      <c r="P10" s="1199" t="s">
        <v>1081</v>
      </c>
      <c r="Q10" s="1199" t="s">
        <v>1081</v>
      </c>
      <c r="R10" s="1199" t="s">
        <v>1081</v>
      </c>
      <c r="S10" s="1199" t="s">
        <v>1081</v>
      </c>
      <c r="T10" s="1200" t="s">
        <v>1081</v>
      </c>
    </row>
    <row r="11" spans="1:20">
      <c r="B11" s="1183" t="s">
        <v>1708</v>
      </c>
      <c r="C11" s="1199">
        <v>-11441.1</v>
      </c>
      <c r="D11" s="1199" t="s">
        <v>1081</v>
      </c>
      <c r="E11" s="1199" t="s">
        <v>1081</v>
      </c>
      <c r="F11" s="1199">
        <v>-11441.1</v>
      </c>
      <c r="G11" s="1199" t="s">
        <v>1081</v>
      </c>
      <c r="H11" s="1199" t="s">
        <v>1081</v>
      </c>
      <c r="I11" s="1199" t="s">
        <v>1081</v>
      </c>
      <c r="J11" s="1199">
        <v>-11441.1</v>
      </c>
      <c r="K11" s="1199" t="s">
        <v>1081</v>
      </c>
      <c r="L11" s="1199" t="s">
        <v>1081</v>
      </c>
      <c r="M11" s="1199" t="s">
        <v>1081</v>
      </c>
      <c r="N11" s="1199" t="s">
        <v>1081</v>
      </c>
      <c r="O11" s="1199" t="s">
        <v>1081</v>
      </c>
      <c r="P11" s="1199" t="s">
        <v>1081</v>
      </c>
      <c r="Q11" s="1199" t="s">
        <v>1081</v>
      </c>
      <c r="R11" s="1199" t="s">
        <v>1081</v>
      </c>
      <c r="S11" s="1199" t="s">
        <v>1081</v>
      </c>
      <c r="T11" s="1200" t="s">
        <v>1081</v>
      </c>
    </row>
    <row r="12" spans="1:20">
      <c r="B12" s="1187" t="s">
        <v>1709</v>
      </c>
      <c r="C12" s="1199">
        <v>23320.1</v>
      </c>
      <c r="D12" s="1199">
        <v>2572.6999999999998</v>
      </c>
      <c r="E12" s="1199" t="s">
        <v>1081</v>
      </c>
      <c r="F12" s="1199">
        <v>7955.7</v>
      </c>
      <c r="G12" s="1199" t="s">
        <v>1081</v>
      </c>
      <c r="H12" s="1199">
        <v>-170.7</v>
      </c>
      <c r="I12" s="1199">
        <v>2168.5</v>
      </c>
      <c r="J12" s="1199">
        <v>354</v>
      </c>
      <c r="K12" s="1199">
        <v>-43</v>
      </c>
      <c r="L12" s="1199">
        <v>2218.1</v>
      </c>
      <c r="M12" s="1199">
        <v>2663.5</v>
      </c>
      <c r="N12" s="1199">
        <v>122.8</v>
      </c>
      <c r="O12" s="1199">
        <v>642.5</v>
      </c>
      <c r="P12" s="1199">
        <v>12651.5</v>
      </c>
      <c r="Q12" s="1199">
        <v>37.799999999999997</v>
      </c>
      <c r="R12" s="1199" t="s">
        <v>1081</v>
      </c>
      <c r="S12" s="1199" t="s">
        <v>1081</v>
      </c>
      <c r="T12" s="1200">
        <v>102.4</v>
      </c>
    </row>
    <row r="13" spans="1:20">
      <c r="B13" s="1186" t="s">
        <v>1710</v>
      </c>
      <c r="C13" s="1201">
        <v>651928.6</v>
      </c>
      <c r="D13" s="1201">
        <v>283476.7</v>
      </c>
      <c r="E13" s="1199" t="s">
        <v>1081</v>
      </c>
      <c r="F13" s="1201">
        <v>-90266.7</v>
      </c>
      <c r="G13" s="1199" t="s">
        <v>1081</v>
      </c>
      <c r="H13" s="1199">
        <v>-905.8</v>
      </c>
      <c r="I13" s="1199">
        <v>3943.9</v>
      </c>
      <c r="J13" s="1199">
        <v>-21297.8</v>
      </c>
      <c r="K13" s="1199">
        <v>581.29999999999995</v>
      </c>
      <c r="L13" s="1199">
        <v>-69981.5</v>
      </c>
      <c r="M13" s="1199">
        <v>3581.1</v>
      </c>
      <c r="N13" s="1199">
        <v>122.8</v>
      </c>
      <c r="O13" s="1199">
        <v>-6310.7</v>
      </c>
      <c r="P13" s="1201">
        <v>445862.1</v>
      </c>
      <c r="Q13" s="1201">
        <v>12660.2</v>
      </c>
      <c r="R13" s="1199" t="s">
        <v>1081</v>
      </c>
      <c r="S13" s="1201">
        <v>-567</v>
      </c>
      <c r="T13" s="1202">
        <v>763.3</v>
      </c>
    </row>
    <row r="14" spans="1:20">
      <c r="B14" s="1185" t="s">
        <v>1711</v>
      </c>
      <c r="C14" s="1201">
        <v>6271</v>
      </c>
      <c r="D14" s="1201">
        <v>1585.9</v>
      </c>
      <c r="E14" s="1199" t="s">
        <v>1081</v>
      </c>
      <c r="F14" s="1201">
        <v>2512.8000000000002</v>
      </c>
      <c r="G14" s="1199" t="s">
        <v>1081</v>
      </c>
      <c r="H14" s="1199">
        <v>33.4</v>
      </c>
      <c r="I14" s="1199">
        <v>846.7</v>
      </c>
      <c r="J14" s="1199" t="s">
        <v>1081</v>
      </c>
      <c r="K14" s="1199">
        <v>86.1</v>
      </c>
      <c r="L14" s="1199">
        <v>1032.2</v>
      </c>
      <c r="M14" s="1199">
        <v>72.400000000000006</v>
      </c>
      <c r="N14" s="1199">
        <v>429.9</v>
      </c>
      <c r="O14" s="1199">
        <v>12.1</v>
      </c>
      <c r="P14" s="1201">
        <v>1785.3</v>
      </c>
      <c r="Q14" s="1199" t="s">
        <v>1081</v>
      </c>
      <c r="R14" s="1199" t="s">
        <v>1081</v>
      </c>
      <c r="S14" s="1201">
        <v>387</v>
      </c>
      <c r="T14" s="1200" t="s">
        <v>1081</v>
      </c>
    </row>
    <row r="15" spans="1:20">
      <c r="B15" s="1185" t="s">
        <v>1712</v>
      </c>
      <c r="C15" s="1199" t="s">
        <v>1081</v>
      </c>
      <c r="D15" s="1199" t="s">
        <v>1081</v>
      </c>
      <c r="E15" s="1199" t="s">
        <v>1081</v>
      </c>
      <c r="F15" s="1199" t="s">
        <v>1081</v>
      </c>
      <c r="G15" s="1199" t="s">
        <v>1081</v>
      </c>
      <c r="H15" s="1199" t="s">
        <v>1081</v>
      </c>
      <c r="I15" s="1199" t="s">
        <v>1081</v>
      </c>
      <c r="J15" s="1199" t="s">
        <v>1081</v>
      </c>
      <c r="K15" s="1199" t="s">
        <v>1081</v>
      </c>
      <c r="L15" s="1199" t="s">
        <v>1081</v>
      </c>
      <c r="M15" s="1199" t="s">
        <v>1081</v>
      </c>
      <c r="N15" s="1199" t="s">
        <v>1081</v>
      </c>
      <c r="O15" s="1199" t="s">
        <v>1081</v>
      </c>
      <c r="P15" s="1199" t="s">
        <v>1081</v>
      </c>
      <c r="Q15" s="1199" t="s">
        <v>1081</v>
      </c>
      <c r="R15" s="1199" t="s">
        <v>1081</v>
      </c>
      <c r="S15" s="1199" t="s">
        <v>1081</v>
      </c>
      <c r="T15" s="1200" t="s">
        <v>1081</v>
      </c>
    </row>
    <row r="16" spans="1:20">
      <c r="B16" s="1185" t="s">
        <v>1713</v>
      </c>
      <c r="C16" s="1201">
        <v>-159995.5</v>
      </c>
      <c r="D16" s="1201">
        <v>-279456</v>
      </c>
      <c r="E16" s="1199" t="s">
        <v>1081</v>
      </c>
      <c r="F16" s="1201">
        <v>253727.1</v>
      </c>
      <c r="G16" s="1199">
        <v>9170.6</v>
      </c>
      <c r="H16" s="1199">
        <v>8171.4</v>
      </c>
      <c r="I16" s="1199">
        <v>52868.800000000003</v>
      </c>
      <c r="J16" s="1199">
        <v>29725.3</v>
      </c>
      <c r="K16" s="1199" t="s">
        <v>1081</v>
      </c>
      <c r="L16" s="1199">
        <v>116800.7</v>
      </c>
      <c r="M16" s="1199">
        <v>-2756.9</v>
      </c>
      <c r="N16" s="1199">
        <v>7034.9</v>
      </c>
      <c r="O16" s="1199">
        <v>32712.3</v>
      </c>
      <c r="P16" s="1201">
        <v>-220267.1</v>
      </c>
      <c r="Q16" s="1201">
        <v>-9378.7999999999993</v>
      </c>
      <c r="R16" s="1201">
        <v>6501.1</v>
      </c>
      <c r="S16" s="1201">
        <v>88878.2</v>
      </c>
      <c r="T16" s="1200" t="s">
        <v>1081</v>
      </c>
    </row>
    <row r="17" spans="2:20">
      <c r="B17" s="1183" t="s">
        <v>1714</v>
      </c>
      <c r="C17" s="1199">
        <v>-90683.7</v>
      </c>
      <c r="D17" s="1199" t="s">
        <v>1081</v>
      </c>
      <c r="E17" s="1199" t="s">
        <v>1081</v>
      </c>
      <c r="F17" s="1199">
        <v>-2396.6</v>
      </c>
      <c r="G17" s="1199" t="s">
        <v>1081</v>
      </c>
      <c r="H17" s="1199" t="s">
        <v>1081</v>
      </c>
      <c r="I17" s="1199" t="s">
        <v>1081</v>
      </c>
      <c r="J17" s="1199" t="s">
        <v>1081</v>
      </c>
      <c r="K17" s="1199" t="s">
        <v>1081</v>
      </c>
      <c r="L17" s="1199">
        <v>-174.9</v>
      </c>
      <c r="M17" s="1199">
        <v>-2221.6999999999998</v>
      </c>
      <c r="N17" s="1199" t="s">
        <v>1081</v>
      </c>
      <c r="O17" s="1199" t="s">
        <v>1081</v>
      </c>
      <c r="P17" s="1199">
        <v>-139135.6</v>
      </c>
      <c r="Q17" s="1199">
        <v>-8964.7999999999993</v>
      </c>
      <c r="R17" s="1199" t="s">
        <v>1081</v>
      </c>
      <c r="S17" s="1199">
        <v>59813.3</v>
      </c>
      <c r="T17" s="1200" t="s">
        <v>1081</v>
      </c>
    </row>
    <row r="18" spans="2:20">
      <c r="B18" s="1183" t="s">
        <v>1715</v>
      </c>
      <c r="C18" s="1199">
        <v>-57810.3</v>
      </c>
      <c r="D18" s="1199" t="s">
        <v>1081</v>
      </c>
      <c r="E18" s="1199" t="s">
        <v>1081</v>
      </c>
      <c r="F18" s="1199">
        <v>-14315.8</v>
      </c>
      <c r="G18" s="1199" t="s">
        <v>1081</v>
      </c>
      <c r="H18" s="1199" t="s">
        <v>1081</v>
      </c>
      <c r="I18" s="1199" t="s">
        <v>1081</v>
      </c>
      <c r="J18" s="1199" t="s">
        <v>1081</v>
      </c>
      <c r="K18" s="1199" t="s">
        <v>1081</v>
      </c>
      <c r="L18" s="1199">
        <v>-17</v>
      </c>
      <c r="M18" s="1199">
        <v>-14298.8</v>
      </c>
      <c r="N18" s="1199" t="s">
        <v>1081</v>
      </c>
      <c r="O18" s="1199" t="s">
        <v>1081</v>
      </c>
      <c r="P18" s="1199">
        <v>-73635.899999999994</v>
      </c>
      <c r="Q18" s="1199" t="s">
        <v>1081</v>
      </c>
      <c r="R18" s="1199">
        <v>1076.5</v>
      </c>
      <c r="S18" s="1199">
        <v>29064.9</v>
      </c>
      <c r="T18" s="1200" t="s">
        <v>1081</v>
      </c>
    </row>
    <row r="19" spans="2:20">
      <c r="B19" s="1183" t="s">
        <v>1716</v>
      </c>
      <c r="C19" s="1199">
        <v>-1814.6</v>
      </c>
      <c r="D19" s="1199" t="s">
        <v>1081</v>
      </c>
      <c r="E19" s="1199" t="s">
        <v>1081</v>
      </c>
      <c r="F19" s="1199">
        <v>-17</v>
      </c>
      <c r="G19" s="1199" t="s">
        <v>1081</v>
      </c>
      <c r="H19" s="1199" t="s">
        <v>1081</v>
      </c>
      <c r="I19" s="1199" t="s">
        <v>1081</v>
      </c>
      <c r="J19" s="1199" t="s">
        <v>1081</v>
      </c>
      <c r="K19" s="1199" t="s">
        <v>1081</v>
      </c>
      <c r="L19" s="1199">
        <v>-4.3</v>
      </c>
      <c r="M19" s="1199">
        <v>-12.7</v>
      </c>
      <c r="N19" s="1199" t="s">
        <v>1081</v>
      </c>
      <c r="O19" s="1199" t="s">
        <v>1081</v>
      </c>
      <c r="P19" s="1199">
        <v>-7222.2</v>
      </c>
      <c r="Q19" s="1199" t="s">
        <v>1081</v>
      </c>
      <c r="R19" s="1199">
        <v>5424.6</v>
      </c>
      <c r="S19" s="1199" t="s">
        <v>1081</v>
      </c>
      <c r="T19" s="1200" t="s">
        <v>1081</v>
      </c>
    </row>
    <row r="20" spans="2:20">
      <c r="B20" s="1183" t="s">
        <v>1060</v>
      </c>
      <c r="C20" s="1199">
        <v>1524.6</v>
      </c>
      <c r="D20" s="1199" t="s">
        <v>1081</v>
      </c>
      <c r="E20" s="1199" t="s">
        <v>1081</v>
      </c>
      <c r="F20" s="1199">
        <v>1798</v>
      </c>
      <c r="G20" s="1199" t="s">
        <v>1081</v>
      </c>
      <c r="H20" s="1199">
        <v>711.4</v>
      </c>
      <c r="I20" s="1199" t="s">
        <v>1081</v>
      </c>
      <c r="J20" s="1199" t="s">
        <v>1081</v>
      </c>
      <c r="K20" s="1199" t="s">
        <v>1081</v>
      </c>
      <c r="L20" s="1199" t="s">
        <v>1081</v>
      </c>
      <c r="M20" s="1199" t="s">
        <v>1081</v>
      </c>
      <c r="N20" s="1199" t="s">
        <v>1081</v>
      </c>
      <c r="O20" s="1199">
        <v>1086.5999999999999</v>
      </c>
      <c r="P20" s="1199">
        <v>-273.39999999999998</v>
      </c>
      <c r="Q20" s="1199" t="s">
        <v>1081</v>
      </c>
      <c r="R20" s="1199" t="s">
        <v>1081</v>
      </c>
      <c r="S20" s="1199" t="s">
        <v>1081</v>
      </c>
      <c r="T20" s="1200" t="s">
        <v>1081</v>
      </c>
    </row>
    <row r="21" spans="2:20">
      <c r="B21" s="1183" t="s">
        <v>1717</v>
      </c>
      <c r="C21" s="1199" t="s">
        <v>1081</v>
      </c>
      <c r="D21" s="1199" t="s">
        <v>1081</v>
      </c>
      <c r="E21" s="1199" t="s">
        <v>1081</v>
      </c>
      <c r="F21" s="1199" t="s">
        <v>1081</v>
      </c>
      <c r="G21" s="1199" t="s">
        <v>1081</v>
      </c>
      <c r="H21" s="1199" t="s">
        <v>1081</v>
      </c>
      <c r="I21" s="1199" t="s">
        <v>1081</v>
      </c>
      <c r="J21" s="1199" t="s">
        <v>1081</v>
      </c>
      <c r="K21" s="1199" t="s">
        <v>1081</v>
      </c>
      <c r="L21" s="1199" t="s">
        <v>1081</v>
      </c>
      <c r="M21" s="1199" t="s">
        <v>1081</v>
      </c>
      <c r="N21" s="1199" t="s">
        <v>1081</v>
      </c>
      <c r="O21" s="1199" t="s">
        <v>1081</v>
      </c>
      <c r="P21" s="1199" t="s">
        <v>1081</v>
      </c>
      <c r="Q21" s="1199" t="s">
        <v>1081</v>
      </c>
      <c r="R21" s="1199" t="s">
        <v>1081</v>
      </c>
      <c r="S21" s="1199" t="s">
        <v>1081</v>
      </c>
      <c r="T21" s="1200" t="s">
        <v>1081</v>
      </c>
    </row>
    <row r="22" spans="2:20">
      <c r="B22" s="1184" t="s">
        <v>1642</v>
      </c>
      <c r="C22" s="1199">
        <v>-11785.7</v>
      </c>
      <c r="D22" s="1199">
        <v>-279456</v>
      </c>
      <c r="E22" s="1199" t="s">
        <v>1081</v>
      </c>
      <c r="F22" s="1199">
        <v>267670.3</v>
      </c>
      <c r="G22" s="1199">
        <v>9170.6</v>
      </c>
      <c r="H22" s="1199">
        <v>7460</v>
      </c>
      <c r="I22" s="1199">
        <v>52868.800000000003</v>
      </c>
      <c r="J22" s="1199">
        <v>29725.3</v>
      </c>
      <c r="K22" s="1199" t="s">
        <v>1081</v>
      </c>
      <c r="L22" s="1199">
        <v>116996.9</v>
      </c>
      <c r="M22" s="1199">
        <v>13776.3</v>
      </c>
      <c r="N22" s="1199">
        <v>7034.9</v>
      </c>
      <c r="O22" s="1199">
        <v>30637.5</v>
      </c>
      <c r="P22" s="1199" t="s">
        <v>1081</v>
      </c>
      <c r="Q22" s="1199" t="s">
        <v>1081</v>
      </c>
      <c r="R22" s="1199" t="s">
        <v>1081</v>
      </c>
      <c r="S22" s="1199" t="s">
        <v>1081</v>
      </c>
      <c r="T22" s="1200" t="s">
        <v>1081</v>
      </c>
    </row>
    <row r="23" spans="2:20">
      <c r="B23" s="1184" t="s">
        <v>1718</v>
      </c>
      <c r="C23" s="1199">
        <v>988.2</v>
      </c>
      <c r="D23" s="1199" t="s">
        <v>1081</v>
      </c>
      <c r="E23" s="1199" t="s">
        <v>1081</v>
      </c>
      <c r="F23" s="1199">
        <v>988.2</v>
      </c>
      <c r="G23" s="1199" t="s">
        <v>1081</v>
      </c>
      <c r="H23" s="1199" t="s">
        <v>1081</v>
      </c>
      <c r="I23" s="1199" t="s">
        <v>1081</v>
      </c>
      <c r="J23" s="1199" t="s">
        <v>1081</v>
      </c>
      <c r="K23" s="1199" t="s">
        <v>1081</v>
      </c>
      <c r="L23" s="1199" t="s">
        <v>1081</v>
      </c>
      <c r="M23" s="1199" t="s">
        <v>1081</v>
      </c>
      <c r="N23" s="1199" t="s">
        <v>1081</v>
      </c>
      <c r="O23" s="1199">
        <v>988.2</v>
      </c>
      <c r="P23" s="1199" t="s">
        <v>1081</v>
      </c>
      <c r="Q23" s="1199" t="s">
        <v>1081</v>
      </c>
      <c r="R23" s="1199" t="s">
        <v>1081</v>
      </c>
      <c r="S23" s="1199" t="s">
        <v>1081</v>
      </c>
      <c r="T23" s="1200" t="s">
        <v>1081</v>
      </c>
    </row>
    <row r="24" spans="2:20">
      <c r="B24" s="1183" t="s">
        <v>1719</v>
      </c>
      <c r="C24" s="1199">
        <v>-414</v>
      </c>
      <c r="D24" s="1199" t="s">
        <v>1081</v>
      </c>
      <c r="E24" s="1199" t="s">
        <v>1081</v>
      </c>
      <c r="F24" s="1199" t="s">
        <v>1081</v>
      </c>
      <c r="G24" s="1199" t="s">
        <v>1081</v>
      </c>
      <c r="H24" s="1199" t="s">
        <v>1081</v>
      </c>
      <c r="I24" s="1199" t="s">
        <v>1081</v>
      </c>
      <c r="J24" s="1199" t="s">
        <v>1081</v>
      </c>
      <c r="K24" s="1199" t="s">
        <v>1081</v>
      </c>
      <c r="L24" s="1199" t="s">
        <v>1081</v>
      </c>
      <c r="M24" s="1199" t="s">
        <v>1081</v>
      </c>
      <c r="N24" s="1199" t="s">
        <v>1081</v>
      </c>
      <c r="O24" s="1199" t="s">
        <v>1081</v>
      </c>
      <c r="P24" s="1199" t="s">
        <v>1081</v>
      </c>
      <c r="Q24" s="1199">
        <v>-414</v>
      </c>
      <c r="R24" s="1199" t="s">
        <v>1081</v>
      </c>
      <c r="S24" s="1199" t="s">
        <v>1081</v>
      </c>
      <c r="T24" s="1200" t="s">
        <v>1081</v>
      </c>
    </row>
    <row r="25" spans="2:20">
      <c r="B25" s="1182" t="s">
        <v>1720</v>
      </c>
      <c r="C25" s="1201">
        <v>48858</v>
      </c>
      <c r="D25" s="1201">
        <v>491.3</v>
      </c>
      <c r="E25" s="1199" t="s">
        <v>1081</v>
      </c>
      <c r="F25" s="1201">
        <v>13938.9</v>
      </c>
      <c r="G25" s="1199">
        <v>9170.6</v>
      </c>
      <c r="H25" s="1199" t="s">
        <v>1081</v>
      </c>
      <c r="I25" s="1199" t="s">
        <v>1081</v>
      </c>
      <c r="J25" s="1199" t="s">
        <v>1081</v>
      </c>
      <c r="K25" s="1199" t="s">
        <v>1081</v>
      </c>
      <c r="L25" s="1199" t="s">
        <v>1081</v>
      </c>
      <c r="M25" s="1199" t="s">
        <v>1081</v>
      </c>
      <c r="N25" s="1199" t="s">
        <v>1081</v>
      </c>
      <c r="O25" s="1199">
        <v>4768.3</v>
      </c>
      <c r="P25" s="1201">
        <v>19647.2</v>
      </c>
      <c r="Q25" s="1199" t="s">
        <v>1081</v>
      </c>
      <c r="R25" s="1201">
        <v>612.1</v>
      </c>
      <c r="S25" s="1201">
        <v>14168.5</v>
      </c>
      <c r="T25" s="1200" t="s">
        <v>1081</v>
      </c>
    </row>
    <row r="26" spans="2:20">
      <c r="B26" s="1182" t="s">
        <v>1721</v>
      </c>
      <c r="C26" s="1201">
        <v>55461.8</v>
      </c>
      <c r="D26" s="1201">
        <v>1943.5</v>
      </c>
      <c r="E26" s="1199" t="s">
        <v>1081</v>
      </c>
      <c r="F26" s="1199" t="s">
        <v>1081</v>
      </c>
      <c r="G26" s="1199" t="s">
        <v>1081</v>
      </c>
      <c r="H26" s="1199" t="s">
        <v>1081</v>
      </c>
      <c r="I26" s="1199" t="s">
        <v>1081</v>
      </c>
      <c r="J26" s="1199" t="s">
        <v>1081</v>
      </c>
      <c r="K26" s="1199" t="s">
        <v>1081</v>
      </c>
      <c r="L26" s="1199" t="s">
        <v>1081</v>
      </c>
      <c r="M26" s="1199" t="s">
        <v>1081</v>
      </c>
      <c r="N26" s="1199" t="s">
        <v>1081</v>
      </c>
      <c r="O26" s="1199" t="s">
        <v>1081</v>
      </c>
      <c r="P26" s="1201">
        <v>42458.2</v>
      </c>
      <c r="Q26" s="1199" t="s">
        <v>1081</v>
      </c>
      <c r="R26" s="1201">
        <v>733.1</v>
      </c>
      <c r="S26" s="1201">
        <v>10327</v>
      </c>
      <c r="T26" s="1200" t="s">
        <v>1081</v>
      </c>
    </row>
    <row r="27" spans="2:20">
      <c r="B27" s="1182" t="s">
        <v>1722</v>
      </c>
      <c r="C27" s="1201">
        <v>381342.3</v>
      </c>
      <c r="D27" s="1199" t="s">
        <v>1081</v>
      </c>
      <c r="E27" s="1199" t="s">
        <v>1081</v>
      </c>
      <c r="F27" s="1201">
        <v>147008.70000000001</v>
      </c>
      <c r="G27" s="1199" t="s">
        <v>1081</v>
      </c>
      <c r="H27" s="1199">
        <v>7232.2</v>
      </c>
      <c r="I27" s="1199">
        <v>55966</v>
      </c>
      <c r="J27" s="1199">
        <v>8427.5</v>
      </c>
      <c r="K27" s="1199">
        <v>495.2</v>
      </c>
      <c r="L27" s="1199">
        <v>45787</v>
      </c>
      <c r="M27" s="1199">
        <v>751.8</v>
      </c>
      <c r="N27" s="1199">
        <v>6727.8</v>
      </c>
      <c r="O27" s="1199">
        <v>21621.200000000001</v>
      </c>
      <c r="P27" s="1201">
        <v>161704.29999999999</v>
      </c>
      <c r="Q27" s="1201">
        <v>3281.4</v>
      </c>
      <c r="R27" s="1201">
        <v>5155.8999999999996</v>
      </c>
      <c r="S27" s="1201">
        <v>63428.7</v>
      </c>
      <c r="T27" s="1202">
        <v>763.3</v>
      </c>
    </row>
    <row r="28" spans="2:20">
      <c r="B28" s="1182" t="s">
        <v>1723</v>
      </c>
      <c r="C28" s="1201">
        <v>344985</v>
      </c>
      <c r="D28" s="1199" t="s">
        <v>1081</v>
      </c>
      <c r="E28" s="1199" t="s">
        <v>1081</v>
      </c>
      <c r="F28" s="1201">
        <v>112682.9</v>
      </c>
      <c r="G28" s="1199" t="s">
        <v>1081</v>
      </c>
      <c r="H28" s="1199">
        <v>2119.8000000000002</v>
      </c>
      <c r="I28" s="1199">
        <v>55966</v>
      </c>
      <c r="J28" s="1199">
        <v>8151.2</v>
      </c>
      <c r="K28" s="1199">
        <v>68.900000000000006</v>
      </c>
      <c r="L28" s="1199">
        <v>45710.2</v>
      </c>
      <c r="M28" s="1199">
        <v>666.8</v>
      </c>
      <c r="N28" s="1199" t="s">
        <v>1081</v>
      </c>
      <c r="O28" s="1199" t="s">
        <v>1081</v>
      </c>
      <c r="P28" s="1201">
        <v>160306</v>
      </c>
      <c r="Q28" s="1201">
        <v>3281.4</v>
      </c>
      <c r="R28" s="1201">
        <v>5155.8999999999996</v>
      </c>
      <c r="S28" s="1201">
        <v>63428.7</v>
      </c>
      <c r="T28" s="1202">
        <v>130.1</v>
      </c>
    </row>
    <row r="29" spans="2:20">
      <c r="B29" s="1181" t="s">
        <v>1725</v>
      </c>
      <c r="C29" s="1201">
        <v>56164.5</v>
      </c>
      <c r="D29" s="1199" t="s">
        <v>1081</v>
      </c>
      <c r="E29" s="1199" t="s">
        <v>1081</v>
      </c>
      <c r="F29" s="1201">
        <v>2827.8</v>
      </c>
      <c r="G29" s="1199" t="s">
        <v>1081</v>
      </c>
      <c r="H29" s="1199">
        <v>147</v>
      </c>
      <c r="I29" s="1199" t="s">
        <v>1081</v>
      </c>
      <c r="J29" s="1199" t="s">
        <v>1081</v>
      </c>
      <c r="K29" s="1199">
        <v>4.3</v>
      </c>
      <c r="L29" s="1199">
        <v>2137.1</v>
      </c>
      <c r="M29" s="1199">
        <v>539.4</v>
      </c>
      <c r="N29" s="1199" t="s">
        <v>1081</v>
      </c>
      <c r="O29" s="1199" t="s">
        <v>1081</v>
      </c>
      <c r="P29" s="1201">
        <v>41930.9</v>
      </c>
      <c r="Q29" s="1201">
        <v>19</v>
      </c>
      <c r="R29" s="1199" t="s">
        <v>1081</v>
      </c>
      <c r="S29" s="1201">
        <v>11386.8</v>
      </c>
      <c r="T29" s="1200" t="s">
        <v>1081</v>
      </c>
    </row>
    <row r="30" spans="2:20">
      <c r="B30" s="1176" t="s">
        <v>1727</v>
      </c>
      <c r="C30" s="1199">
        <v>2787.2</v>
      </c>
      <c r="D30" s="1199" t="s">
        <v>1081</v>
      </c>
      <c r="E30" s="1199" t="s">
        <v>1081</v>
      </c>
      <c r="F30" s="1199">
        <v>25.5</v>
      </c>
      <c r="G30" s="1199" t="s">
        <v>1081</v>
      </c>
      <c r="H30" s="1199" t="s">
        <v>1081</v>
      </c>
      <c r="I30" s="1199" t="s">
        <v>1081</v>
      </c>
      <c r="J30" s="1199" t="s">
        <v>1081</v>
      </c>
      <c r="K30" s="1199" t="s">
        <v>1081</v>
      </c>
      <c r="L30" s="1199" t="s">
        <v>1081</v>
      </c>
      <c r="M30" s="1199">
        <v>25.5</v>
      </c>
      <c r="N30" s="1199" t="s">
        <v>1081</v>
      </c>
      <c r="O30" s="1199" t="s">
        <v>1081</v>
      </c>
      <c r="P30" s="1199">
        <v>1835.8</v>
      </c>
      <c r="Q30" s="1199" t="s">
        <v>1081</v>
      </c>
      <c r="R30" s="1199" t="s">
        <v>1081</v>
      </c>
      <c r="S30" s="1199">
        <v>925.9</v>
      </c>
      <c r="T30" s="1200" t="s">
        <v>1081</v>
      </c>
    </row>
    <row r="31" spans="2:20">
      <c r="B31" s="1176" t="s">
        <v>1729</v>
      </c>
      <c r="C31" s="1199">
        <v>11521.8</v>
      </c>
      <c r="D31" s="1199" t="s">
        <v>1081</v>
      </c>
      <c r="E31" s="1199" t="s">
        <v>1081</v>
      </c>
      <c r="F31" s="1199">
        <v>8.6</v>
      </c>
      <c r="G31" s="1199" t="s">
        <v>1081</v>
      </c>
      <c r="H31" s="1199" t="s">
        <v>1081</v>
      </c>
      <c r="I31" s="1199" t="s">
        <v>1081</v>
      </c>
      <c r="J31" s="1199" t="s">
        <v>1081</v>
      </c>
      <c r="K31" s="1199">
        <v>4.3</v>
      </c>
      <c r="L31" s="1199">
        <v>4.3</v>
      </c>
      <c r="M31" s="1199" t="s">
        <v>1081</v>
      </c>
      <c r="N31" s="1199" t="s">
        <v>1081</v>
      </c>
      <c r="O31" s="1199" t="s">
        <v>1081</v>
      </c>
      <c r="P31" s="1199">
        <v>10151.700000000001</v>
      </c>
      <c r="Q31" s="1199" t="s">
        <v>1081</v>
      </c>
      <c r="R31" s="1199" t="s">
        <v>1081</v>
      </c>
      <c r="S31" s="1199">
        <v>1361.5</v>
      </c>
      <c r="T31" s="1200" t="s">
        <v>1081</v>
      </c>
    </row>
    <row r="32" spans="2:20">
      <c r="B32" s="1176" t="s">
        <v>1730</v>
      </c>
      <c r="C32" s="1199">
        <v>3130</v>
      </c>
      <c r="D32" s="1199" t="s">
        <v>1081</v>
      </c>
      <c r="E32" s="1199" t="s">
        <v>1081</v>
      </c>
      <c r="F32" s="1199">
        <v>4.2</v>
      </c>
      <c r="G32" s="1199" t="s">
        <v>1081</v>
      </c>
      <c r="H32" s="1199" t="s">
        <v>1081</v>
      </c>
      <c r="I32" s="1199" t="s">
        <v>1081</v>
      </c>
      <c r="J32" s="1199" t="s">
        <v>1081</v>
      </c>
      <c r="K32" s="1199" t="s">
        <v>1081</v>
      </c>
      <c r="L32" s="1199" t="s">
        <v>1081</v>
      </c>
      <c r="M32" s="1199">
        <v>4.2</v>
      </c>
      <c r="N32" s="1199" t="s">
        <v>1081</v>
      </c>
      <c r="O32" s="1199" t="s">
        <v>1081</v>
      </c>
      <c r="P32" s="1199">
        <v>168</v>
      </c>
      <c r="Q32" s="1199" t="s">
        <v>1081</v>
      </c>
      <c r="R32" s="1199" t="s">
        <v>1081</v>
      </c>
      <c r="S32" s="1199">
        <v>2957.8</v>
      </c>
      <c r="T32" s="1200" t="s">
        <v>1081</v>
      </c>
    </row>
    <row r="33" spans="2:20">
      <c r="B33" s="1176" t="s">
        <v>1732</v>
      </c>
      <c r="C33" s="1199">
        <v>11138.4</v>
      </c>
      <c r="D33" s="1199" t="s">
        <v>1081</v>
      </c>
      <c r="E33" s="1199" t="s">
        <v>1081</v>
      </c>
      <c r="F33" s="1199">
        <v>38.299999999999997</v>
      </c>
      <c r="G33" s="1199" t="s">
        <v>1081</v>
      </c>
      <c r="H33" s="1199" t="s">
        <v>1081</v>
      </c>
      <c r="I33" s="1199" t="s">
        <v>1081</v>
      </c>
      <c r="J33" s="1199" t="s">
        <v>1081</v>
      </c>
      <c r="K33" s="1199" t="s">
        <v>1081</v>
      </c>
      <c r="L33" s="1199">
        <v>4.3</v>
      </c>
      <c r="M33" s="1199">
        <v>34</v>
      </c>
      <c r="N33" s="1199" t="s">
        <v>1081</v>
      </c>
      <c r="O33" s="1199" t="s">
        <v>1081</v>
      </c>
      <c r="P33" s="1199">
        <v>9960.2999999999993</v>
      </c>
      <c r="Q33" s="1199" t="s">
        <v>1081</v>
      </c>
      <c r="R33" s="1199" t="s">
        <v>1081</v>
      </c>
      <c r="S33" s="1199">
        <v>1139.8</v>
      </c>
      <c r="T33" s="1200" t="s">
        <v>1081</v>
      </c>
    </row>
    <row r="34" spans="2:20">
      <c r="B34" s="1176" t="s">
        <v>1734</v>
      </c>
      <c r="C34" s="1199">
        <v>390.2</v>
      </c>
      <c r="D34" s="1199" t="s">
        <v>1081</v>
      </c>
      <c r="E34" s="1199" t="s">
        <v>1081</v>
      </c>
      <c r="F34" s="1199">
        <v>4.3</v>
      </c>
      <c r="G34" s="1199" t="s">
        <v>1081</v>
      </c>
      <c r="H34" s="1199" t="s">
        <v>1081</v>
      </c>
      <c r="I34" s="1199" t="s">
        <v>1081</v>
      </c>
      <c r="J34" s="1199" t="s">
        <v>1081</v>
      </c>
      <c r="K34" s="1199" t="s">
        <v>1081</v>
      </c>
      <c r="L34" s="1199">
        <v>4.3</v>
      </c>
      <c r="M34" s="1199" t="s">
        <v>1081</v>
      </c>
      <c r="N34" s="1199" t="s">
        <v>1081</v>
      </c>
      <c r="O34" s="1199" t="s">
        <v>1081</v>
      </c>
      <c r="P34" s="1199">
        <v>367.2</v>
      </c>
      <c r="Q34" s="1199" t="s">
        <v>1081</v>
      </c>
      <c r="R34" s="1199" t="s">
        <v>1081</v>
      </c>
      <c r="S34" s="1199">
        <v>18.7</v>
      </c>
      <c r="T34" s="1200" t="s">
        <v>1081</v>
      </c>
    </row>
    <row r="35" spans="2:20">
      <c r="B35" s="1176" t="s">
        <v>1010</v>
      </c>
      <c r="C35" s="1199">
        <v>1811.6</v>
      </c>
      <c r="D35" s="1199" t="s">
        <v>1081</v>
      </c>
      <c r="E35" s="1199" t="s">
        <v>1081</v>
      </c>
      <c r="F35" s="1199">
        <v>4.3</v>
      </c>
      <c r="G35" s="1199" t="s">
        <v>1081</v>
      </c>
      <c r="H35" s="1199" t="s">
        <v>1081</v>
      </c>
      <c r="I35" s="1199" t="s">
        <v>1081</v>
      </c>
      <c r="J35" s="1199" t="s">
        <v>1081</v>
      </c>
      <c r="K35" s="1199" t="s">
        <v>1081</v>
      </c>
      <c r="L35" s="1199">
        <v>4.3</v>
      </c>
      <c r="M35" s="1199" t="s">
        <v>1081</v>
      </c>
      <c r="N35" s="1199" t="s">
        <v>1081</v>
      </c>
      <c r="O35" s="1199" t="s">
        <v>1081</v>
      </c>
      <c r="P35" s="1199">
        <v>1136.5999999999999</v>
      </c>
      <c r="Q35" s="1199" t="s">
        <v>1081</v>
      </c>
      <c r="R35" s="1199" t="s">
        <v>1081</v>
      </c>
      <c r="S35" s="1199">
        <v>670.7</v>
      </c>
      <c r="T35" s="1200" t="s">
        <v>1081</v>
      </c>
    </row>
    <row r="36" spans="2:20">
      <c r="B36" s="1175" t="s">
        <v>948</v>
      </c>
      <c r="C36" s="1199">
        <v>743.7</v>
      </c>
      <c r="D36" s="1199" t="s">
        <v>1081</v>
      </c>
      <c r="E36" s="1199" t="s">
        <v>1081</v>
      </c>
      <c r="F36" s="1199">
        <v>170.6</v>
      </c>
      <c r="G36" s="1199" t="s">
        <v>1081</v>
      </c>
      <c r="H36" s="1199" t="s">
        <v>1081</v>
      </c>
      <c r="I36" s="1199" t="s">
        <v>1081</v>
      </c>
      <c r="J36" s="1199" t="s">
        <v>1081</v>
      </c>
      <c r="K36" s="1199" t="s">
        <v>1081</v>
      </c>
      <c r="L36" s="1199">
        <v>170.6</v>
      </c>
      <c r="M36" s="1199" t="s">
        <v>1081</v>
      </c>
      <c r="N36" s="1199" t="s">
        <v>1081</v>
      </c>
      <c r="O36" s="1199" t="s">
        <v>1081</v>
      </c>
      <c r="P36" s="1199">
        <v>285.10000000000002</v>
      </c>
      <c r="Q36" s="1199" t="s">
        <v>1081</v>
      </c>
      <c r="R36" s="1199" t="s">
        <v>1081</v>
      </c>
      <c r="S36" s="1199">
        <v>288</v>
      </c>
      <c r="T36" s="1200" t="s">
        <v>1081</v>
      </c>
    </row>
    <row r="37" spans="2:20">
      <c r="B37" s="1175" t="s">
        <v>1738</v>
      </c>
      <c r="C37" s="1199">
        <v>16409.599999999999</v>
      </c>
      <c r="D37" s="1199" t="s">
        <v>1081</v>
      </c>
      <c r="E37" s="1199" t="s">
        <v>1081</v>
      </c>
      <c r="F37" s="1199">
        <v>345.5</v>
      </c>
      <c r="G37" s="1199" t="s">
        <v>1081</v>
      </c>
      <c r="H37" s="1199">
        <v>9.5</v>
      </c>
      <c r="I37" s="1199" t="s">
        <v>1081</v>
      </c>
      <c r="J37" s="1199" t="s">
        <v>1081</v>
      </c>
      <c r="K37" s="1199" t="s">
        <v>1081</v>
      </c>
      <c r="L37" s="1199">
        <v>119.4</v>
      </c>
      <c r="M37" s="1199">
        <v>216.6</v>
      </c>
      <c r="N37" s="1199" t="s">
        <v>1081</v>
      </c>
      <c r="O37" s="1199" t="s">
        <v>1081</v>
      </c>
      <c r="P37" s="1199">
        <v>14729.5</v>
      </c>
      <c r="Q37" s="1199">
        <v>12.7</v>
      </c>
      <c r="R37" s="1199" t="s">
        <v>1081</v>
      </c>
      <c r="S37" s="1199">
        <v>1321.9</v>
      </c>
      <c r="T37" s="1200" t="s">
        <v>1081</v>
      </c>
    </row>
    <row r="38" spans="2:20">
      <c r="B38" s="1175" t="s">
        <v>1740</v>
      </c>
      <c r="C38" s="1199">
        <v>248.4</v>
      </c>
      <c r="D38" s="1199" t="s">
        <v>1081</v>
      </c>
      <c r="E38" s="1199" t="s">
        <v>1081</v>
      </c>
      <c r="F38" s="1199" t="s">
        <v>1081</v>
      </c>
      <c r="G38" s="1199" t="s">
        <v>1081</v>
      </c>
      <c r="H38" s="1199" t="s">
        <v>1081</v>
      </c>
      <c r="I38" s="1199" t="s">
        <v>1081</v>
      </c>
      <c r="J38" s="1199" t="s">
        <v>1081</v>
      </c>
      <c r="K38" s="1199" t="s">
        <v>1081</v>
      </c>
      <c r="L38" s="1199" t="s">
        <v>1081</v>
      </c>
      <c r="M38" s="1199" t="s">
        <v>1081</v>
      </c>
      <c r="N38" s="1199" t="s">
        <v>1081</v>
      </c>
      <c r="O38" s="1199" t="s">
        <v>1081</v>
      </c>
      <c r="P38" s="1199">
        <v>78.099999999999994</v>
      </c>
      <c r="Q38" s="1199" t="s">
        <v>1081</v>
      </c>
      <c r="R38" s="1199" t="s">
        <v>1081</v>
      </c>
      <c r="S38" s="1199">
        <v>170.3</v>
      </c>
      <c r="T38" s="1200" t="s">
        <v>1081</v>
      </c>
    </row>
    <row r="39" spans="2:20">
      <c r="B39" s="1176" t="s">
        <v>1742</v>
      </c>
      <c r="C39" s="1199">
        <v>156.9</v>
      </c>
      <c r="D39" s="1199" t="s">
        <v>1081</v>
      </c>
      <c r="E39" s="1199" t="s">
        <v>1081</v>
      </c>
      <c r="F39" s="1199" t="s">
        <v>1081</v>
      </c>
      <c r="G39" s="1199" t="s">
        <v>1081</v>
      </c>
      <c r="H39" s="1199" t="s">
        <v>1081</v>
      </c>
      <c r="I39" s="1199" t="s">
        <v>1081</v>
      </c>
      <c r="J39" s="1199" t="s">
        <v>1081</v>
      </c>
      <c r="K39" s="1199" t="s">
        <v>1081</v>
      </c>
      <c r="L39" s="1199" t="s">
        <v>1081</v>
      </c>
      <c r="M39" s="1199" t="s">
        <v>1081</v>
      </c>
      <c r="N39" s="1199" t="s">
        <v>1081</v>
      </c>
      <c r="O39" s="1199" t="s">
        <v>1081</v>
      </c>
      <c r="P39" s="1199">
        <v>109.4</v>
      </c>
      <c r="Q39" s="1199" t="s">
        <v>1081</v>
      </c>
      <c r="R39" s="1199" t="s">
        <v>1081</v>
      </c>
      <c r="S39" s="1199">
        <v>47.5</v>
      </c>
      <c r="T39" s="1200" t="s">
        <v>1081</v>
      </c>
    </row>
    <row r="40" spans="2:20">
      <c r="B40" s="1175" t="s">
        <v>1744</v>
      </c>
      <c r="C40" s="1199">
        <v>505.9</v>
      </c>
      <c r="D40" s="1199" t="s">
        <v>1081</v>
      </c>
      <c r="E40" s="1199" t="s">
        <v>1081</v>
      </c>
      <c r="F40" s="1199">
        <v>12.7</v>
      </c>
      <c r="G40" s="1199" t="s">
        <v>1081</v>
      </c>
      <c r="H40" s="1199" t="s">
        <v>1081</v>
      </c>
      <c r="I40" s="1199" t="s">
        <v>1081</v>
      </c>
      <c r="J40" s="1199" t="s">
        <v>1081</v>
      </c>
      <c r="K40" s="1199" t="s">
        <v>1081</v>
      </c>
      <c r="L40" s="1199">
        <v>8.5</v>
      </c>
      <c r="M40" s="1199">
        <v>4.2</v>
      </c>
      <c r="N40" s="1199" t="s">
        <v>1081</v>
      </c>
      <c r="O40" s="1199" t="s">
        <v>1081</v>
      </c>
      <c r="P40" s="1199">
        <v>257.8</v>
      </c>
      <c r="Q40" s="1199" t="s">
        <v>1081</v>
      </c>
      <c r="R40" s="1199" t="s">
        <v>1081</v>
      </c>
      <c r="S40" s="1199">
        <v>235.4</v>
      </c>
      <c r="T40" s="1200" t="s">
        <v>1081</v>
      </c>
    </row>
    <row r="41" spans="2:20">
      <c r="B41" s="1175" t="s">
        <v>1000</v>
      </c>
      <c r="C41" s="1199">
        <v>6034</v>
      </c>
      <c r="D41" s="1199" t="s">
        <v>1081</v>
      </c>
      <c r="E41" s="1199" t="s">
        <v>1081</v>
      </c>
      <c r="F41" s="1199">
        <v>2209.5</v>
      </c>
      <c r="G41" s="1199" t="s">
        <v>1081</v>
      </c>
      <c r="H41" s="1199">
        <v>137.5</v>
      </c>
      <c r="I41" s="1199" t="s">
        <v>1081</v>
      </c>
      <c r="J41" s="1199" t="s">
        <v>1081</v>
      </c>
      <c r="K41" s="1199" t="s">
        <v>1081</v>
      </c>
      <c r="L41" s="1199">
        <v>1817.1</v>
      </c>
      <c r="M41" s="1199">
        <v>254.9</v>
      </c>
      <c r="N41" s="1199" t="s">
        <v>1081</v>
      </c>
      <c r="O41" s="1199" t="s">
        <v>1081</v>
      </c>
      <c r="P41" s="1199">
        <v>1874.9</v>
      </c>
      <c r="Q41" s="1199">
        <v>6.3</v>
      </c>
      <c r="R41" s="1199" t="s">
        <v>1081</v>
      </c>
      <c r="S41" s="1199">
        <v>1943.3</v>
      </c>
      <c r="T41" s="1200" t="s">
        <v>1081</v>
      </c>
    </row>
    <row r="42" spans="2:20">
      <c r="B42" s="1176" t="s">
        <v>1745</v>
      </c>
      <c r="C42" s="1199">
        <v>1286.8</v>
      </c>
      <c r="D42" s="1199" t="s">
        <v>1081</v>
      </c>
      <c r="E42" s="1199" t="s">
        <v>1081</v>
      </c>
      <c r="F42" s="1199">
        <v>4.3</v>
      </c>
      <c r="G42" s="1199" t="s">
        <v>1081</v>
      </c>
      <c r="H42" s="1199" t="s">
        <v>1081</v>
      </c>
      <c r="I42" s="1199" t="s">
        <v>1081</v>
      </c>
      <c r="J42" s="1199" t="s">
        <v>1081</v>
      </c>
      <c r="K42" s="1199" t="s">
        <v>1081</v>
      </c>
      <c r="L42" s="1199">
        <v>4.3</v>
      </c>
      <c r="M42" s="1199" t="s">
        <v>1081</v>
      </c>
      <c r="N42" s="1199" t="s">
        <v>1081</v>
      </c>
      <c r="O42" s="1199" t="s">
        <v>1081</v>
      </c>
      <c r="P42" s="1199">
        <v>976.5</v>
      </c>
      <c r="Q42" s="1199" t="s">
        <v>1081</v>
      </c>
      <c r="R42" s="1199" t="s">
        <v>1081</v>
      </c>
      <c r="S42" s="1199">
        <v>306</v>
      </c>
      <c r="T42" s="1200" t="s">
        <v>1081</v>
      </c>
    </row>
    <row r="43" spans="2:20">
      <c r="B43" s="1179" t="s">
        <v>994</v>
      </c>
      <c r="C43" s="1201">
        <v>96866</v>
      </c>
      <c r="D43" s="1199" t="s">
        <v>1081</v>
      </c>
      <c r="E43" s="1199" t="s">
        <v>1081</v>
      </c>
      <c r="F43" s="1201">
        <v>94826.5</v>
      </c>
      <c r="G43" s="1199" t="s">
        <v>1081</v>
      </c>
      <c r="H43" s="1199">
        <v>1005.4</v>
      </c>
      <c r="I43" s="1199">
        <v>55503.8</v>
      </c>
      <c r="J43" s="1199">
        <v>8151.2</v>
      </c>
      <c r="K43" s="1199" t="s">
        <v>1081</v>
      </c>
      <c r="L43" s="1199">
        <v>30106.6</v>
      </c>
      <c r="M43" s="1199">
        <v>59.5</v>
      </c>
      <c r="N43" s="1199" t="s">
        <v>1081</v>
      </c>
      <c r="O43" s="1199" t="s">
        <v>1081</v>
      </c>
      <c r="P43" s="1201">
        <v>171.8</v>
      </c>
      <c r="Q43" s="1201">
        <v>8.4</v>
      </c>
      <c r="R43" s="1199" t="s">
        <v>1081</v>
      </c>
      <c r="S43" s="1201">
        <v>1734.8</v>
      </c>
      <c r="T43" s="1202">
        <v>124.5</v>
      </c>
    </row>
    <row r="44" spans="2:20">
      <c r="B44" s="1175" t="s">
        <v>1747</v>
      </c>
      <c r="C44" s="1199">
        <v>85428.3</v>
      </c>
      <c r="D44" s="1199" t="s">
        <v>1081</v>
      </c>
      <c r="E44" s="1199" t="s">
        <v>1081</v>
      </c>
      <c r="F44" s="1199">
        <v>85276</v>
      </c>
      <c r="G44" s="1199" t="s">
        <v>1081</v>
      </c>
      <c r="H44" s="1199">
        <v>1000.7</v>
      </c>
      <c r="I44" s="1199">
        <v>55503.8</v>
      </c>
      <c r="J44" s="1199" t="s">
        <v>1081</v>
      </c>
      <c r="K44" s="1199" t="s">
        <v>1081</v>
      </c>
      <c r="L44" s="1199">
        <v>28771.5</v>
      </c>
      <c r="M44" s="1199" t="s">
        <v>1081</v>
      </c>
      <c r="N44" s="1199" t="s">
        <v>1081</v>
      </c>
      <c r="O44" s="1199" t="s">
        <v>1081</v>
      </c>
      <c r="P44" s="1199">
        <v>152.30000000000001</v>
      </c>
      <c r="Q44" s="1199" t="s">
        <v>1081</v>
      </c>
      <c r="R44" s="1199" t="s">
        <v>1081</v>
      </c>
      <c r="S44" s="1199" t="s">
        <v>1081</v>
      </c>
      <c r="T44" s="1200" t="s">
        <v>1081</v>
      </c>
    </row>
    <row r="45" spans="2:20">
      <c r="B45" s="1176" t="s">
        <v>992</v>
      </c>
      <c r="C45" s="1199">
        <v>1831.7</v>
      </c>
      <c r="D45" s="1199" t="s">
        <v>1081</v>
      </c>
      <c r="E45" s="1199" t="s">
        <v>1081</v>
      </c>
      <c r="F45" s="1199">
        <v>277.2</v>
      </c>
      <c r="G45" s="1199" t="s">
        <v>1081</v>
      </c>
      <c r="H45" s="1199" t="s">
        <v>1081</v>
      </c>
      <c r="I45" s="1199" t="s">
        <v>1081</v>
      </c>
      <c r="J45" s="1199" t="s">
        <v>1081</v>
      </c>
      <c r="K45" s="1199" t="s">
        <v>1081</v>
      </c>
      <c r="L45" s="1199">
        <v>264.5</v>
      </c>
      <c r="M45" s="1199">
        <v>12.7</v>
      </c>
      <c r="N45" s="1199" t="s">
        <v>1081</v>
      </c>
      <c r="O45" s="1199" t="s">
        <v>1081</v>
      </c>
      <c r="P45" s="1199" t="s">
        <v>1081</v>
      </c>
      <c r="Q45" s="1199">
        <v>8.4</v>
      </c>
      <c r="R45" s="1199" t="s">
        <v>1081</v>
      </c>
      <c r="S45" s="1199">
        <v>1421.6</v>
      </c>
      <c r="T45" s="1200">
        <v>124.5</v>
      </c>
    </row>
    <row r="46" spans="2:20">
      <c r="B46" s="1175" t="s">
        <v>986</v>
      </c>
      <c r="C46" s="1199">
        <v>8159.7</v>
      </c>
      <c r="D46" s="1199" t="s">
        <v>1081</v>
      </c>
      <c r="E46" s="1199" t="s">
        <v>1081</v>
      </c>
      <c r="F46" s="1199">
        <v>8159.7</v>
      </c>
      <c r="G46" s="1199" t="s">
        <v>1081</v>
      </c>
      <c r="H46" s="1199" t="s">
        <v>1081</v>
      </c>
      <c r="I46" s="1199" t="s">
        <v>1081</v>
      </c>
      <c r="J46" s="1199">
        <v>8151.2</v>
      </c>
      <c r="K46" s="1199" t="s">
        <v>1081</v>
      </c>
      <c r="L46" s="1199">
        <v>8.5</v>
      </c>
      <c r="M46" s="1199" t="s">
        <v>1081</v>
      </c>
      <c r="N46" s="1199" t="s">
        <v>1081</v>
      </c>
      <c r="O46" s="1199" t="s">
        <v>1081</v>
      </c>
      <c r="P46" s="1199" t="s">
        <v>1081</v>
      </c>
      <c r="Q46" s="1199" t="s">
        <v>1081</v>
      </c>
      <c r="R46" s="1199" t="s">
        <v>1081</v>
      </c>
      <c r="S46" s="1199" t="s">
        <v>1081</v>
      </c>
      <c r="T46" s="1200" t="s">
        <v>1081</v>
      </c>
    </row>
    <row r="47" spans="2:20">
      <c r="B47" s="1175" t="s">
        <v>1750</v>
      </c>
      <c r="C47" s="1199">
        <v>1108.9000000000001</v>
      </c>
      <c r="D47" s="1199" t="s">
        <v>1081</v>
      </c>
      <c r="E47" s="1199" t="s">
        <v>1081</v>
      </c>
      <c r="F47" s="1199">
        <v>1108.9000000000001</v>
      </c>
      <c r="G47" s="1199" t="s">
        <v>1081</v>
      </c>
      <c r="H47" s="1199" t="s">
        <v>1081</v>
      </c>
      <c r="I47" s="1199" t="s">
        <v>1081</v>
      </c>
      <c r="J47" s="1199" t="s">
        <v>1081</v>
      </c>
      <c r="K47" s="1199" t="s">
        <v>1081</v>
      </c>
      <c r="L47" s="1199">
        <v>1062.0999999999999</v>
      </c>
      <c r="M47" s="1199">
        <v>46.8</v>
      </c>
      <c r="N47" s="1199" t="s">
        <v>1081</v>
      </c>
      <c r="O47" s="1199" t="s">
        <v>1081</v>
      </c>
      <c r="P47" s="1199" t="s">
        <v>1081</v>
      </c>
      <c r="Q47" s="1199" t="s">
        <v>1081</v>
      </c>
      <c r="R47" s="1199" t="s">
        <v>1081</v>
      </c>
      <c r="S47" s="1199" t="s">
        <v>1081</v>
      </c>
      <c r="T47" s="1200" t="s">
        <v>1081</v>
      </c>
    </row>
    <row r="48" spans="2:20">
      <c r="B48" s="1203" t="s">
        <v>1777</v>
      </c>
      <c r="C48" s="1199">
        <v>337.4</v>
      </c>
      <c r="D48" s="1199" t="s">
        <v>1081</v>
      </c>
      <c r="E48" s="1199" t="s">
        <v>1081</v>
      </c>
      <c r="F48" s="1199">
        <v>4.7</v>
      </c>
      <c r="G48" s="1199" t="s">
        <v>1081</v>
      </c>
      <c r="H48" s="1199">
        <v>4.7</v>
      </c>
      <c r="I48" s="1199" t="s">
        <v>1081</v>
      </c>
      <c r="J48" s="1199" t="s">
        <v>1081</v>
      </c>
      <c r="K48" s="1199" t="s">
        <v>1081</v>
      </c>
      <c r="L48" s="1199" t="s">
        <v>1081</v>
      </c>
      <c r="M48" s="1199" t="s">
        <v>1081</v>
      </c>
      <c r="N48" s="1199" t="s">
        <v>1081</v>
      </c>
      <c r="O48" s="1199" t="s">
        <v>1081</v>
      </c>
      <c r="P48" s="1199">
        <v>19.5</v>
      </c>
      <c r="Q48" s="1199" t="s">
        <v>1081</v>
      </c>
      <c r="R48" s="1199" t="s">
        <v>1081</v>
      </c>
      <c r="S48" s="1199">
        <v>313.2</v>
      </c>
      <c r="T48" s="1200" t="s">
        <v>1081</v>
      </c>
    </row>
    <row r="49" spans="2:20" ht="27.6">
      <c r="B49" s="1163" t="s">
        <v>1752</v>
      </c>
      <c r="C49" s="1199" t="s">
        <v>1081</v>
      </c>
      <c r="D49" s="1199" t="s">
        <v>1081</v>
      </c>
      <c r="E49" s="1199" t="s">
        <v>1081</v>
      </c>
      <c r="F49" s="1199" t="s">
        <v>1081</v>
      </c>
      <c r="G49" s="1199" t="s">
        <v>1081</v>
      </c>
      <c r="H49" s="1199" t="s">
        <v>1081</v>
      </c>
      <c r="I49" s="1199" t="s">
        <v>1081</v>
      </c>
      <c r="J49" s="1199" t="s">
        <v>1081</v>
      </c>
      <c r="K49" s="1199" t="s">
        <v>1081</v>
      </c>
      <c r="L49" s="1199" t="s">
        <v>1081</v>
      </c>
      <c r="M49" s="1199" t="s">
        <v>1081</v>
      </c>
      <c r="N49" s="1199" t="s">
        <v>1081</v>
      </c>
      <c r="O49" s="1199" t="s">
        <v>1081</v>
      </c>
      <c r="P49" s="1199" t="s">
        <v>1081</v>
      </c>
      <c r="Q49" s="1199" t="s">
        <v>1081</v>
      </c>
      <c r="R49" s="1199" t="s">
        <v>1081</v>
      </c>
      <c r="S49" s="1199" t="s">
        <v>1081</v>
      </c>
      <c r="T49" s="1200" t="s">
        <v>1081</v>
      </c>
    </row>
    <row r="50" spans="2:20">
      <c r="B50" s="1179" t="s">
        <v>1753</v>
      </c>
      <c r="C50" s="1201">
        <v>191954.5</v>
      </c>
      <c r="D50" s="1199" t="s">
        <v>1081</v>
      </c>
      <c r="E50" s="1199" t="s">
        <v>1081</v>
      </c>
      <c r="F50" s="1201">
        <v>15028.6</v>
      </c>
      <c r="G50" s="1199" t="s">
        <v>1081</v>
      </c>
      <c r="H50" s="1199">
        <v>967.4</v>
      </c>
      <c r="I50" s="1199">
        <v>462.2</v>
      </c>
      <c r="J50" s="1199" t="s">
        <v>1081</v>
      </c>
      <c r="K50" s="1199">
        <v>64.599999999999994</v>
      </c>
      <c r="L50" s="1199">
        <v>13466.5</v>
      </c>
      <c r="M50" s="1199">
        <v>67.900000000000006</v>
      </c>
      <c r="N50" s="1199" t="s">
        <v>1081</v>
      </c>
      <c r="O50" s="1199" t="s">
        <v>1081</v>
      </c>
      <c r="P50" s="1201">
        <v>118203.3</v>
      </c>
      <c r="Q50" s="1201">
        <v>3254</v>
      </c>
      <c r="R50" s="1201">
        <v>5155.8999999999996</v>
      </c>
      <c r="S50" s="1201">
        <v>50307.1</v>
      </c>
      <c r="T50" s="1202">
        <v>5.6</v>
      </c>
    </row>
    <row r="51" spans="2:20">
      <c r="B51" s="1176" t="s">
        <v>1755</v>
      </c>
      <c r="C51" s="1199">
        <v>18803.599999999999</v>
      </c>
      <c r="D51" s="1199" t="s">
        <v>1081</v>
      </c>
      <c r="E51" s="1199" t="s">
        <v>1081</v>
      </c>
      <c r="F51" s="1199">
        <v>13297.5</v>
      </c>
      <c r="G51" s="1199" t="s">
        <v>1081</v>
      </c>
      <c r="H51" s="1199">
        <v>4.7</v>
      </c>
      <c r="I51" s="1199">
        <v>444.9</v>
      </c>
      <c r="J51" s="1199" t="s">
        <v>1081</v>
      </c>
      <c r="K51" s="1199" t="s">
        <v>1081</v>
      </c>
      <c r="L51" s="1199">
        <v>12835.2</v>
      </c>
      <c r="M51" s="1199">
        <v>12.7</v>
      </c>
      <c r="N51" s="1199" t="s">
        <v>1081</v>
      </c>
      <c r="O51" s="1199" t="s">
        <v>1081</v>
      </c>
      <c r="P51" s="1199">
        <v>2167.8000000000002</v>
      </c>
      <c r="Q51" s="1199">
        <v>84.3</v>
      </c>
      <c r="R51" s="1199" t="s">
        <v>1081</v>
      </c>
      <c r="S51" s="1199">
        <v>3251.2</v>
      </c>
      <c r="T51" s="1200">
        <v>2.8</v>
      </c>
    </row>
    <row r="52" spans="2:20">
      <c r="B52" s="1175" t="s">
        <v>1757</v>
      </c>
      <c r="C52" s="1199">
        <v>29320.1</v>
      </c>
      <c r="D52" s="1199" t="s">
        <v>1081</v>
      </c>
      <c r="E52" s="1199" t="s">
        <v>1081</v>
      </c>
      <c r="F52" s="1199">
        <v>432.6</v>
      </c>
      <c r="G52" s="1199" t="s">
        <v>1081</v>
      </c>
      <c r="H52" s="1199">
        <v>99.6</v>
      </c>
      <c r="I52" s="1199" t="s">
        <v>1081</v>
      </c>
      <c r="J52" s="1199" t="s">
        <v>1081</v>
      </c>
      <c r="K52" s="1199">
        <v>51.7</v>
      </c>
      <c r="L52" s="1199">
        <v>226.1</v>
      </c>
      <c r="M52" s="1199">
        <v>55.2</v>
      </c>
      <c r="N52" s="1199" t="s">
        <v>1081</v>
      </c>
      <c r="O52" s="1199" t="s">
        <v>1081</v>
      </c>
      <c r="P52" s="1199">
        <v>8593.2000000000007</v>
      </c>
      <c r="Q52" s="1199">
        <v>921</v>
      </c>
      <c r="R52" s="1199">
        <v>891</v>
      </c>
      <c r="S52" s="1199">
        <v>18479.5</v>
      </c>
      <c r="T52" s="1200">
        <v>2.8</v>
      </c>
    </row>
    <row r="53" spans="2:20">
      <c r="B53" s="1175" t="s">
        <v>1759</v>
      </c>
      <c r="C53" s="1199">
        <v>143830.79999999999</v>
      </c>
      <c r="D53" s="1199" t="s">
        <v>1081</v>
      </c>
      <c r="E53" s="1199" t="s">
        <v>1081</v>
      </c>
      <c r="F53" s="1199">
        <v>1298.5</v>
      </c>
      <c r="G53" s="1199" t="s">
        <v>1081</v>
      </c>
      <c r="H53" s="1199">
        <v>863.1</v>
      </c>
      <c r="I53" s="1199">
        <v>17.3</v>
      </c>
      <c r="J53" s="1199" t="s">
        <v>1081</v>
      </c>
      <c r="K53" s="1199">
        <v>12.9</v>
      </c>
      <c r="L53" s="1199">
        <v>405.2</v>
      </c>
      <c r="M53" s="1199" t="s">
        <v>1081</v>
      </c>
      <c r="N53" s="1199" t="s">
        <v>1081</v>
      </c>
      <c r="O53" s="1199" t="s">
        <v>1081</v>
      </c>
      <c r="P53" s="1199">
        <v>107442.3</v>
      </c>
      <c r="Q53" s="1199">
        <v>2248.6999999999998</v>
      </c>
      <c r="R53" s="1199">
        <v>4264.8999999999996</v>
      </c>
      <c r="S53" s="1199">
        <v>28576.400000000001</v>
      </c>
      <c r="T53" s="1200" t="s">
        <v>1081</v>
      </c>
    </row>
    <row r="54" spans="2:20">
      <c r="B54" s="1175" t="s">
        <v>1761</v>
      </c>
      <c r="C54" s="1199" t="s">
        <v>1081</v>
      </c>
      <c r="D54" s="1199" t="s">
        <v>1081</v>
      </c>
      <c r="E54" s="1199" t="s">
        <v>1081</v>
      </c>
      <c r="F54" s="1199" t="s">
        <v>1081</v>
      </c>
      <c r="G54" s="1199" t="s">
        <v>1081</v>
      </c>
      <c r="H54" s="1199" t="s">
        <v>1081</v>
      </c>
      <c r="I54" s="1199" t="s">
        <v>1081</v>
      </c>
      <c r="J54" s="1199" t="s">
        <v>1081</v>
      </c>
      <c r="K54" s="1199" t="s">
        <v>1081</v>
      </c>
      <c r="L54" s="1199" t="s">
        <v>1081</v>
      </c>
      <c r="M54" s="1199" t="s">
        <v>1081</v>
      </c>
      <c r="N54" s="1199" t="s">
        <v>1081</v>
      </c>
      <c r="O54" s="1199" t="s">
        <v>1081</v>
      </c>
      <c r="P54" s="1199" t="s">
        <v>1081</v>
      </c>
      <c r="Q54" s="1199" t="s">
        <v>1081</v>
      </c>
      <c r="R54" s="1199" t="s">
        <v>1081</v>
      </c>
      <c r="S54" s="1199" t="s">
        <v>1081</v>
      </c>
      <c r="T54" s="1200" t="s">
        <v>1081</v>
      </c>
    </row>
    <row r="55" spans="2:20" ht="14.4" thickBot="1">
      <c r="B55" s="1172" t="s">
        <v>1763</v>
      </c>
      <c r="C55" s="1204">
        <v>36357.300000000003</v>
      </c>
      <c r="D55" s="1205" t="s">
        <v>1081</v>
      </c>
      <c r="E55" s="1205" t="s">
        <v>1081</v>
      </c>
      <c r="F55" s="1204">
        <v>34325.800000000003</v>
      </c>
      <c r="G55" s="1205" t="s">
        <v>1081</v>
      </c>
      <c r="H55" s="1205">
        <v>5112.3999999999996</v>
      </c>
      <c r="I55" s="1205" t="s">
        <v>1081</v>
      </c>
      <c r="J55" s="1205">
        <v>276.3</v>
      </c>
      <c r="K55" s="1205">
        <v>426.3</v>
      </c>
      <c r="L55" s="1205">
        <v>76.8</v>
      </c>
      <c r="M55" s="1205">
        <v>85</v>
      </c>
      <c r="N55" s="1205">
        <v>6727.8</v>
      </c>
      <c r="O55" s="1205">
        <v>21621.200000000001</v>
      </c>
      <c r="P55" s="1204">
        <v>1398.3</v>
      </c>
      <c r="Q55" s="1205" t="s">
        <v>1081</v>
      </c>
      <c r="R55" s="1205" t="s">
        <v>1081</v>
      </c>
      <c r="S55" s="1205" t="s">
        <v>1081</v>
      </c>
      <c r="T55" s="1206">
        <v>633.20000000000005</v>
      </c>
    </row>
  </sheetData>
  <mergeCells count="12">
    <mergeCell ref="R4:R5"/>
    <mergeCell ref="S4:S5"/>
    <mergeCell ref="T4:T5"/>
    <mergeCell ref="B2:T2"/>
    <mergeCell ref="B4:B5"/>
    <mergeCell ref="C4:C5"/>
    <mergeCell ref="D4:D5"/>
    <mergeCell ref="E4:E5"/>
    <mergeCell ref="F4:F5"/>
    <mergeCell ref="G4:O4"/>
    <mergeCell ref="P4:P5"/>
    <mergeCell ref="Q4:Q5"/>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55"/>
  <sheetViews>
    <sheetView showGridLines="0" topLeftCell="A13" zoomScaleNormal="100" workbookViewId="0">
      <selection activeCell="P26" sqref="P26"/>
    </sheetView>
  </sheetViews>
  <sheetFormatPr defaultColWidth="9.21875" defaultRowHeight="13.8"/>
  <cols>
    <col min="1" max="1" width="8.44140625" style="1140" bestFit="1" customWidth="1"/>
    <col min="2" max="2" width="31.44140625" style="1140" bestFit="1" customWidth="1"/>
    <col min="3" max="20" width="11.44140625" style="1140" customWidth="1"/>
    <col min="21" max="26" width="9.21875" style="1140"/>
    <col min="27" max="27" width="9.44140625" style="1140" bestFit="1" customWidth="1"/>
    <col min="28" max="256" width="9.21875" style="1140"/>
    <col min="257" max="257" width="8.44140625" style="1140" bestFit="1" customWidth="1"/>
    <col min="258" max="258" width="31.44140625" style="1140" bestFit="1" customWidth="1"/>
    <col min="259" max="276" width="11.44140625" style="1140" customWidth="1"/>
    <col min="277" max="282" width="9.21875" style="1140"/>
    <col min="283" max="283" width="9.44140625" style="1140" bestFit="1" customWidth="1"/>
    <col min="284" max="512" width="9.21875" style="1140"/>
    <col min="513" max="513" width="8.44140625" style="1140" bestFit="1" customWidth="1"/>
    <col min="514" max="514" width="31.44140625" style="1140" bestFit="1" customWidth="1"/>
    <col min="515" max="532" width="11.44140625" style="1140" customWidth="1"/>
    <col min="533" max="538" width="9.21875" style="1140"/>
    <col min="539" max="539" width="9.44140625" style="1140" bestFit="1" customWidth="1"/>
    <col min="540" max="768" width="9.21875" style="1140"/>
    <col min="769" max="769" width="8.44140625" style="1140" bestFit="1" customWidth="1"/>
    <col min="770" max="770" width="31.44140625" style="1140" bestFit="1" customWidth="1"/>
    <col min="771" max="788" width="11.44140625" style="1140" customWidth="1"/>
    <col min="789" max="794" width="9.21875" style="1140"/>
    <col min="795" max="795" width="9.44140625" style="1140" bestFit="1" customWidth="1"/>
    <col min="796" max="1024" width="9.21875" style="1140"/>
    <col min="1025" max="1025" width="8.44140625" style="1140" bestFit="1" customWidth="1"/>
    <col min="1026" max="1026" width="31.44140625" style="1140" bestFit="1" customWidth="1"/>
    <col min="1027" max="1044" width="11.44140625" style="1140" customWidth="1"/>
    <col min="1045" max="1050" width="9.21875" style="1140"/>
    <col min="1051" max="1051" width="9.44140625" style="1140" bestFit="1" customWidth="1"/>
    <col min="1052" max="1280" width="9.21875" style="1140"/>
    <col min="1281" max="1281" width="8.44140625" style="1140" bestFit="1" customWidth="1"/>
    <col min="1282" max="1282" width="31.44140625" style="1140" bestFit="1" customWidth="1"/>
    <col min="1283" max="1300" width="11.44140625" style="1140" customWidth="1"/>
    <col min="1301" max="1306" width="9.21875" style="1140"/>
    <col min="1307" max="1307" width="9.44140625" style="1140" bestFit="1" customWidth="1"/>
    <col min="1308" max="1536" width="9.21875" style="1140"/>
    <col min="1537" max="1537" width="8.44140625" style="1140" bestFit="1" customWidth="1"/>
    <col min="1538" max="1538" width="31.44140625" style="1140" bestFit="1" customWidth="1"/>
    <col min="1539" max="1556" width="11.44140625" style="1140" customWidth="1"/>
    <col min="1557" max="1562" width="9.21875" style="1140"/>
    <col min="1563" max="1563" width="9.44140625" style="1140" bestFit="1" customWidth="1"/>
    <col min="1564" max="1792" width="9.21875" style="1140"/>
    <col min="1793" max="1793" width="8.44140625" style="1140" bestFit="1" customWidth="1"/>
    <col min="1794" max="1794" width="31.44140625" style="1140" bestFit="1" customWidth="1"/>
    <col min="1795" max="1812" width="11.44140625" style="1140" customWidth="1"/>
    <col min="1813" max="1818" width="9.21875" style="1140"/>
    <col min="1819" max="1819" width="9.44140625" style="1140" bestFit="1" customWidth="1"/>
    <col min="1820" max="2048" width="9.21875" style="1140"/>
    <col min="2049" max="2049" width="8.44140625" style="1140" bestFit="1" customWidth="1"/>
    <col min="2050" max="2050" width="31.44140625" style="1140" bestFit="1" customWidth="1"/>
    <col min="2051" max="2068" width="11.44140625" style="1140" customWidth="1"/>
    <col min="2069" max="2074" width="9.21875" style="1140"/>
    <col min="2075" max="2075" width="9.44140625" style="1140" bestFit="1" customWidth="1"/>
    <col min="2076" max="2304" width="9.21875" style="1140"/>
    <col min="2305" max="2305" width="8.44140625" style="1140" bestFit="1" customWidth="1"/>
    <col min="2306" max="2306" width="31.44140625" style="1140" bestFit="1" customWidth="1"/>
    <col min="2307" max="2324" width="11.44140625" style="1140" customWidth="1"/>
    <col min="2325" max="2330" width="9.21875" style="1140"/>
    <col min="2331" max="2331" width="9.44140625" style="1140" bestFit="1" customWidth="1"/>
    <col min="2332" max="2560" width="9.21875" style="1140"/>
    <col min="2561" max="2561" width="8.44140625" style="1140" bestFit="1" customWidth="1"/>
    <col min="2562" max="2562" width="31.44140625" style="1140" bestFit="1" customWidth="1"/>
    <col min="2563" max="2580" width="11.44140625" style="1140" customWidth="1"/>
    <col min="2581" max="2586" width="9.21875" style="1140"/>
    <col min="2587" max="2587" width="9.44140625" style="1140" bestFit="1" customWidth="1"/>
    <col min="2588" max="2816" width="9.21875" style="1140"/>
    <col min="2817" max="2817" width="8.44140625" style="1140" bestFit="1" customWidth="1"/>
    <col min="2818" max="2818" width="31.44140625" style="1140" bestFit="1" customWidth="1"/>
    <col min="2819" max="2836" width="11.44140625" style="1140" customWidth="1"/>
    <col min="2837" max="2842" width="9.21875" style="1140"/>
    <col min="2843" max="2843" width="9.44140625" style="1140" bestFit="1" customWidth="1"/>
    <col min="2844" max="3072" width="9.21875" style="1140"/>
    <col min="3073" max="3073" width="8.44140625" style="1140" bestFit="1" customWidth="1"/>
    <col min="3074" max="3074" width="31.44140625" style="1140" bestFit="1" customWidth="1"/>
    <col min="3075" max="3092" width="11.44140625" style="1140" customWidth="1"/>
    <col min="3093" max="3098" width="9.21875" style="1140"/>
    <col min="3099" max="3099" width="9.44140625" style="1140" bestFit="1" customWidth="1"/>
    <col min="3100" max="3328" width="9.21875" style="1140"/>
    <col min="3329" max="3329" width="8.44140625" style="1140" bestFit="1" customWidth="1"/>
    <col min="3330" max="3330" width="31.44140625" style="1140" bestFit="1" customWidth="1"/>
    <col min="3331" max="3348" width="11.44140625" style="1140" customWidth="1"/>
    <col min="3349" max="3354" width="9.21875" style="1140"/>
    <col min="3355" max="3355" width="9.44140625" style="1140" bestFit="1" customWidth="1"/>
    <col min="3356" max="3584" width="9.21875" style="1140"/>
    <col min="3585" max="3585" width="8.44140625" style="1140" bestFit="1" customWidth="1"/>
    <col min="3586" max="3586" width="31.44140625" style="1140" bestFit="1" customWidth="1"/>
    <col min="3587" max="3604" width="11.44140625" style="1140" customWidth="1"/>
    <col min="3605" max="3610" width="9.21875" style="1140"/>
    <col min="3611" max="3611" width="9.44140625" style="1140" bestFit="1" customWidth="1"/>
    <col min="3612" max="3840" width="9.21875" style="1140"/>
    <col min="3841" max="3841" width="8.44140625" style="1140" bestFit="1" customWidth="1"/>
    <col min="3842" max="3842" width="31.44140625" style="1140" bestFit="1" customWidth="1"/>
    <col min="3843" max="3860" width="11.44140625" style="1140" customWidth="1"/>
    <col min="3861" max="3866" width="9.21875" style="1140"/>
    <col min="3867" max="3867" width="9.44140625" style="1140" bestFit="1" customWidth="1"/>
    <col min="3868" max="4096" width="9.21875" style="1140"/>
    <col min="4097" max="4097" width="8.44140625" style="1140" bestFit="1" customWidth="1"/>
    <col min="4098" max="4098" width="31.44140625" style="1140" bestFit="1" customWidth="1"/>
    <col min="4099" max="4116" width="11.44140625" style="1140" customWidth="1"/>
    <col min="4117" max="4122" width="9.21875" style="1140"/>
    <col min="4123" max="4123" width="9.44140625" style="1140" bestFit="1" customWidth="1"/>
    <col min="4124" max="4352" width="9.21875" style="1140"/>
    <col min="4353" max="4353" width="8.44140625" style="1140" bestFit="1" customWidth="1"/>
    <col min="4354" max="4354" width="31.44140625" style="1140" bestFit="1" customWidth="1"/>
    <col min="4355" max="4372" width="11.44140625" style="1140" customWidth="1"/>
    <col min="4373" max="4378" width="9.21875" style="1140"/>
    <col min="4379" max="4379" width="9.44140625" style="1140" bestFit="1" customWidth="1"/>
    <col min="4380" max="4608" width="9.21875" style="1140"/>
    <col min="4609" max="4609" width="8.44140625" style="1140" bestFit="1" customWidth="1"/>
    <col min="4610" max="4610" width="31.44140625" style="1140" bestFit="1" customWidth="1"/>
    <col min="4611" max="4628" width="11.44140625" style="1140" customWidth="1"/>
    <col min="4629" max="4634" width="9.21875" style="1140"/>
    <col min="4635" max="4635" width="9.44140625" style="1140" bestFit="1" customWidth="1"/>
    <col min="4636" max="4864" width="9.21875" style="1140"/>
    <col min="4865" max="4865" width="8.44140625" style="1140" bestFit="1" customWidth="1"/>
    <col min="4866" max="4866" width="31.44140625" style="1140" bestFit="1" customWidth="1"/>
    <col min="4867" max="4884" width="11.44140625" style="1140" customWidth="1"/>
    <col min="4885" max="4890" width="9.21875" style="1140"/>
    <col min="4891" max="4891" width="9.44140625" style="1140" bestFit="1" customWidth="1"/>
    <col min="4892" max="5120" width="9.21875" style="1140"/>
    <col min="5121" max="5121" width="8.44140625" style="1140" bestFit="1" customWidth="1"/>
    <col min="5122" max="5122" width="31.44140625" style="1140" bestFit="1" customWidth="1"/>
    <col min="5123" max="5140" width="11.44140625" style="1140" customWidth="1"/>
    <col min="5141" max="5146" width="9.21875" style="1140"/>
    <col min="5147" max="5147" width="9.44140625" style="1140" bestFit="1" customWidth="1"/>
    <col min="5148" max="5376" width="9.21875" style="1140"/>
    <col min="5377" max="5377" width="8.44140625" style="1140" bestFit="1" customWidth="1"/>
    <col min="5378" max="5378" width="31.44140625" style="1140" bestFit="1" customWidth="1"/>
    <col min="5379" max="5396" width="11.44140625" style="1140" customWidth="1"/>
    <col min="5397" max="5402" width="9.21875" style="1140"/>
    <col min="5403" max="5403" width="9.44140625" style="1140" bestFit="1" customWidth="1"/>
    <col min="5404" max="5632" width="9.21875" style="1140"/>
    <col min="5633" max="5633" width="8.44140625" style="1140" bestFit="1" customWidth="1"/>
    <col min="5634" max="5634" width="31.44140625" style="1140" bestFit="1" customWidth="1"/>
    <col min="5635" max="5652" width="11.44140625" style="1140" customWidth="1"/>
    <col min="5653" max="5658" width="9.21875" style="1140"/>
    <col min="5659" max="5659" width="9.44140625" style="1140" bestFit="1" customWidth="1"/>
    <col min="5660" max="5888" width="9.21875" style="1140"/>
    <col min="5889" max="5889" width="8.44140625" style="1140" bestFit="1" customWidth="1"/>
    <col min="5890" max="5890" width="31.44140625" style="1140" bestFit="1" customWidth="1"/>
    <col min="5891" max="5908" width="11.44140625" style="1140" customWidth="1"/>
    <col min="5909" max="5914" width="9.21875" style="1140"/>
    <col min="5915" max="5915" width="9.44140625" style="1140" bestFit="1" customWidth="1"/>
    <col min="5916" max="6144" width="9.21875" style="1140"/>
    <col min="6145" max="6145" width="8.44140625" style="1140" bestFit="1" customWidth="1"/>
    <col min="6146" max="6146" width="31.44140625" style="1140" bestFit="1" customWidth="1"/>
    <col min="6147" max="6164" width="11.44140625" style="1140" customWidth="1"/>
    <col min="6165" max="6170" width="9.21875" style="1140"/>
    <col min="6171" max="6171" width="9.44140625" style="1140" bestFit="1" customWidth="1"/>
    <col min="6172" max="6400" width="9.21875" style="1140"/>
    <col min="6401" max="6401" width="8.44140625" style="1140" bestFit="1" customWidth="1"/>
    <col min="6402" max="6402" width="31.44140625" style="1140" bestFit="1" customWidth="1"/>
    <col min="6403" max="6420" width="11.44140625" style="1140" customWidth="1"/>
    <col min="6421" max="6426" width="9.21875" style="1140"/>
    <col min="6427" max="6427" width="9.44140625" style="1140" bestFit="1" customWidth="1"/>
    <col min="6428" max="6656" width="9.21875" style="1140"/>
    <col min="6657" max="6657" width="8.44140625" style="1140" bestFit="1" customWidth="1"/>
    <col min="6658" max="6658" width="31.44140625" style="1140" bestFit="1" customWidth="1"/>
    <col min="6659" max="6676" width="11.44140625" style="1140" customWidth="1"/>
    <col min="6677" max="6682" width="9.21875" style="1140"/>
    <col min="6683" max="6683" width="9.44140625" style="1140" bestFit="1" customWidth="1"/>
    <col min="6684" max="6912" width="9.21875" style="1140"/>
    <col min="6913" max="6913" width="8.44140625" style="1140" bestFit="1" customWidth="1"/>
    <col min="6914" max="6914" width="31.44140625" style="1140" bestFit="1" customWidth="1"/>
    <col min="6915" max="6932" width="11.44140625" style="1140" customWidth="1"/>
    <col min="6933" max="6938" width="9.21875" style="1140"/>
    <col min="6939" max="6939" width="9.44140625" style="1140" bestFit="1" customWidth="1"/>
    <col min="6940" max="7168" width="9.21875" style="1140"/>
    <col min="7169" max="7169" width="8.44140625" style="1140" bestFit="1" customWidth="1"/>
    <col min="7170" max="7170" width="31.44140625" style="1140" bestFit="1" customWidth="1"/>
    <col min="7171" max="7188" width="11.44140625" style="1140" customWidth="1"/>
    <col min="7189" max="7194" width="9.21875" style="1140"/>
    <col min="7195" max="7195" width="9.44140625" style="1140" bestFit="1" customWidth="1"/>
    <col min="7196" max="7424" width="9.21875" style="1140"/>
    <col min="7425" max="7425" width="8.44140625" style="1140" bestFit="1" customWidth="1"/>
    <col min="7426" max="7426" width="31.44140625" style="1140" bestFit="1" customWidth="1"/>
    <col min="7427" max="7444" width="11.44140625" style="1140" customWidth="1"/>
    <col min="7445" max="7450" width="9.21875" style="1140"/>
    <col min="7451" max="7451" width="9.44140625" style="1140" bestFit="1" customWidth="1"/>
    <col min="7452" max="7680" width="9.21875" style="1140"/>
    <col min="7681" max="7681" width="8.44140625" style="1140" bestFit="1" customWidth="1"/>
    <col min="7682" max="7682" width="31.44140625" style="1140" bestFit="1" customWidth="1"/>
    <col min="7683" max="7700" width="11.44140625" style="1140" customWidth="1"/>
    <col min="7701" max="7706" width="9.21875" style="1140"/>
    <col min="7707" max="7707" width="9.44140625" style="1140" bestFit="1" customWidth="1"/>
    <col min="7708" max="7936" width="9.21875" style="1140"/>
    <col min="7937" max="7937" width="8.44140625" style="1140" bestFit="1" customWidth="1"/>
    <col min="7938" max="7938" width="31.44140625" style="1140" bestFit="1" customWidth="1"/>
    <col min="7939" max="7956" width="11.44140625" style="1140" customWidth="1"/>
    <col min="7957" max="7962" width="9.21875" style="1140"/>
    <col min="7963" max="7963" width="9.44140625" style="1140" bestFit="1" customWidth="1"/>
    <col min="7964" max="8192" width="9.21875" style="1140"/>
    <col min="8193" max="8193" width="8.44140625" style="1140" bestFit="1" customWidth="1"/>
    <col min="8194" max="8194" width="31.44140625" style="1140" bestFit="1" customWidth="1"/>
    <col min="8195" max="8212" width="11.44140625" style="1140" customWidth="1"/>
    <col min="8213" max="8218" width="9.21875" style="1140"/>
    <col min="8219" max="8219" width="9.44140625" style="1140" bestFit="1" customWidth="1"/>
    <col min="8220" max="8448" width="9.21875" style="1140"/>
    <col min="8449" max="8449" width="8.44140625" style="1140" bestFit="1" customWidth="1"/>
    <col min="8450" max="8450" width="31.44140625" style="1140" bestFit="1" customWidth="1"/>
    <col min="8451" max="8468" width="11.44140625" style="1140" customWidth="1"/>
    <col min="8469" max="8474" width="9.21875" style="1140"/>
    <col min="8475" max="8475" width="9.44140625" style="1140" bestFit="1" customWidth="1"/>
    <col min="8476" max="8704" width="9.21875" style="1140"/>
    <col min="8705" max="8705" width="8.44140625" style="1140" bestFit="1" customWidth="1"/>
    <col min="8706" max="8706" width="31.44140625" style="1140" bestFit="1" customWidth="1"/>
    <col min="8707" max="8724" width="11.44140625" style="1140" customWidth="1"/>
    <col min="8725" max="8730" width="9.21875" style="1140"/>
    <col min="8731" max="8731" width="9.44140625" style="1140" bestFit="1" customWidth="1"/>
    <col min="8732" max="8960" width="9.21875" style="1140"/>
    <col min="8961" max="8961" width="8.44140625" style="1140" bestFit="1" customWidth="1"/>
    <col min="8962" max="8962" width="31.44140625" style="1140" bestFit="1" customWidth="1"/>
    <col min="8963" max="8980" width="11.44140625" style="1140" customWidth="1"/>
    <col min="8981" max="8986" width="9.21875" style="1140"/>
    <col min="8987" max="8987" width="9.44140625" style="1140" bestFit="1" customWidth="1"/>
    <col min="8988" max="9216" width="9.21875" style="1140"/>
    <col min="9217" max="9217" width="8.44140625" style="1140" bestFit="1" customWidth="1"/>
    <col min="9218" max="9218" width="31.44140625" style="1140" bestFit="1" customWidth="1"/>
    <col min="9219" max="9236" width="11.44140625" style="1140" customWidth="1"/>
    <col min="9237" max="9242" width="9.21875" style="1140"/>
    <col min="9243" max="9243" width="9.44140625" style="1140" bestFit="1" customWidth="1"/>
    <col min="9244" max="9472" width="9.21875" style="1140"/>
    <col min="9473" max="9473" width="8.44140625" style="1140" bestFit="1" customWidth="1"/>
    <col min="9474" max="9474" width="31.44140625" style="1140" bestFit="1" customWidth="1"/>
    <col min="9475" max="9492" width="11.44140625" style="1140" customWidth="1"/>
    <col min="9493" max="9498" width="9.21875" style="1140"/>
    <col min="9499" max="9499" width="9.44140625" style="1140" bestFit="1" customWidth="1"/>
    <col min="9500" max="9728" width="9.21875" style="1140"/>
    <col min="9729" max="9729" width="8.44140625" style="1140" bestFit="1" customWidth="1"/>
    <col min="9730" max="9730" width="31.44140625" style="1140" bestFit="1" customWidth="1"/>
    <col min="9731" max="9748" width="11.44140625" style="1140" customWidth="1"/>
    <col min="9749" max="9754" width="9.21875" style="1140"/>
    <col min="9755" max="9755" width="9.44140625" style="1140" bestFit="1" customWidth="1"/>
    <col min="9756" max="9984" width="9.21875" style="1140"/>
    <col min="9985" max="9985" width="8.44140625" style="1140" bestFit="1" customWidth="1"/>
    <col min="9986" max="9986" width="31.44140625" style="1140" bestFit="1" customWidth="1"/>
    <col min="9987" max="10004" width="11.44140625" style="1140" customWidth="1"/>
    <col min="10005" max="10010" width="9.21875" style="1140"/>
    <col min="10011" max="10011" width="9.44140625" style="1140" bestFit="1" customWidth="1"/>
    <col min="10012" max="10240" width="9.21875" style="1140"/>
    <col min="10241" max="10241" width="8.44140625" style="1140" bestFit="1" customWidth="1"/>
    <col min="10242" max="10242" width="31.44140625" style="1140" bestFit="1" customWidth="1"/>
    <col min="10243" max="10260" width="11.44140625" style="1140" customWidth="1"/>
    <col min="10261" max="10266" width="9.21875" style="1140"/>
    <col min="10267" max="10267" width="9.44140625" style="1140" bestFit="1" customWidth="1"/>
    <col min="10268" max="10496" width="9.21875" style="1140"/>
    <col min="10497" max="10497" width="8.44140625" style="1140" bestFit="1" customWidth="1"/>
    <col min="10498" max="10498" width="31.44140625" style="1140" bestFit="1" customWidth="1"/>
    <col min="10499" max="10516" width="11.44140625" style="1140" customWidth="1"/>
    <col min="10517" max="10522" width="9.21875" style="1140"/>
    <col min="10523" max="10523" width="9.44140625" style="1140" bestFit="1" customWidth="1"/>
    <col min="10524" max="10752" width="9.21875" style="1140"/>
    <col min="10753" max="10753" width="8.44140625" style="1140" bestFit="1" customWidth="1"/>
    <col min="10754" max="10754" width="31.44140625" style="1140" bestFit="1" customWidth="1"/>
    <col min="10755" max="10772" width="11.44140625" style="1140" customWidth="1"/>
    <col min="10773" max="10778" width="9.21875" style="1140"/>
    <col min="10779" max="10779" width="9.44140625" style="1140" bestFit="1" customWidth="1"/>
    <col min="10780" max="11008" width="9.21875" style="1140"/>
    <col min="11009" max="11009" width="8.44140625" style="1140" bestFit="1" customWidth="1"/>
    <col min="11010" max="11010" width="31.44140625" style="1140" bestFit="1" customWidth="1"/>
    <col min="11011" max="11028" width="11.44140625" style="1140" customWidth="1"/>
    <col min="11029" max="11034" width="9.21875" style="1140"/>
    <col min="11035" max="11035" width="9.44140625" style="1140" bestFit="1" customWidth="1"/>
    <col min="11036" max="11264" width="9.21875" style="1140"/>
    <col min="11265" max="11265" width="8.44140625" style="1140" bestFit="1" customWidth="1"/>
    <col min="11266" max="11266" width="31.44140625" style="1140" bestFit="1" customWidth="1"/>
    <col min="11267" max="11284" width="11.44140625" style="1140" customWidth="1"/>
    <col min="11285" max="11290" width="9.21875" style="1140"/>
    <col min="11291" max="11291" width="9.44140625" style="1140" bestFit="1" customWidth="1"/>
    <col min="11292" max="11520" width="9.21875" style="1140"/>
    <col min="11521" max="11521" width="8.44140625" style="1140" bestFit="1" customWidth="1"/>
    <col min="11522" max="11522" width="31.44140625" style="1140" bestFit="1" customWidth="1"/>
    <col min="11523" max="11540" width="11.44140625" style="1140" customWidth="1"/>
    <col min="11541" max="11546" width="9.21875" style="1140"/>
    <col min="11547" max="11547" width="9.44140625" style="1140" bestFit="1" customWidth="1"/>
    <col min="11548" max="11776" width="9.21875" style="1140"/>
    <col min="11777" max="11777" width="8.44140625" style="1140" bestFit="1" customWidth="1"/>
    <col min="11778" max="11778" width="31.44140625" style="1140" bestFit="1" customWidth="1"/>
    <col min="11779" max="11796" width="11.44140625" style="1140" customWidth="1"/>
    <col min="11797" max="11802" width="9.21875" style="1140"/>
    <col min="11803" max="11803" width="9.44140625" style="1140" bestFit="1" customWidth="1"/>
    <col min="11804" max="12032" width="9.21875" style="1140"/>
    <col min="12033" max="12033" width="8.44140625" style="1140" bestFit="1" customWidth="1"/>
    <col min="12034" max="12034" width="31.44140625" style="1140" bestFit="1" customWidth="1"/>
    <col min="12035" max="12052" width="11.44140625" style="1140" customWidth="1"/>
    <col min="12053" max="12058" width="9.21875" style="1140"/>
    <col min="12059" max="12059" width="9.44140625" style="1140" bestFit="1" customWidth="1"/>
    <col min="12060" max="12288" width="9.21875" style="1140"/>
    <col min="12289" max="12289" width="8.44140625" style="1140" bestFit="1" customWidth="1"/>
    <col min="12290" max="12290" width="31.44140625" style="1140" bestFit="1" customWidth="1"/>
    <col min="12291" max="12308" width="11.44140625" style="1140" customWidth="1"/>
    <col min="12309" max="12314" width="9.21875" style="1140"/>
    <col min="12315" max="12315" width="9.44140625" style="1140" bestFit="1" customWidth="1"/>
    <col min="12316" max="12544" width="9.21875" style="1140"/>
    <col min="12545" max="12545" width="8.44140625" style="1140" bestFit="1" customWidth="1"/>
    <col min="12546" max="12546" width="31.44140625" style="1140" bestFit="1" customWidth="1"/>
    <col min="12547" max="12564" width="11.44140625" style="1140" customWidth="1"/>
    <col min="12565" max="12570" width="9.21875" style="1140"/>
    <col min="12571" max="12571" width="9.44140625" style="1140" bestFit="1" customWidth="1"/>
    <col min="12572" max="12800" width="9.21875" style="1140"/>
    <col min="12801" max="12801" width="8.44140625" style="1140" bestFit="1" customWidth="1"/>
    <col min="12802" max="12802" width="31.44140625" style="1140" bestFit="1" customWidth="1"/>
    <col min="12803" max="12820" width="11.44140625" style="1140" customWidth="1"/>
    <col min="12821" max="12826" width="9.21875" style="1140"/>
    <col min="12827" max="12827" width="9.44140625" style="1140" bestFit="1" customWidth="1"/>
    <col min="12828" max="13056" width="9.21875" style="1140"/>
    <col min="13057" max="13057" width="8.44140625" style="1140" bestFit="1" customWidth="1"/>
    <col min="13058" max="13058" width="31.44140625" style="1140" bestFit="1" customWidth="1"/>
    <col min="13059" max="13076" width="11.44140625" style="1140" customWidth="1"/>
    <col min="13077" max="13082" width="9.21875" style="1140"/>
    <col min="13083" max="13083" width="9.44140625" style="1140" bestFit="1" customWidth="1"/>
    <col min="13084" max="13312" width="9.21875" style="1140"/>
    <col min="13313" max="13313" width="8.44140625" style="1140" bestFit="1" customWidth="1"/>
    <col min="13314" max="13314" width="31.44140625" style="1140" bestFit="1" customWidth="1"/>
    <col min="13315" max="13332" width="11.44140625" style="1140" customWidth="1"/>
    <col min="13333" max="13338" width="9.21875" style="1140"/>
    <col min="13339" max="13339" width="9.44140625" style="1140" bestFit="1" customWidth="1"/>
    <col min="13340" max="13568" width="9.21875" style="1140"/>
    <col min="13569" max="13569" width="8.44140625" style="1140" bestFit="1" customWidth="1"/>
    <col min="13570" max="13570" width="31.44140625" style="1140" bestFit="1" customWidth="1"/>
    <col min="13571" max="13588" width="11.44140625" style="1140" customWidth="1"/>
    <col min="13589" max="13594" width="9.21875" style="1140"/>
    <col min="13595" max="13595" width="9.44140625" style="1140" bestFit="1" customWidth="1"/>
    <col min="13596" max="13824" width="9.21875" style="1140"/>
    <col min="13825" max="13825" width="8.44140625" style="1140" bestFit="1" customWidth="1"/>
    <col min="13826" max="13826" width="31.44140625" style="1140" bestFit="1" customWidth="1"/>
    <col min="13827" max="13844" width="11.44140625" style="1140" customWidth="1"/>
    <col min="13845" max="13850" width="9.21875" style="1140"/>
    <col min="13851" max="13851" width="9.44140625" style="1140" bestFit="1" customWidth="1"/>
    <col min="13852" max="14080" width="9.21875" style="1140"/>
    <col min="14081" max="14081" width="8.44140625" style="1140" bestFit="1" customWidth="1"/>
    <col min="14082" max="14082" width="31.44140625" style="1140" bestFit="1" customWidth="1"/>
    <col min="14083" max="14100" width="11.44140625" style="1140" customWidth="1"/>
    <col min="14101" max="14106" width="9.21875" style="1140"/>
    <col min="14107" max="14107" width="9.44140625" style="1140" bestFit="1" customWidth="1"/>
    <col min="14108" max="14336" width="9.21875" style="1140"/>
    <col min="14337" max="14337" width="8.44140625" style="1140" bestFit="1" customWidth="1"/>
    <col min="14338" max="14338" width="31.44140625" style="1140" bestFit="1" customWidth="1"/>
    <col min="14339" max="14356" width="11.44140625" style="1140" customWidth="1"/>
    <col min="14357" max="14362" width="9.21875" style="1140"/>
    <col min="14363" max="14363" width="9.44140625" style="1140" bestFit="1" customWidth="1"/>
    <col min="14364" max="14592" width="9.21875" style="1140"/>
    <col min="14593" max="14593" width="8.44140625" style="1140" bestFit="1" customWidth="1"/>
    <col min="14594" max="14594" width="31.44140625" style="1140" bestFit="1" customWidth="1"/>
    <col min="14595" max="14612" width="11.44140625" style="1140" customWidth="1"/>
    <col min="14613" max="14618" width="9.21875" style="1140"/>
    <col min="14619" max="14619" width="9.44140625" style="1140" bestFit="1" customWidth="1"/>
    <col min="14620" max="14848" width="9.21875" style="1140"/>
    <col min="14849" max="14849" width="8.44140625" style="1140" bestFit="1" customWidth="1"/>
    <col min="14850" max="14850" width="31.44140625" style="1140" bestFit="1" customWidth="1"/>
    <col min="14851" max="14868" width="11.44140625" style="1140" customWidth="1"/>
    <col min="14869" max="14874" width="9.21875" style="1140"/>
    <col min="14875" max="14875" width="9.44140625" style="1140" bestFit="1" customWidth="1"/>
    <col min="14876" max="15104" width="9.21875" style="1140"/>
    <col min="15105" max="15105" width="8.44140625" style="1140" bestFit="1" customWidth="1"/>
    <col min="15106" max="15106" width="31.44140625" style="1140" bestFit="1" customWidth="1"/>
    <col min="15107" max="15124" width="11.44140625" style="1140" customWidth="1"/>
    <col min="15125" max="15130" width="9.21875" style="1140"/>
    <col min="15131" max="15131" width="9.44140625" style="1140" bestFit="1" customWidth="1"/>
    <col min="15132" max="15360" width="9.21875" style="1140"/>
    <col min="15361" max="15361" width="8.44140625" style="1140" bestFit="1" customWidth="1"/>
    <col min="15362" max="15362" width="31.44140625" style="1140" bestFit="1" customWidth="1"/>
    <col min="15363" max="15380" width="11.44140625" style="1140" customWidth="1"/>
    <col min="15381" max="15386" width="9.21875" style="1140"/>
    <col min="15387" max="15387" width="9.44140625" style="1140" bestFit="1" customWidth="1"/>
    <col min="15388" max="15616" width="9.21875" style="1140"/>
    <col min="15617" max="15617" width="8.44140625" style="1140" bestFit="1" customWidth="1"/>
    <col min="15618" max="15618" width="31.44140625" style="1140" bestFit="1" customWidth="1"/>
    <col min="15619" max="15636" width="11.44140625" style="1140" customWidth="1"/>
    <col min="15637" max="15642" width="9.21875" style="1140"/>
    <col min="15643" max="15643" width="9.44140625" style="1140" bestFit="1" customWidth="1"/>
    <col min="15644" max="15872" width="9.21875" style="1140"/>
    <col min="15873" max="15873" width="8.44140625" style="1140" bestFit="1" customWidth="1"/>
    <col min="15874" max="15874" width="31.44140625" style="1140" bestFit="1" customWidth="1"/>
    <col min="15875" max="15892" width="11.44140625" style="1140" customWidth="1"/>
    <col min="15893" max="15898" width="9.21875" style="1140"/>
    <col min="15899" max="15899" width="9.44140625" style="1140" bestFit="1" customWidth="1"/>
    <col min="15900" max="16128" width="9.21875" style="1140"/>
    <col min="16129" max="16129" width="8.44140625" style="1140" bestFit="1" customWidth="1"/>
    <col min="16130" max="16130" width="31.44140625" style="1140" bestFit="1" customWidth="1"/>
    <col min="16131" max="16148" width="11.44140625" style="1140" customWidth="1"/>
    <col min="16149" max="16154" width="9.21875" style="1140"/>
    <col min="16155" max="16155" width="9.44140625" style="1140" bestFit="1" customWidth="1"/>
    <col min="16156" max="16384" width="9.21875" style="1140"/>
  </cols>
  <sheetData>
    <row r="1" spans="1:21">
      <c r="D1" s="1141">
        <f>SUM(D17:D24)</f>
        <v>-266941.5</v>
      </c>
      <c r="F1" s="1141">
        <f>SUM(F17:F24)</f>
        <v>256780.2</v>
      </c>
      <c r="P1" s="1141" t="e">
        <f>P6+P7+P8+P17+P18+P19+P20-P27+P12</f>
        <v>#VALUE!</v>
      </c>
      <c r="Q1" s="1141">
        <f>SUM(Q17:Q24)</f>
        <v>-9248.9</v>
      </c>
      <c r="R1" s="1141">
        <f>SUM(R17:R24)</f>
        <v>14016</v>
      </c>
      <c r="S1" s="1141">
        <f>SUM(S17:S24)</f>
        <v>93862.5</v>
      </c>
    </row>
    <row r="2" spans="1:21">
      <c r="B2" s="1306" t="s">
        <v>1860</v>
      </c>
      <c r="C2" s="1306"/>
      <c r="D2" s="1306"/>
      <c r="E2" s="1306"/>
      <c r="F2" s="1306"/>
      <c r="G2" s="1306"/>
      <c r="H2" s="1306"/>
      <c r="I2" s="1306"/>
      <c r="J2" s="1306"/>
      <c r="K2" s="1306"/>
      <c r="L2" s="1306"/>
      <c r="M2" s="1306"/>
      <c r="N2" s="1306"/>
      <c r="O2" s="1306"/>
      <c r="P2" s="1306"/>
      <c r="Q2" s="1306"/>
      <c r="R2" s="1306"/>
      <c r="S2" s="1306"/>
      <c r="T2" s="1306"/>
    </row>
    <row r="3" spans="1:21" ht="14.4" thickBot="1">
      <c r="B3" s="1208" t="s">
        <v>1685</v>
      </c>
      <c r="C3" s="1208"/>
      <c r="D3" s="1207" t="s">
        <v>93</v>
      </c>
      <c r="E3" s="1207"/>
      <c r="F3" s="1207"/>
      <c r="G3" s="1207"/>
      <c r="H3" s="1207"/>
      <c r="I3" s="1207" t="s">
        <v>76</v>
      </c>
      <c r="J3" s="1207" t="s">
        <v>764</v>
      </c>
      <c r="K3" s="1207"/>
      <c r="L3" s="1207" t="s">
        <v>45</v>
      </c>
      <c r="M3" s="1207" t="s">
        <v>759</v>
      </c>
      <c r="N3" s="1207"/>
      <c r="O3" s="1207"/>
      <c r="P3" s="1207" t="s">
        <v>41</v>
      </c>
      <c r="Q3" s="1207"/>
      <c r="R3" s="1207"/>
      <c r="S3" s="1207" t="s">
        <v>215</v>
      </c>
      <c r="T3" s="1208"/>
    </row>
    <row r="4" spans="1:21" s="1142" customFormat="1" ht="18.75" customHeight="1">
      <c r="B4" s="1329"/>
      <c r="C4" s="1315" t="s">
        <v>1686</v>
      </c>
      <c r="D4" s="1315" t="s">
        <v>1687</v>
      </c>
      <c r="E4" s="1315" t="s">
        <v>1688</v>
      </c>
      <c r="F4" s="1315" t="s">
        <v>1689</v>
      </c>
      <c r="G4" s="1331" t="s">
        <v>1690</v>
      </c>
      <c r="H4" s="1332"/>
      <c r="I4" s="1332"/>
      <c r="J4" s="1332"/>
      <c r="K4" s="1332"/>
      <c r="L4" s="1332"/>
      <c r="M4" s="1332"/>
      <c r="N4" s="1332"/>
      <c r="O4" s="1333"/>
      <c r="P4" s="1315" t="s">
        <v>1691</v>
      </c>
      <c r="Q4" s="1315" t="s">
        <v>1692</v>
      </c>
      <c r="R4" s="1315" t="s">
        <v>1693</v>
      </c>
      <c r="S4" s="1315" t="s">
        <v>1694</v>
      </c>
      <c r="T4" s="1327" t="s">
        <v>1695</v>
      </c>
    </row>
    <row r="5" spans="1:21" s="1145" customFormat="1" ht="50.25" customHeight="1" thickBot="1">
      <c r="B5" s="1330"/>
      <c r="C5" s="1316"/>
      <c r="D5" s="1316"/>
      <c r="E5" s="1316"/>
      <c r="F5" s="1316"/>
      <c r="G5" s="1143" t="s">
        <v>1696</v>
      </c>
      <c r="H5" s="1143" t="s">
        <v>1697</v>
      </c>
      <c r="I5" s="1143" t="s">
        <v>1698</v>
      </c>
      <c r="J5" s="1143" t="s">
        <v>1699</v>
      </c>
      <c r="K5" s="1143" t="s">
        <v>1700</v>
      </c>
      <c r="L5" s="1143" t="s">
        <v>1701</v>
      </c>
      <c r="M5" s="1144" t="s">
        <v>1702</v>
      </c>
      <c r="N5" s="1143" t="s">
        <v>1703</v>
      </c>
      <c r="O5" s="1143" t="s">
        <v>1704</v>
      </c>
      <c r="P5" s="1316"/>
      <c r="Q5" s="1316"/>
      <c r="R5" s="1316"/>
      <c r="S5" s="1316"/>
      <c r="T5" s="1328"/>
    </row>
    <row r="6" spans="1:21">
      <c r="A6" s="1140" t="s">
        <v>171</v>
      </c>
      <c r="B6" s="1146" t="s">
        <v>927</v>
      </c>
      <c r="C6" s="1229">
        <v>2584672.0999999996</v>
      </c>
      <c r="D6" s="1229">
        <v>1616076.7</v>
      </c>
      <c r="E6" s="1229" t="s">
        <v>1081</v>
      </c>
      <c r="F6" s="1229" t="s">
        <v>1081</v>
      </c>
      <c r="G6" s="1229" t="s">
        <v>1081</v>
      </c>
      <c r="H6" s="1229" t="s">
        <v>1081</v>
      </c>
      <c r="I6" s="1229" t="s">
        <v>1081</v>
      </c>
      <c r="J6" s="1229" t="s">
        <v>1081</v>
      </c>
      <c r="K6" s="1229" t="s">
        <v>1081</v>
      </c>
      <c r="L6" s="1229" t="s">
        <v>1081</v>
      </c>
      <c r="M6" s="1229" t="s">
        <v>1081</v>
      </c>
      <c r="N6" s="1229" t="s">
        <v>1081</v>
      </c>
      <c r="O6" s="1229" t="s">
        <v>1081</v>
      </c>
      <c r="P6" s="1229">
        <v>957528.6</v>
      </c>
      <c r="Q6" s="1229">
        <v>11066.799999999997</v>
      </c>
      <c r="R6" s="1229" t="s">
        <v>1081</v>
      </c>
      <c r="S6" s="1229" t="s">
        <v>1081</v>
      </c>
      <c r="T6" s="1230" t="s">
        <v>1081</v>
      </c>
    </row>
    <row r="7" spans="1:21">
      <c r="A7" s="1140" t="s">
        <v>61</v>
      </c>
      <c r="B7" s="1147" t="s">
        <v>1705</v>
      </c>
      <c r="C7" s="1231">
        <v>12678.1</v>
      </c>
      <c r="D7" s="1231" t="s">
        <v>1081</v>
      </c>
      <c r="E7" s="1231" t="s">
        <v>1081</v>
      </c>
      <c r="F7" s="1231">
        <v>11999.1</v>
      </c>
      <c r="G7" s="1231" t="s">
        <v>1081</v>
      </c>
      <c r="H7" s="1231">
        <v>52.1</v>
      </c>
      <c r="I7" s="1231">
        <v>7343.5</v>
      </c>
      <c r="J7" s="1231">
        <v>2884</v>
      </c>
      <c r="K7" s="1231">
        <v>189.4</v>
      </c>
      <c r="L7" s="1231">
        <v>21.3</v>
      </c>
      <c r="M7" s="1231" t="s">
        <v>1081</v>
      </c>
      <c r="N7" s="1231">
        <v>4.0999999999999996</v>
      </c>
      <c r="O7" s="1231">
        <v>1504.7</v>
      </c>
      <c r="P7" s="1231" t="s">
        <v>1081</v>
      </c>
      <c r="Q7" s="1231" t="s">
        <v>1081</v>
      </c>
      <c r="R7" s="1231" t="s">
        <v>1081</v>
      </c>
      <c r="S7" s="1231">
        <v>492.8</v>
      </c>
      <c r="T7" s="1232">
        <v>186.2</v>
      </c>
    </row>
    <row r="8" spans="1:21">
      <c r="A8" s="1140" t="s">
        <v>298</v>
      </c>
      <c r="B8" s="1147" t="s">
        <v>912</v>
      </c>
      <c r="C8" s="1231">
        <v>-1861834.3</v>
      </c>
      <c r="D8" s="1231">
        <v>-1346170.4</v>
      </c>
      <c r="E8" s="1231" t="s">
        <v>1081</v>
      </c>
      <c r="F8" s="1231">
        <v>-48099.7</v>
      </c>
      <c r="G8" s="1231" t="s">
        <v>1081</v>
      </c>
      <c r="H8" s="1231">
        <v>-2499.3000000000002</v>
      </c>
      <c r="I8" s="1231" t="s">
        <v>1081</v>
      </c>
      <c r="J8" s="1231">
        <v>-5163.6000000000004</v>
      </c>
      <c r="K8" s="1231" t="s">
        <v>1081</v>
      </c>
      <c r="L8" s="1231">
        <v>-32461.200000000001</v>
      </c>
      <c r="M8" s="1231">
        <v>-8.5</v>
      </c>
      <c r="N8" s="1231">
        <v>-495.5</v>
      </c>
      <c r="O8" s="1231">
        <v>-7471.6</v>
      </c>
      <c r="P8" s="1231">
        <v>-462197</v>
      </c>
      <c r="Q8" s="1231" t="s">
        <v>1081</v>
      </c>
      <c r="R8" s="1231" t="s">
        <v>1081</v>
      </c>
      <c r="S8" s="1231">
        <v>-5367.2</v>
      </c>
      <c r="T8" s="1232" t="s">
        <v>1081</v>
      </c>
    </row>
    <row r="9" spans="1:21">
      <c r="B9" s="1148" t="s">
        <v>1706</v>
      </c>
      <c r="C9" s="1231">
        <v>-14818.8</v>
      </c>
      <c r="D9" s="1231" t="s">
        <v>1081</v>
      </c>
      <c r="E9" s="1231" t="s">
        <v>1081</v>
      </c>
      <c r="F9" s="1231">
        <v>-14818.8</v>
      </c>
      <c r="G9" s="1231" t="s">
        <v>1081</v>
      </c>
      <c r="H9" s="1231" t="s">
        <v>1081</v>
      </c>
      <c r="I9" s="1231" t="s">
        <v>1081</v>
      </c>
      <c r="J9" s="1231">
        <v>-13513.5</v>
      </c>
      <c r="K9" s="1231" t="s">
        <v>1081</v>
      </c>
      <c r="L9" s="1231">
        <v>-1305.3</v>
      </c>
      <c r="M9" s="1231" t="s">
        <v>1081</v>
      </c>
      <c r="N9" s="1231" t="s">
        <v>1081</v>
      </c>
      <c r="O9" s="1231" t="s">
        <v>1081</v>
      </c>
      <c r="P9" s="1231" t="s">
        <v>1081</v>
      </c>
      <c r="Q9" s="1231" t="s">
        <v>1081</v>
      </c>
      <c r="R9" s="1231" t="s">
        <v>1081</v>
      </c>
      <c r="S9" s="1231" t="s">
        <v>1081</v>
      </c>
      <c r="T9" s="1232" t="s">
        <v>1081</v>
      </c>
    </row>
    <row r="10" spans="1:21">
      <c r="B10" s="1149" t="s">
        <v>1707</v>
      </c>
      <c r="C10" s="1231">
        <v>-1305.3</v>
      </c>
      <c r="D10" s="1231" t="s">
        <v>1081</v>
      </c>
      <c r="E10" s="1231" t="s">
        <v>1081</v>
      </c>
      <c r="F10" s="1231">
        <v>-1305.3</v>
      </c>
      <c r="G10" s="1231" t="s">
        <v>1081</v>
      </c>
      <c r="H10" s="1231" t="s">
        <v>1081</v>
      </c>
      <c r="I10" s="1231" t="s">
        <v>1081</v>
      </c>
      <c r="J10" s="1231" t="s">
        <v>1081</v>
      </c>
      <c r="K10" s="1231" t="s">
        <v>1081</v>
      </c>
      <c r="L10" s="1231">
        <v>-1305.3</v>
      </c>
      <c r="M10" s="1231" t="s">
        <v>1081</v>
      </c>
      <c r="N10" s="1231" t="s">
        <v>1081</v>
      </c>
      <c r="O10" s="1231" t="s">
        <v>1081</v>
      </c>
      <c r="P10" s="1231" t="s">
        <v>1081</v>
      </c>
      <c r="Q10" s="1231" t="s">
        <v>1081</v>
      </c>
      <c r="R10" s="1231" t="s">
        <v>1081</v>
      </c>
      <c r="S10" s="1231" t="s">
        <v>1081</v>
      </c>
      <c r="T10" s="1232" t="s">
        <v>1081</v>
      </c>
    </row>
    <row r="11" spans="1:21">
      <c r="B11" s="1149" t="s">
        <v>1708</v>
      </c>
      <c r="C11" s="1231">
        <v>-13513.5</v>
      </c>
      <c r="D11" s="1231" t="s">
        <v>1081</v>
      </c>
      <c r="E11" s="1231" t="s">
        <v>1081</v>
      </c>
      <c r="F11" s="1231">
        <v>-13513.5</v>
      </c>
      <c r="G11" s="1231" t="s">
        <v>1081</v>
      </c>
      <c r="H11" s="1231" t="s">
        <v>1081</v>
      </c>
      <c r="I11" s="1231" t="s">
        <v>1081</v>
      </c>
      <c r="J11" s="1231">
        <v>-13513.5</v>
      </c>
      <c r="K11" s="1231" t="s">
        <v>1081</v>
      </c>
      <c r="L11" s="1231" t="s">
        <v>1081</v>
      </c>
      <c r="M11" s="1231" t="s">
        <v>1081</v>
      </c>
      <c r="N11" s="1231" t="s">
        <v>1081</v>
      </c>
      <c r="O11" s="1231" t="s">
        <v>1081</v>
      </c>
      <c r="P11" s="1231" t="s">
        <v>1081</v>
      </c>
      <c r="Q11" s="1231" t="s">
        <v>1081</v>
      </c>
      <c r="R11" s="1231" t="s">
        <v>1081</v>
      </c>
      <c r="S11" s="1231" t="s">
        <v>1081</v>
      </c>
      <c r="T11" s="1232" t="s">
        <v>1081</v>
      </c>
    </row>
    <row r="12" spans="1:21">
      <c r="B12" s="1150" t="s">
        <v>1709</v>
      </c>
      <c r="C12" s="1231">
        <v>-7141.9000000000005</v>
      </c>
      <c r="D12" s="1231">
        <v>-758.4</v>
      </c>
      <c r="E12" s="1231" t="s">
        <v>1081</v>
      </c>
      <c r="F12" s="1231">
        <v>-1403.8000000000002</v>
      </c>
      <c r="G12" s="1231" t="s">
        <v>1081</v>
      </c>
      <c r="H12" s="1231">
        <v>464.7</v>
      </c>
      <c r="I12" s="1231">
        <v>1114.5</v>
      </c>
      <c r="J12" s="1231">
        <v>-25.9</v>
      </c>
      <c r="K12" s="1231" t="s">
        <v>1081</v>
      </c>
      <c r="L12" s="1231">
        <v>170.6</v>
      </c>
      <c r="M12" s="1231">
        <v>-2081.5</v>
      </c>
      <c r="N12" s="1231">
        <v>-200.6</v>
      </c>
      <c r="O12" s="1231">
        <v>-845.6</v>
      </c>
      <c r="P12" s="1231">
        <v>-4948.8999999999996</v>
      </c>
      <c r="Q12" s="1231">
        <v>-33.6</v>
      </c>
      <c r="R12" s="1231" t="s">
        <v>1081</v>
      </c>
      <c r="S12" s="1231" t="s">
        <v>1081</v>
      </c>
      <c r="T12" s="1232">
        <v>2.8</v>
      </c>
    </row>
    <row r="13" spans="1:21">
      <c r="B13" s="1151" t="s">
        <v>1710</v>
      </c>
      <c r="C13" s="1233">
        <v>713555.2</v>
      </c>
      <c r="D13" s="1233">
        <v>269147.90000000002</v>
      </c>
      <c r="E13" s="1231" t="s">
        <v>1081</v>
      </c>
      <c r="F13" s="1233">
        <v>-52323.199999999997</v>
      </c>
      <c r="G13" s="1231" t="s">
        <v>1081</v>
      </c>
      <c r="H13" s="1231">
        <v>-1982.5</v>
      </c>
      <c r="I13" s="1231">
        <v>8458</v>
      </c>
      <c r="J13" s="1231">
        <v>-15819</v>
      </c>
      <c r="K13" s="1231">
        <v>189.4</v>
      </c>
      <c r="L13" s="1231">
        <v>-33574.6</v>
      </c>
      <c r="M13" s="1231">
        <v>-2090</v>
      </c>
      <c r="N13" s="1231">
        <v>-692</v>
      </c>
      <c r="O13" s="1231">
        <v>-6812.5</v>
      </c>
      <c r="P13" s="1233">
        <v>490382.7</v>
      </c>
      <c r="Q13" s="1233">
        <v>11033.199999999999</v>
      </c>
      <c r="R13" s="1231" t="s">
        <v>1081</v>
      </c>
      <c r="S13" s="1233">
        <v>-4874.3999999999996</v>
      </c>
      <c r="T13" s="1234">
        <v>189</v>
      </c>
      <c r="U13" s="1141"/>
    </row>
    <row r="14" spans="1:21">
      <c r="B14" s="1152" t="s">
        <v>1711</v>
      </c>
      <c r="C14" s="1233">
        <v>2461.4</v>
      </c>
      <c r="D14" s="1233" t="s">
        <v>1081</v>
      </c>
      <c r="E14" s="1231" t="s">
        <v>1081</v>
      </c>
      <c r="F14" s="1233">
        <v>955.00000000000011</v>
      </c>
      <c r="G14" s="1231" t="s">
        <v>1081</v>
      </c>
      <c r="H14" s="1231" t="s">
        <v>1081</v>
      </c>
      <c r="I14" s="1231">
        <v>375.8</v>
      </c>
      <c r="J14" s="1231" t="s">
        <v>1081</v>
      </c>
      <c r="K14" s="1231" t="s">
        <v>1081</v>
      </c>
      <c r="L14" s="1231">
        <v>563.1</v>
      </c>
      <c r="M14" s="1231" t="s">
        <v>1081</v>
      </c>
      <c r="N14" s="1231" t="s">
        <v>1081</v>
      </c>
      <c r="O14" s="1231">
        <v>16.100000000000001</v>
      </c>
      <c r="P14" s="1233">
        <v>1402.3</v>
      </c>
      <c r="Q14" s="1231" t="s">
        <v>1081</v>
      </c>
      <c r="R14" s="1231" t="s">
        <v>1081</v>
      </c>
      <c r="S14" s="1233">
        <v>104.1</v>
      </c>
      <c r="T14" s="1232" t="s">
        <v>1081</v>
      </c>
      <c r="U14" s="1141"/>
    </row>
    <row r="15" spans="1:21">
      <c r="B15" s="1152" t="s">
        <v>1712</v>
      </c>
      <c r="C15" s="1231" t="s">
        <v>1081</v>
      </c>
      <c r="D15" s="1231" t="s">
        <v>1081</v>
      </c>
      <c r="E15" s="1231" t="s">
        <v>1081</v>
      </c>
      <c r="F15" s="1231" t="s">
        <v>1081</v>
      </c>
      <c r="G15" s="1231" t="s">
        <v>1081</v>
      </c>
      <c r="H15" s="1231" t="s">
        <v>1081</v>
      </c>
      <c r="I15" s="1231" t="s">
        <v>1081</v>
      </c>
      <c r="J15" s="1231" t="s">
        <v>1081</v>
      </c>
      <c r="K15" s="1231" t="s">
        <v>1081</v>
      </c>
      <c r="L15" s="1231" t="s">
        <v>1081</v>
      </c>
      <c r="M15" s="1231" t="s">
        <v>1081</v>
      </c>
      <c r="N15" s="1231" t="s">
        <v>1081</v>
      </c>
      <c r="O15" s="1231" t="s">
        <v>1081</v>
      </c>
      <c r="P15" s="1231" t="s">
        <v>1081</v>
      </c>
      <c r="Q15" s="1231" t="s">
        <v>1081</v>
      </c>
      <c r="R15" s="1231" t="s">
        <v>1081</v>
      </c>
      <c r="S15" s="1231" t="s">
        <v>1081</v>
      </c>
      <c r="T15" s="1232" t="s">
        <v>1081</v>
      </c>
    </row>
    <row r="16" spans="1:21">
      <c r="B16" s="1152" t="s">
        <v>1713</v>
      </c>
      <c r="C16" s="1233">
        <v>-152555.29999999999</v>
      </c>
      <c r="D16" s="1233">
        <v>-266941.5</v>
      </c>
      <c r="E16" s="1231" t="s">
        <v>1081</v>
      </c>
      <c r="F16" s="1233">
        <v>256780.2</v>
      </c>
      <c r="G16" s="1231">
        <v>10275.5</v>
      </c>
      <c r="H16" s="1231">
        <v>9959.2000000000007</v>
      </c>
      <c r="I16" s="1231">
        <v>50169</v>
      </c>
      <c r="J16" s="1231">
        <v>28779.8</v>
      </c>
      <c r="K16" s="1231" t="s">
        <v>1081</v>
      </c>
      <c r="L16" s="1231">
        <v>95067.5</v>
      </c>
      <c r="M16" s="1231">
        <v>5365.2</v>
      </c>
      <c r="N16" s="1231">
        <v>10650.6</v>
      </c>
      <c r="O16" s="1231">
        <v>46513.4</v>
      </c>
      <c r="P16" s="1233">
        <v>-241023.6</v>
      </c>
      <c r="Q16" s="1233">
        <v>-9248.8999999999978</v>
      </c>
      <c r="R16" s="1233">
        <v>14016</v>
      </c>
      <c r="S16" s="1233">
        <v>93862.5</v>
      </c>
      <c r="T16" s="1232" t="s">
        <v>1081</v>
      </c>
      <c r="U16" s="1141"/>
    </row>
    <row r="17" spans="1:28">
      <c r="B17" s="1149" t="s">
        <v>1714</v>
      </c>
      <c r="C17" s="1231">
        <v>-85949.999999999985</v>
      </c>
      <c r="D17" s="1231" t="s">
        <v>1081</v>
      </c>
      <c r="E17" s="1231" t="s">
        <v>1081</v>
      </c>
      <c r="F17" s="1231">
        <v>-597.20000000000005</v>
      </c>
      <c r="G17" s="1231" t="s">
        <v>1081</v>
      </c>
      <c r="H17" s="1231" t="s">
        <v>1081</v>
      </c>
      <c r="I17" s="1231" t="s">
        <v>1081</v>
      </c>
      <c r="J17" s="1231" t="s">
        <v>1081</v>
      </c>
      <c r="K17" s="1231" t="s">
        <v>1081</v>
      </c>
      <c r="L17" s="1231">
        <v>-597.20000000000005</v>
      </c>
      <c r="M17" s="1231" t="s">
        <v>1081</v>
      </c>
      <c r="N17" s="1231" t="s">
        <v>1081</v>
      </c>
      <c r="O17" s="1231" t="s">
        <v>1081</v>
      </c>
      <c r="P17" s="1231">
        <v>-142783.79999999999</v>
      </c>
      <c r="Q17" s="1231">
        <v>-9246.7999999999993</v>
      </c>
      <c r="R17" s="1231" t="s">
        <v>1081</v>
      </c>
      <c r="S17" s="1231">
        <v>66677.8</v>
      </c>
      <c r="T17" s="1232" t="s">
        <v>1081</v>
      </c>
      <c r="U17" s="1140">
        <f>S17/SUM(P17:Q17)</f>
        <v>-0.43858144347256417</v>
      </c>
      <c r="V17" s="1153">
        <f>(S17+Q17)/SUM(G17:P17)*-1</f>
        <v>0.40054818978804724</v>
      </c>
      <c r="X17" s="1154">
        <f>SUM(R17:S17)/SUM(G17:Q17)*-1</f>
        <v>0.43686536790807445</v>
      </c>
    </row>
    <row r="18" spans="1:28">
      <c r="B18" s="1149" t="s">
        <v>1715</v>
      </c>
      <c r="C18" s="1231">
        <v>-54926.900000000009</v>
      </c>
      <c r="D18" s="1231" t="s">
        <v>1081</v>
      </c>
      <c r="E18" s="1231" t="s">
        <v>1081</v>
      </c>
      <c r="F18" s="1231">
        <v>-8.5</v>
      </c>
      <c r="G18" s="1231" t="s">
        <v>1081</v>
      </c>
      <c r="H18" s="1231" t="s">
        <v>1081</v>
      </c>
      <c r="I18" s="1231" t="s">
        <v>1081</v>
      </c>
      <c r="J18" s="1231" t="s">
        <v>1081</v>
      </c>
      <c r="K18" s="1231" t="s">
        <v>1081</v>
      </c>
      <c r="L18" s="1231">
        <v>-8.5</v>
      </c>
      <c r="M18" s="1231" t="s">
        <v>1081</v>
      </c>
      <c r="N18" s="1231" t="s">
        <v>1081</v>
      </c>
      <c r="O18" s="1231" t="s">
        <v>1081</v>
      </c>
      <c r="P18" s="1231">
        <v>-89888.8</v>
      </c>
      <c r="Q18" s="1231" t="s">
        <v>1081</v>
      </c>
      <c r="R18" s="1231">
        <v>7785.7</v>
      </c>
      <c r="S18" s="1231">
        <v>27184.7</v>
      </c>
      <c r="T18" s="1232" t="s">
        <v>1081</v>
      </c>
      <c r="U18" s="1140">
        <f>R18/S18</f>
        <v>0.28640007062796352</v>
      </c>
      <c r="V18" s="1154">
        <f>SUM(R18:S18)/SUM(G18:Q18)*-1</f>
        <v>0.38900389666875423</v>
      </c>
    </row>
    <row r="19" spans="1:28">
      <c r="B19" s="1149" t="s">
        <v>1716</v>
      </c>
      <c r="C19" s="1231">
        <v>-1922.8999999999996</v>
      </c>
      <c r="D19" s="1231" t="s">
        <v>1081</v>
      </c>
      <c r="E19" s="1231" t="s">
        <v>1081</v>
      </c>
      <c r="F19" s="1231">
        <v>-17</v>
      </c>
      <c r="G19" s="1231" t="s">
        <v>1081</v>
      </c>
      <c r="H19" s="1231" t="s">
        <v>1081</v>
      </c>
      <c r="I19" s="1231" t="s">
        <v>1081</v>
      </c>
      <c r="J19" s="1231" t="s">
        <v>1081</v>
      </c>
      <c r="K19" s="1231" t="s">
        <v>1081</v>
      </c>
      <c r="L19" s="1231">
        <v>-8.5</v>
      </c>
      <c r="M19" s="1231">
        <v>-8.5</v>
      </c>
      <c r="N19" s="1231" t="s">
        <v>1081</v>
      </c>
      <c r="O19" s="1231" t="s">
        <v>1081</v>
      </c>
      <c r="P19" s="1231">
        <v>-8136.2</v>
      </c>
      <c r="Q19" s="1231" t="s">
        <v>1081</v>
      </c>
      <c r="R19" s="1231">
        <v>6230.3</v>
      </c>
      <c r="S19" s="1231" t="s">
        <v>1081</v>
      </c>
      <c r="T19" s="1232" t="s">
        <v>1081</v>
      </c>
      <c r="V19" s="1154">
        <f>SUM(R19:S19)/SUM(G19:Q19)*-1</f>
        <v>0.76415395182259727</v>
      </c>
    </row>
    <row r="20" spans="1:28">
      <c r="B20" s="1149" t="s">
        <v>1060</v>
      </c>
      <c r="C20" s="1231">
        <v>1174.4000000000001</v>
      </c>
      <c r="D20" s="1231" t="s">
        <v>1081</v>
      </c>
      <c r="E20" s="1231" t="s">
        <v>1081</v>
      </c>
      <c r="F20" s="1231">
        <v>1389.2</v>
      </c>
      <c r="G20" s="1231" t="s">
        <v>1081</v>
      </c>
      <c r="H20" s="1231">
        <v>569.1</v>
      </c>
      <c r="I20" s="1231" t="s">
        <v>1081</v>
      </c>
      <c r="J20" s="1231" t="s">
        <v>1081</v>
      </c>
      <c r="K20" s="1231" t="s">
        <v>1081</v>
      </c>
      <c r="L20" s="1231" t="s">
        <v>1081</v>
      </c>
      <c r="M20" s="1231" t="s">
        <v>1081</v>
      </c>
      <c r="N20" s="1231" t="s">
        <v>1081</v>
      </c>
      <c r="O20" s="1231">
        <v>820.1</v>
      </c>
      <c r="P20" s="1231">
        <v>-214.8</v>
      </c>
      <c r="Q20" s="1231" t="s">
        <v>1081</v>
      </c>
      <c r="R20" s="1231" t="s">
        <v>1081</v>
      </c>
      <c r="S20" s="1231" t="s">
        <v>1081</v>
      </c>
      <c r="T20" s="1232" t="s">
        <v>1081</v>
      </c>
    </row>
    <row r="21" spans="1:28">
      <c r="B21" s="1149" t="s">
        <v>1717</v>
      </c>
      <c r="C21" s="1231" t="s">
        <v>1081</v>
      </c>
      <c r="D21" s="1231" t="s">
        <v>1081</v>
      </c>
      <c r="E21" s="1231" t="s">
        <v>1081</v>
      </c>
      <c r="F21" s="1231" t="s">
        <v>1081</v>
      </c>
      <c r="G21" s="1231" t="s">
        <v>1081</v>
      </c>
      <c r="H21" s="1231" t="s">
        <v>1081</v>
      </c>
      <c r="I21" s="1231" t="s">
        <v>1081</v>
      </c>
      <c r="J21" s="1231" t="s">
        <v>1081</v>
      </c>
      <c r="K21" s="1231" t="s">
        <v>1081</v>
      </c>
      <c r="L21" s="1231" t="s">
        <v>1081</v>
      </c>
      <c r="M21" s="1231" t="s">
        <v>1081</v>
      </c>
      <c r="N21" s="1231" t="s">
        <v>1081</v>
      </c>
      <c r="O21" s="1231" t="s">
        <v>1081</v>
      </c>
      <c r="P21" s="1231" t="s">
        <v>1081</v>
      </c>
      <c r="Q21" s="1231" t="s">
        <v>1081</v>
      </c>
      <c r="R21" s="1231" t="s">
        <v>1081</v>
      </c>
      <c r="S21" s="1231" t="s">
        <v>1081</v>
      </c>
      <c r="T21" s="1232" t="s">
        <v>1081</v>
      </c>
    </row>
    <row r="22" spans="1:28">
      <c r="A22" s="1154"/>
      <c r="B22" s="1155" t="s">
        <v>1642</v>
      </c>
      <c r="C22" s="1231">
        <v>-10927.8</v>
      </c>
      <c r="D22" s="1231">
        <v>-266941.5</v>
      </c>
      <c r="E22" s="1231" t="s">
        <v>1081</v>
      </c>
      <c r="F22" s="1231">
        <v>256013.7</v>
      </c>
      <c r="G22" s="1231">
        <v>10275.5</v>
      </c>
      <c r="H22" s="1231">
        <v>9390.1</v>
      </c>
      <c r="I22" s="1231">
        <v>50169</v>
      </c>
      <c r="J22" s="1231">
        <v>28779.8</v>
      </c>
      <c r="K22" s="1231" t="s">
        <v>1081</v>
      </c>
      <c r="L22" s="1231">
        <v>95681.7</v>
      </c>
      <c r="M22" s="1231">
        <v>5373.7</v>
      </c>
      <c r="N22" s="1231">
        <v>10650.6</v>
      </c>
      <c r="O22" s="1231">
        <v>45693.3</v>
      </c>
      <c r="P22" s="1231" t="s">
        <v>1081</v>
      </c>
      <c r="Q22" s="1231" t="s">
        <v>1081</v>
      </c>
      <c r="R22" s="1231" t="s">
        <v>1081</v>
      </c>
      <c r="S22" s="1231" t="s">
        <v>1081</v>
      </c>
      <c r="T22" s="1232" t="s">
        <v>1081</v>
      </c>
      <c r="V22" s="1140">
        <v>29</v>
      </c>
      <c r="W22" s="1140">
        <f>V22/$V$26</f>
        <v>5.8467741935483868E-2</v>
      </c>
    </row>
    <row r="23" spans="1:28">
      <c r="B23" s="1155" t="s">
        <v>1718</v>
      </c>
      <c r="C23" s="1231" t="s">
        <v>1081</v>
      </c>
      <c r="D23" s="1231" t="s">
        <v>1081</v>
      </c>
      <c r="E23" s="1231" t="s">
        <v>1081</v>
      </c>
      <c r="F23" s="1231" t="s">
        <v>1081</v>
      </c>
      <c r="G23" s="1231" t="s">
        <v>1081</v>
      </c>
      <c r="H23" s="1231" t="s">
        <v>1081</v>
      </c>
      <c r="I23" s="1231" t="s">
        <v>1081</v>
      </c>
      <c r="J23" s="1231" t="s">
        <v>1081</v>
      </c>
      <c r="K23" s="1231" t="s">
        <v>1081</v>
      </c>
      <c r="L23" s="1231" t="s">
        <v>1081</v>
      </c>
      <c r="M23" s="1231" t="s">
        <v>1081</v>
      </c>
      <c r="N23" s="1231" t="s">
        <v>1081</v>
      </c>
      <c r="O23" s="1231" t="s">
        <v>1081</v>
      </c>
      <c r="P23" s="1231" t="s">
        <v>1081</v>
      </c>
      <c r="Q23" s="1231" t="s">
        <v>1081</v>
      </c>
      <c r="R23" s="1231" t="s">
        <v>1081</v>
      </c>
      <c r="S23" s="1231" t="s">
        <v>1081</v>
      </c>
      <c r="T23" s="1232" t="s">
        <v>1081</v>
      </c>
      <c r="V23" s="1140">
        <v>54</v>
      </c>
      <c r="W23" s="1140">
        <f>V23/$V$26</f>
        <v>0.10887096774193548</v>
      </c>
    </row>
    <row r="24" spans="1:28">
      <c r="B24" s="1149" t="s">
        <v>1719</v>
      </c>
      <c r="C24" s="1231">
        <v>-2.0999999999999996</v>
      </c>
      <c r="D24" s="1231" t="s">
        <v>1081</v>
      </c>
      <c r="E24" s="1231" t="s">
        <v>1081</v>
      </c>
      <c r="F24" s="1231" t="s">
        <v>1081</v>
      </c>
      <c r="G24" s="1231" t="s">
        <v>1081</v>
      </c>
      <c r="H24" s="1231" t="s">
        <v>1081</v>
      </c>
      <c r="I24" s="1231" t="s">
        <v>1081</v>
      </c>
      <c r="J24" s="1231" t="s">
        <v>1081</v>
      </c>
      <c r="K24" s="1231" t="s">
        <v>1081</v>
      </c>
      <c r="L24" s="1231" t="s">
        <v>1081</v>
      </c>
      <c r="M24" s="1231" t="s">
        <v>1081</v>
      </c>
      <c r="N24" s="1231" t="s">
        <v>1081</v>
      </c>
      <c r="O24" s="1231" t="s">
        <v>1081</v>
      </c>
      <c r="P24" s="1231" t="s">
        <v>1081</v>
      </c>
      <c r="Q24" s="1231">
        <v>-2.0999999999999996</v>
      </c>
      <c r="R24" s="1231" t="s">
        <v>1081</v>
      </c>
      <c r="S24" s="1231" t="s">
        <v>1081</v>
      </c>
      <c r="T24" s="1232" t="s">
        <v>1081</v>
      </c>
      <c r="V24" s="1140">
        <v>98</v>
      </c>
      <c r="W24" s="1140">
        <f>V24/$V$26</f>
        <v>0.19758064516129031</v>
      </c>
    </row>
    <row r="25" spans="1:28">
      <c r="B25" s="1156" t="s">
        <v>1720</v>
      </c>
      <c r="C25" s="1233">
        <v>47230.5</v>
      </c>
      <c r="D25" s="1233">
        <v>452.5</v>
      </c>
      <c r="E25" s="1231" t="s">
        <v>1081</v>
      </c>
      <c r="F25" s="1233">
        <v>13615.7</v>
      </c>
      <c r="G25" s="1231">
        <v>7968</v>
      </c>
      <c r="H25" s="1231" t="s">
        <v>1081</v>
      </c>
      <c r="I25" s="1231" t="s">
        <v>1081</v>
      </c>
      <c r="J25" s="1231" t="s">
        <v>1081</v>
      </c>
      <c r="K25" s="1231" t="s">
        <v>1081</v>
      </c>
      <c r="L25" s="1231" t="s">
        <v>1081</v>
      </c>
      <c r="M25" s="1231" t="s">
        <v>1081</v>
      </c>
      <c r="N25" s="1231" t="s">
        <v>1081</v>
      </c>
      <c r="O25" s="1231">
        <v>5647.7</v>
      </c>
      <c r="P25" s="1233">
        <v>19479.2</v>
      </c>
      <c r="Q25" s="1231" t="s">
        <v>1081</v>
      </c>
      <c r="R25" s="1233">
        <v>9.6</v>
      </c>
      <c r="S25" s="1233">
        <v>13673.5</v>
      </c>
      <c r="T25" s="1232" t="s">
        <v>1081</v>
      </c>
      <c r="U25" s="1141"/>
      <c r="V25" s="1140">
        <v>315</v>
      </c>
      <c r="W25" s="1140">
        <f>V25/$V$26</f>
        <v>0.63508064516129037</v>
      </c>
    </row>
    <row r="26" spans="1:28">
      <c r="B26" s="1156" t="s">
        <v>1721</v>
      </c>
      <c r="C26" s="1233">
        <v>38719.5</v>
      </c>
      <c r="D26" s="1233">
        <v>1753.9</v>
      </c>
      <c r="E26" s="1231" t="s">
        <v>1081</v>
      </c>
      <c r="F26" s="1231" t="s">
        <v>1081</v>
      </c>
      <c r="G26" s="1231" t="s">
        <v>1081</v>
      </c>
      <c r="H26" s="1231" t="s">
        <v>1081</v>
      </c>
      <c r="I26" s="1231" t="s">
        <v>1081</v>
      </c>
      <c r="J26" s="1231" t="s">
        <v>1081</v>
      </c>
      <c r="K26" s="1231" t="s">
        <v>1081</v>
      </c>
      <c r="L26" s="1231" t="s">
        <v>1081</v>
      </c>
      <c r="M26" s="1231" t="s">
        <v>1081</v>
      </c>
      <c r="N26" s="1231" t="s">
        <v>1081</v>
      </c>
      <c r="O26" s="1231" t="s">
        <v>1081</v>
      </c>
      <c r="P26" s="1233">
        <v>28154.5</v>
      </c>
      <c r="Q26" s="1231" t="s">
        <v>1081</v>
      </c>
      <c r="R26" s="1233">
        <v>798.9</v>
      </c>
      <c r="S26" s="1233">
        <v>8012.2</v>
      </c>
      <c r="T26" s="1232" t="s">
        <v>1081</v>
      </c>
      <c r="U26" s="1141"/>
      <c r="V26" s="1140">
        <f>SUM(V22:V25)</f>
        <v>496</v>
      </c>
      <c r="W26" s="1141"/>
    </row>
    <row r="27" spans="1:28">
      <c r="B27" s="1156" t="s">
        <v>1722</v>
      </c>
      <c r="C27" s="1233">
        <v>472588.5</v>
      </c>
      <c r="D27" s="1231" t="s">
        <v>1081</v>
      </c>
      <c r="E27" s="1231" t="s">
        <v>1081</v>
      </c>
      <c r="F27" s="1233">
        <v>189886.30000000002</v>
      </c>
      <c r="G27" s="1231">
        <v>2307.5</v>
      </c>
      <c r="H27" s="1231">
        <v>7976.7</v>
      </c>
      <c r="I27" s="1231">
        <v>58251.199999999997</v>
      </c>
      <c r="J27" s="1231">
        <v>12960.8</v>
      </c>
      <c r="K27" s="1231">
        <v>189.4</v>
      </c>
      <c r="L27" s="1231">
        <v>60929.8</v>
      </c>
      <c r="M27" s="1231">
        <v>3275.2</v>
      </c>
      <c r="N27" s="1231">
        <v>9958.6</v>
      </c>
      <c r="O27" s="1231">
        <v>34037.1</v>
      </c>
      <c r="P27" s="1233">
        <v>200323.1</v>
      </c>
      <c r="Q27" s="1233">
        <v>1784.3000000000002</v>
      </c>
      <c r="R27" s="1233">
        <v>13207.5</v>
      </c>
      <c r="S27" s="1233">
        <v>67198.3</v>
      </c>
      <c r="T27" s="1234">
        <v>189</v>
      </c>
      <c r="U27" s="1141"/>
      <c r="Z27" s="1141">
        <f>P27-P16</f>
        <v>441346.7</v>
      </c>
      <c r="AA27" s="1140">
        <f>Z27*56</f>
        <v>24715415.199999999</v>
      </c>
    </row>
    <row r="28" spans="1:28">
      <c r="B28" s="1156" t="s">
        <v>1723</v>
      </c>
      <c r="C28" s="1233">
        <v>417127.69999999995</v>
      </c>
      <c r="D28" s="1231" t="s">
        <v>1081</v>
      </c>
      <c r="E28" s="1231" t="s">
        <v>1081</v>
      </c>
      <c r="F28" s="1233">
        <v>135808.9</v>
      </c>
      <c r="G28" s="1231" t="s">
        <v>1081</v>
      </c>
      <c r="H28" s="1231">
        <v>1033.7</v>
      </c>
      <c r="I28" s="1231">
        <v>58251.199999999997</v>
      </c>
      <c r="J28" s="1231">
        <v>12960.8</v>
      </c>
      <c r="K28" s="1231">
        <v>25.8</v>
      </c>
      <c r="L28" s="1231">
        <v>60784.800000000003</v>
      </c>
      <c r="M28" s="1231">
        <v>2655</v>
      </c>
      <c r="N28" s="1231" t="s">
        <v>1081</v>
      </c>
      <c r="O28" s="1231">
        <v>97.6</v>
      </c>
      <c r="P28" s="1233">
        <v>199092.7</v>
      </c>
      <c r="Q28" s="1233">
        <v>1784.3000000000002</v>
      </c>
      <c r="R28" s="1233">
        <v>13207.5</v>
      </c>
      <c r="S28" s="1233">
        <v>67198.3</v>
      </c>
      <c r="T28" s="1234">
        <v>36</v>
      </c>
      <c r="U28" s="1141"/>
      <c r="W28" s="1141">
        <f>SUM(S25:S27)-S13</f>
        <v>93758.399999999994</v>
      </c>
      <c r="AA28" s="1140">
        <f>P16*-1*56/1000000</f>
        <v>13.497321599999999</v>
      </c>
      <c r="AB28" s="1140" t="s">
        <v>1724</v>
      </c>
    </row>
    <row r="29" spans="1:28">
      <c r="B29" s="1157" t="s">
        <v>1725</v>
      </c>
      <c r="C29" s="1233">
        <v>67965.7</v>
      </c>
      <c r="D29" s="1231" t="s">
        <v>1081</v>
      </c>
      <c r="E29" s="1231" t="s">
        <v>1081</v>
      </c>
      <c r="F29" s="1233">
        <v>5794.4000000000005</v>
      </c>
      <c r="G29" s="1231" t="s">
        <v>1081</v>
      </c>
      <c r="H29" s="1231">
        <v>23.5</v>
      </c>
      <c r="I29" s="1231" t="s">
        <v>1081</v>
      </c>
      <c r="J29" s="1231" t="s">
        <v>1081</v>
      </c>
      <c r="K29" s="1231" t="s">
        <v>1081</v>
      </c>
      <c r="L29" s="1231">
        <v>3630</v>
      </c>
      <c r="M29" s="1231">
        <v>2043.3</v>
      </c>
      <c r="N29" s="1231" t="s">
        <v>1081</v>
      </c>
      <c r="O29" s="1231">
        <v>97.6</v>
      </c>
      <c r="P29" s="1233">
        <v>38903.800000000003</v>
      </c>
      <c r="Q29" s="1233">
        <v>269</v>
      </c>
      <c r="R29" s="1233">
        <v>7166.1</v>
      </c>
      <c r="S29" s="1233">
        <v>15832.4</v>
      </c>
      <c r="T29" s="1232" t="s">
        <v>1081</v>
      </c>
      <c r="W29" s="1141"/>
      <c r="AA29" s="1140">
        <f>P27*56/1000000</f>
        <v>11.2180936</v>
      </c>
      <c r="AB29" s="1140" t="s">
        <v>1726</v>
      </c>
    </row>
    <row r="30" spans="1:28">
      <c r="B30" s="1158" t="s">
        <v>1727</v>
      </c>
      <c r="C30" s="1231">
        <v>2365.1000000000004</v>
      </c>
      <c r="D30" s="1231" t="s">
        <v>1081</v>
      </c>
      <c r="E30" s="1231" t="s">
        <v>1081</v>
      </c>
      <c r="F30" s="1231" t="s">
        <v>1081</v>
      </c>
      <c r="G30" s="1231" t="s">
        <v>1081</v>
      </c>
      <c r="H30" s="1231" t="s">
        <v>1081</v>
      </c>
      <c r="I30" s="1231" t="s">
        <v>1081</v>
      </c>
      <c r="J30" s="1231" t="s">
        <v>1081</v>
      </c>
      <c r="K30" s="1231" t="s">
        <v>1081</v>
      </c>
      <c r="L30" s="1231" t="s">
        <v>1081</v>
      </c>
      <c r="M30" s="1231" t="s">
        <v>1081</v>
      </c>
      <c r="N30" s="1231" t="s">
        <v>1081</v>
      </c>
      <c r="O30" s="1231" t="s">
        <v>1081</v>
      </c>
      <c r="P30" s="1231">
        <v>1070.2</v>
      </c>
      <c r="Q30" s="1231" t="s">
        <v>1081</v>
      </c>
      <c r="R30" s="1231" t="s">
        <v>1081</v>
      </c>
      <c r="S30" s="1231">
        <v>1294.9000000000001</v>
      </c>
      <c r="T30" s="1232" t="s">
        <v>1081</v>
      </c>
      <c r="AA30" s="1140">
        <f>F27*65/1000000</f>
        <v>12.342609500000002</v>
      </c>
      <c r="AB30" s="1140" t="s">
        <v>1728</v>
      </c>
    </row>
    <row r="31" spans="1:28">
      <c r="B31" s="1158" t="s">
        <v>1729</v>
      </c>
      <c r="C31" s="1231">
        <v>22995.5</v>
      </c>
      <c r="D31" s="1231" t="s">
        <v>1081</v>
      </c>
      <c r="E31" s="1231" t="s">
        <v>1081</v>
      </c>
      <c r="F31" s="1231">
        <v>85</v>
      </c>
      <c r="G31" s="1231" t="s">
        <v>1081</v>
      </c>
      <c r="H31" s="1231" t="s">
        <v>1081</v>
      </c>
      <c r="I31" s="1231" t="s">
        <v>1081</v>
      </c>
      <c r="J31" s="1231" t="s">
        <v>1081</v>
      </c>
      <c r="K31" s="1231" t="s">
        <v>1081</v>
      </c>
      <c r="L31" s="1231" t="s">
        <v>1081</v>
      </c>
      <c r="M31" s="1231" t="s">
        <v>1081</v>
      </c>
      <c r="N31" s="1231" t="s">
        <v>1081</v>
      </c>
      <c r="O31" s="1231">
        <v>85</v>
      </c>
      <c r="P31" s="1231">
        <v>13917.1</v>
      </c>
      <c r="Q31" s="1231" t="s">
        <v>1081</v>
      </c>
      <c r="R31" s="1231">
        <v>7166.1</v>
      </c>
      <c r="S31" s="1231">
        <v>1827.3</v>
      </c>
      <c r="T31" s="1232" t="s">
        <v>1081</v>
      </c>
    </row>
    <row r="32" spans="1:28">
      <c r="B32" s="1158" t="s">
        <v>1730</v>
      </c>
      <c r="C32" s="1231">
        <v>3361.1</v>
      </c>
      <c r="D32" s="1231" t="s">
        <v>1081</v>
      </c>
      <c r="E32" s="1231" t="s">
        <v>1081</v>
      </c>
      <c r="F32" s="1231">
        <v>123.2</v>
      </c>
      <c r="G32" s="1231" t="s">
        <v>1081</v>
      </c>
      <c r="H32" s="1231" t="s">
        <v>1081</v>
      </c>
      <c r="I32" s="1231" t="s">
        <v>1081</v>
      </c>
      <c r="J32" s="1231" t="s">
        <v>1081</v>
      </c>
      <c r="K32" s="1231" t="s">
        <v>1081</v>
      </c>
      <c r="L32" s="1231" t="s">
        <v>1081</v>
      </c>
      <c r="M32" s="1231">
        <v>123.2</v>
      </c>
      <c r="N32" s="1231" t="s">
        <v>1081</v>
      </c>
      <c r="O32" s="1231" t="s">
        <v>1081</v>
      </c>
      <c r="P32" s="1231">
        <v>74.2</v>
      </c>
      <c r="Q32" s="1231" t="s">
        <v>1081</v>
      </c>
      <c r="R32" s="1231" t="s">
        <v>1081</v>
      </c>
      <c r="S32" s="1231">
        <v>3163.7</v>
      </c>
      <c r="T32" s="1232" t="s">
        <v>1081</v>
      </c>
      <c r="Z32" s="1140" t="s">
        <v>1731</v>
      </c>
      <c r="AA32" s="1140" t="s">
        <v>62</v>
      </c>
    </row>
    <row r="33" spans="2:28">
      <c r="B33" s="1158" t="s">
        <v>1732</v>
      </c>
      <c r="C33" s="1231">
        <v>12373.6</v>
      </c>
      <c r="D33" s="1231" t="s">
        <v>1081</v>
      </c>
      <c r="E33" s="1231" t="s">
        <v>1081</v>
      </c>
      <c r="F33" s="1231">
        <v>148.6</v>
      </c>
      <c r="G33" s="1231" t="s">
        <v>1081</v>
      </c>
      <c r="H33" s="1231" t="s">
        <v>1081</v>
      </c>
      <c r="I33" s="1231" t="s">
        <v>1081</v>
      </c>
      <c r="J33" s="1231" t="s">
        <v>1081</v>
      </c>
      <c r="K33" s="1231" t="s">
        <v>1081</v>
      </c>
      <c r="L33" s="1231">
        <v>4.3</v>
      </c>
      <c r="M33" s="1231">
        <v>131.69999999999999</v>
      </c>
      <c r="N33" s="1231" t="s">
        <v>1081</v>
      </c>
      <c r="O33" s="1231">
        <v>12.6</v>
      </c>
      <c r="P33" s="1231">
        <v>10460.299999999999</v>
      </c>
      <c r="Q33" s="1231" t="s">
        <v>1081</v>
      </c>
      <c r="R33" s="1231" t="s">
        <v>1081</v>
      </c>
      <c r="S33" s="1231">
        <v>1764.7</v>
      </c>
      <c r="T33" s="1232" t="s">
        <v>1081</v>
      </c>
      <c r="Z33" s="1140">
        <f>AA33*56/1000</f>
        <v>11.920669600000002</v>
      </c>
      <c r="AA33" s="1141">
        <f>(-1*P16-P26)/1000</f>
        <v>212.8691</v>
      </c>
      <c r="AB33" s="1140" t="s">
        <v>1733</v>
      </c>
    </row>
    <row r="34" spans="2:28">
      <c r="B34" s="1158" t="s">
        <v>1734</v>
      </c>
      <c r="C34" s="1231">
        <v>21.5</v>
      </c>
      <c r="D34" s="1231" t="s">
        <v>1081</v>
      </c>
      <c r="E34" s="1231" t="s">
        <v>1081</v>
      </c>
      <c r="F34" s="1231">
        <v>4.3</v>
      </c>
      <c r="G34" s="1231" t="s">
        <v>1081</v>
      </c>
      <c r="H34" s="1231" t="s">
        <v>1081</v>
      </c>
      <c r="I34" s="1231" t="s">
        <v>1081</v>
      </c>
      <c r="J34" s="1231" t="s">
        <v>1081</v>
      </c>
      <c r="K34" s="1231" t="s">
        <v>1081</v>
      </c>
      <c r="L34" s="1231">
        <v>4.3</v>
      </c>
      <c r="M34" s="1231" t="s">
        <v>1081</v>
      </c>
      <c r="N34" s="1231" t="s">
        <v>1081</v>
      </c>
      <c r="O34" s="1231" t="s">
        <v>1081</v>
      </c>
      <c r="P34" s="1231">
        <v>7.8</v>
      </c>
      <c r="Q34" s="1231" t="s">
        <v>1081</v>
      </c>
      <c r="R34" s="1231" t="s">
        <v>1081</v>
      </c>
      <c r="S34" s="1231">
        <v>9.4</v>
      </c>
      <c r="T34" s="1232" t="s">
        <v>1081</v>
      </c>
      <c r="Z34" s="1140">
        <f>AA34*65/1000</f>
        <v>0.71030700000000002</v>
      </c>
      <c r="AA34" s="1141">
        <f>C22/-1000</f>
        <v>10.9278</v>
      </c>
      <c r="AB34" s="1140" t="s">
        <v>1735</v>
      </c>
    </row>
    <row r="35" spans="2:28">
      <c r="B35" s="1158" t="s">
        <v>1010</v>
      </c>
      <c r="C35" s="1231">
        <v>1481.5</v>
      </c>
      <c r="D35" s="1231" t="s">
        <v>1081</v>
      </c>
      <c r="E35" s="1231" t="s">
        <v>1081</v>
      </c>
      <c r="F35" s="1231">
        <v>26</v>
      </c>
      <c r="G35" s="1231" t="s">
        <v>1081</v>
      </c>
      <c r="H35" s="1231">
        <v>4.7</v>
      </c>
      <c r="I35" s="1231" t="s">
        <v>1081</v>
      </c>
      <c r="J35" s="1231" t="s">
        <v>1081</v>
      </c>
      <c r="K35" s="1231" t="s">
        <v>1081</v>
      </c>
      <c r="L35" s="1231">
        <v>4.3</v>
      </c>
      <c r="M35" s="1231">
        <v>17</v>
      </c>
      <c r="N35" s="1231" t="s">
        <v>1081</v>
      </c>
      <c r="O35" s="1231" t="s">
        <v>1081</v>
      </c>
      <c r="P35" s="1231">
        <v>703.1</v>
      </c>
      <c r="Q35" s="1231" t="s">
        <v>1081</v>
      </c>
      <c r="R35" s="1231" t="s">
        <v>1081</v>
      </c>
      <c r="S35" s="1231">
        <v>752.4</v>
      </c>
      <c r="T35" s="1232" t="s">
        <v>1081</v>
      </c>
      <c r="Z35" s="1140">
        <f>AA35*56/1000</f>
        <v>11.2180936</v>
      </c>
      <c r="AA35" s="1141">
        <f>P27/1000</f>
        <v>200.32310000000001</v>
      </c>
      <c r="AB35" s="1140" t="s">
        <v>1736</v>
      </c>
    </row>
    <row r="36" spans="2:28">
      <c r="B36" s="1159" t="s">
        <v>948</v>
      </c>
      <c r="C36" s="1231">
        <v>1162.8999999999999</v>
      </c>
      <c r="D36" s="1231" t="s">
        <v>1081</v>
      </c>
      <c r="E36" s="1231" t="s">
        <v>1081</v>
      </c>
      <c r="F36" s="1231">
        <v>328.79999999999995</v>
      </c>
      <c r="G36" s="1231" t="s">
        <v>1081</v>
      </c>
      <c r="H36" s="1231">
        <v>4.7</v>
      </c>
      <c r="I36" s="1231" t="s">
        <v>1081</v>
      </c>
      <c r="J36" s="1231" t="s">
        <v>1081</v>
      </c>
      <c r="K36" s="1231" t="s">
        <v>1081</v>
      </c>
      <c r="L36" s="1231">
        <v>319.89999999999998</v>
      </c>
      <c r="M36" s="1231">
        <v>4.2</v>
      </c>
      <c r="N36" s="1231" t="s">
        <v>1081</v>
      </c>
      <c r="O36" s="1231" t="s">
        <v>1081</v>
      </c>
      <c r="P36" s="1231">
        <v>441.4</v>
      </c>
      <c r="Q36" s="1231" t="s">
        <v>1081</v>
      </c>
      <c r="R36" s="1231" t="s">
        <v>1081</v>
      </c>
      <c r="S36" s="1231">
        <v>392.7</v>
      </c>
      <c r="T36" s="1232" t="s">
        <v>1081</v>
      </c>
      <c r="Z36" s="1140">
        <f>AA36*65/1000</f>
        <v>12.3426095</v>
      </c>
      <c r="AA36" s="1141">
        <f>F27/1000</f>
        <v>189.88630000000001</v>
      </c>
      <c r="AB36" s="1140" t="s">
        <v>1737</v>
      </c>
    </row>
    <row r="37" spans="2:28">
      <c r="B37" s="1159" t="s">
        <v>1738</v>
      </c>
      <c r="C37" s="1231">
        <v>12769.2</v>
      </c>
      <c r="D37" s="1231" t="s">
        <v>1081</v>
      </c>
      <c r="E37" s="1231" t="s">
        <v>1081</v>
      </c>
      <c r="F37" s="1231">
        <v>289.60000000000002</v>
      </c>
      <c r="G37" s="1231" t="s">
        <v>1081</v>
      </c>
      <c r="H37" s="1231">
        <v>4.7</v>
      </c>
      <c r="I37" s="1231" t="s">
        <v>1081</v>
      </c>
      <c r="J37" s="1231" t="s">
        <v>1081</v>
      </c>
      <c r="K37" s="1231" t="s">
        <v>1081</v>
      </c>
      <c r="L37" s="1231">
        <v>89.5</v>
      </c>
      <c r="M37" s="1231">
        <v>195.4</v>
      </c>
      <c r="N37" s="1231" t="s">
        <v>1081</v>
      </c>
      <c r="O37" s="1231" t="s">
        <v>1081</v>
      </c>
      <c r="P37" s="1231">
        <v>9593.1</v>
      </c>
      <c r="Q37" s="1231">
        <v>258.5</v>
      </c>
      <c r="R37" s="1231" t="s">
        <v>1081</v>
      </c>
      <c r="S37" s="1231">
        <v>2628</v>
      </c>
      <c r="T37" s="1232" t="s">
        <v>1081</v>
      </c>
      <c r="Z37" s="1160">
        <f>SUM(Z33:Z36)</f>
        <v>36.191679700000002</v>
      </c>
      <c r="AA37" s="1161">
        <f>SUM(AA33:AA36)</f>
        <v>614.00630000000001</v>
      </c>
      <c r="AB37" s="1160" t="s">
        <v>1739</v>
      </c>
    </row>
    <row r="38" spans="2:28">
      <c r="B38" s="1159" t="s">
        <v>1740</v>
      </c>
      <c r="C38" s="1231">
        <v>361.2</v>
      </c>
      <c r="D38" s="1231" t="s">
        <v>1081</v>
      </c>
      <c r="E38" s="1231" t="s">
        <v>1081</v>
      </c>
      <c r="F38" s="1231" t="s">
        <v>1081</v>
      </c>
      <c r="G38" s="1231" t="s">
        <v>1081</v>
      </c>
      <c r="H38" s="1231" t="s">
        <v>1081</v>
      </c>
      <c r="I38" s="1231" t="s">
        <v>1081</v>
      </c>
      <c r="J38" s="1231" t="s">
        <v>1081</v>
      </c>
      <c r="K38" s="1231" t="s">
        <v>1081</v>
      </c>
      <c r="L38" s="1231" t="s">
        <v>1081</v>
      </c>
      <c r="M38" s="1231" t="s">
        <v>1081</v>
      </c>
      <c r="N38" s="1231" t="s">
        <v>1081</v>
      </c>
      <c r="O38" s="1231" t="s">
        <v>1081</v>
      </c>
      <c r="P38" s="1231">
        <v>97.7</v>
      </c>
      <c r="Q38" s="1231" t="s">
        <v>1081</v>
      </c>
      <c r="R38" s="1231" t="s">
        <v>1081</v>
      </c>
      <c r="S38" s="1231">
        <v>263.5</v>
      </c>
      <c r="T38" s="1232" t="s">
        <v>1081</v>
      </c>
      <c r="Z38" s="1140">
        <f>AA38*56*24/1000</f>
        <v>37.839648000000004</v>
      </c>
      <c r="AA38" s="1141">
        <f>P26/1000</f>
        <v>28.154499999999999</v>
      </c>
      <c r="AB38" s="1140" t="s">
        <v>1741</v>
      </c>
    </row>
    <row r="39" spans="2:28">
      <c r="B39" s="1158" t="s">
        <v>1742</v>
      </c>
      <c r="C39" s="1231">
        <v>159.4</v>
      </c>
      <c r="D39" s="1231" t="s">
        <v>1081</v>
      </c>
      <c r="E39" s="1231" t="s">
        <v>1081</v>
      </c>
      <c r="F39" s="1231" t="s">
        <v>1081</v>
      </c>
      <c r="G39" s="1231" t="s">
        <v>1081</v>
      </c>
      <c r="H39" s="1231" t="s">
        <v>1081</v>
      </c>
      <c r="I39" s="1231" t="s">
        <v>1081</v>
      </c>
      <c r="J39" s="1231" t="s">
        <v>1081</v>
      </c>
      <c r="K39" s="1231" t="s">
        <v>1081</v>
      </c>
      <c r="L39" s="1231" t="s">
        <v>1081</v>
      </c>
      <c r="M39" s="1231" t="s">
        <v>1081</v>
      </c>
      <c r="N39" s="1231" t="s">
        <v>1081</v>
      </c>
      <c r="O39" s="1231" t="s">
        <v>1081</v>
      </c>
      <c r="P39" s="1231">
        <v>3.9</v>
      </c>
      <c r="Q39" s="1231" t="s">
        <v>1081</v>
      </c>
      <c r="R39" s="1231" t="s">
        <v>1081</v>
      </c>
      <c r="S39" s="1231">
        <v>155.5</v>
      </c>
      <c r="T39" s="1232" t="s">
        <v>1081</v>
      </c>
      <c r="Z39" s="1161">
        <f>SUM(Z37:Z38)</f>
        <v>74.031327700000006</v>
      </c>
      <c r="AA39" s="1161">
        <f>SUM(AA37:AA38)</f>
        <v>642.16079999999999</v>
      </c>
      <c r="AB39" s="1160" t="s">
        <v>1743</v>
      </c>
    </row>
    <row r="40" spans="2:28">
      <c r="B40" s="1159" t="s">
        <v>1744</v>
      </c>
      <c r="C40" s="1231">
        <v>1170.0999999999999</v>
      </c>
      <c r="D40" s="1231" t="s">
        <v>1081</v>
      </c>
      <c r="E40" s="1231" t="s">
        <v>1081</v>
      </c>
      <c r="F40" s="1231">
        <v>30.3</v>
      </c>
      <c r="G40" s="1231" t="s">
        <v>1081</v>
      </c>
      <c r="H40" s="1231">
        <v>4.7</v>
      </c>
      <c r="I40" s="1231" t="s">
        <v>1081</v>
      </c>
      <c r="J40" s="1231" t="s">
        <v>1081</v>
      </c>
      <c r="K40" s="1231" t="s">
        <v>1081</v>
      </c>
      <c r="L40" s="1231">
        <v>25.6</v>
      </c>
      <c r="M40" s="1231" t="s">
        <v>1081</v>
      </c>
      <c r="N40" s="1231" t="s">
        <v>1081</v>
      </c>
      <c r="O40" s="1231" t="s">
        <v>1081</v>
      </c>
      <c r="P40" s="1231">
        <v>519.5</v>
      </c>
      <c r="Q40" s="1231" t="s">
        <v>1081</v>
      </c>
      <c r="R40" s="1231" t="s">
        <v>1081</v>
      </c>
      <c r="S40" s="1231">
        <v>620.29999999999995</v>
      </c>
      <c r="T40" s="1232" t="s">
        <v>1081</v>
      </c>
    </row>
    <row r="41" spans="2:28">
      <c r="B41" s="1159" t="s">
        <v>1000</v>
      </c>
      <c r="C41" s="1231">
        <v>8683.7999999999993</v>
      </c>
      <c r="D41" s="1231" t="s">
        <v>1081</v>
      </c>
      <c r="E41" s="1231" t="s">
        <v>1081</v>
      </c>
      <c r="F41" s="1231">
        <v>4707.5</v>
      </c>
      <c r="G41" s="1231" t="s">
        <v>1081</v>
      </c>
      <c r="H41" s="1231">
        <v>4.7</v>
      </c>
      <c r="I41" s="1231" t="s">
        <v>1081</v>
      </c>
      <c r="J41" s="1231" t="s">
        <v>1081</v>
      </c>
      <c r="K41" s="1231" t="s">
        <v>1081</v>
      </c>
      <c r="L41" s="1231">
        <v>3135.2</v>
      </c>
      <c r="M41" s="1231">
        <v>1567.6</v>
      </c>
      <c r="N41" s="1231" t="s">
        <v>1081</v>
      </c>
      <c r="O41" s="1231" t="s">
        <v>1081</v>
      </c>
      <c r="P41" s="1231">
        <v>1562.4</v>
      </c>
      <c r="Q41" s="1231">
        <v>10.5</v>
      </c>
      <c r="R41" s="1231" t="s">
        <v>1081</v>
      </c>
      <c r="S41" s="1231">
        <v>2403.4</v>
      </c>
      <c r="T41" s="1232" t="s">
        <v>1081</v>
      </c>
    </row>
    <row r="42" spans="2:28">
      <c r="B42" s="1158" t="s">
        <v>1745</v>
      </c>
      <c r="C42" s="1231">
        <v>1060.8000000000002</v>
      </c>
      <c r="D42" s="1231" t="s">
        <v>1081</v>
      </c>
      <c r="E42" s="1231" t="s">
        <v>1081</v>
      </c>
      <c r="F42" s="1231">
        <v>51.1</v>
      </c>
      <c r="G42" s="1231" t="s">
        <v>1081</v>
      </c>
      <c r="H42" s="1231" t="s">
        <v>1081</v>
      </c>
      <c r="I42" s="1231" t="s">
        <v>1081</v>
      </c>
      <c r="J42" s="1231" t="s">
        <v>1081</v>
      </c>
      <c r="K42" s="1231" t="s">
        <v>1081</v>
      </c>
      <c r="L42" s="1231">
        <v>46.9</v>
      </c>
      <c r="M42" s="1231">
        <v>4.2</v>
      </c>
      <c r="N42" s="1231" t="s">
        <v>1081</v>
      </c>
      <c r="O42" s="1231" t="s">
        <v>1081</v>
      </c>
      <c r="P42" s="1231">
        <v>453.1</v>
      </c>
      <c r="Q42" s="1231" t="s">
        <v>1081</v>
      </c>
      <c r="R42" s="1231" t="s">
        <v>1081</v>
      </c>
      <c r="S42" s="1231">
        <v>556.6</v>
      </c>
      <c r="T42" s="1232" t="s">
        <v>1081</v>
      </c>
      <c r="AA42" s="1140" t="s">
        <v>1746</v>
      </c>
    </row>
    <row r="43" spans="2:28">
      <c r="B43" s="1162" t="s">
        <v>994</v>
      </c>
      <c r="C43" s="1233">
        <v>116855.90000000001</v>
      </c>
      <c r="D43" s="1231" t="s">
        <v>1081</v>
      </c>
      <c r="E43" s="1231" t="s">
        <v>1081</v>
      </c>
      <c r="F43" s="1233">
        <v>115375.30000000002</v>
      </c>
      <c r="G43" s="1231" t="s">
        <v>1081</v>
      </c>
      <c r="H43" s="1231">
        <v>848.9</v>
      </c>
      <c r="I43" s="1231">
        <v>58030.9</v>
      </c>
      <c r="J43" s="1231">
        <v>12960.8</v>
      </c>
      <c r="K43" s="1231">
        <v>4.3</v>
      </c>
      <c r="L43" s="1231">
        <v>43513.4</v>
      </c>
      <c r="M43" s="1231">
        <v>17</v>
      </c>
      <c r="N43" s="1231" t="s">
        <v>1081</v>
      </c>
      <c r="O43" s="1231" t="s">
        <v>1081</v>
      </c>
      <c r="P43" s="1233">
        <v>23.4</v>
      </c>
      <c r="Q43" s="1233">
        <v>2.1</v>
      </c>
      <c r="R43" s="1231" t="s">
        <v>1081</v>
      </c>
      <c r="S43" s="1233">
        <v>1427.4</v>
      </c>
      <c r="T43" s="1234">
        <v>27.7</v>
      </c>
      <c r="AA43" s="1140">
        <v>14.3</v>
      </c>
      <c r="AB43" s="1140" t="s">
        <v>1671</v>
      </c>
    </row>
    <row r="44" spans="2:28">
      <c r="B44" s="1159" t="s">
        <v>1747</v>
      </c>
      <c r="C44" s="1231">
        <v>100725.3</v>
      </c>
      <c r="D44" s="1231" t="s">
        <v>1081</v>
      </c>
      <c r="E44" s="1231" t="s">
        <v>1081</v>
      </c>
      <c r="F44" s="1231">
        <v>100725.3</v>
      </c>
      <c r="G44" s="1231" t="s">
        <v>1081</v>
      </c>
      <c r="H44" s="1231">
        <v>848.9</v>
      </c>
      <c r="I44" s="1231">
        <v>58030.9</v>
      </c>
      <c r="J44" s="1231" t="s">
        <v>1081</v>
      </c>
      <c r="K44" s="1231" t="s">
        <v>1081</v>
      </c>
      <c r="L44" s="1231">
        <v>41845.5</v>
      </c>
      <c r="M44" s="1231" t="s">
        <v>1081</v>
      </c>
      <c r="N44" s="1231" t="s">
        <v>1081</v>
      </c>
      <c r="O44" s="1231" t="s">
        <v>1081</v>
      </c>
      <c r="P44" s="1231" t="s">
        <v>1081</v>
      </c>
      <c r="Q44" s="1231" t="s">
        <v>1081</v>
      </c>
      <c r="R44" s="1231" t="s">
        <v>1081</v>
      </c>
      <c r="S44" s="1231" t="s">
        <v>1081</v>
      </c>
      <c r="T44" s="1232" t="s">
        <v>1081</v>
      </c>
      <c r="AA44" s="1140">
        <v>6.94</v>
      </c>
      <c r="AB44" s="1140" t="s">
        <v>1748</v>
      </c>
    </row>
    <row r="45" spans="2:28">
      <c r="B45" s="1158" t="s">
        <v>992</v>
      </c>
      <c r="C45" s="1231">
        <v>1543</v>
      </c>
      <c r="D45" s="1231" t="s">
        <v>1081</v>
      </c>
      <c r="E45" s="1231" t="s">
        <v>1081</v>
      </c>
      <c r="F45" s="1231">
        <v>349.7</v>
      </c>
      <c r="G45" s="1231" t="s">
        <v>1081</v>
      </c>
      <c r="H45" s="1231" t="s">
        <v>1081</v>
      </c>
      <c r="I45" s="1231" t="s">
        <v>1081</v>
      </c>
      <c r="J45" s="1231" t="s">
        <v>1081</v>
      </c>
      <c r="K45" s="1231" t="s">
        <v>1081</v>
      </c>
      <c r="L45" s="1231">
        <v>345.5</v>
      </c>
      <c r="M45" s="1231">
        <v>4.2</v>
      </c>
      <c r="N45" s="1231" t="s">
        <v>1081</v>
      </c>
      <c r="O45" s="1231" t="s">
        <v>1081</v>
      </c>
      <c r="P45" s="1231" t="s">
        <v>1081</v>
      </c>
      <c r="Q45" s="1231">
        <v>2.1</v>
      </c>
      <c r="R45" s="1231" t="s">
        <v>1081</v>
      </c>
      <c r="S45" s="1231">
        <v>1163.5</v>
      </c>
      <c r="T45" s="1232">
        <v>27.7</v>
      </c>
      <c r="AA45" s="1140">
        <v>6.7</v>
      </c>
      <c r="AB45" s="1140" t="s">
        <v>1749</v>
      </c>
    </row>
    <row r="46" spans="2:28">
      <c r="B46" s="1159" t="s">
        <v>986</v>
      </c>
      <c r="C46" s="1231">
        <v>12977.999999999998</v>
      </c>
      <c r="D46" s="1231" t="s">
        <v>1081</v>
      </c>
      <c r="E46" s="1231" t="s">
        <v>1081</v>
      </c>
      <c r="F46" s="1231">
        <v>12977.999999999998</v>
      </c>
      <c r="G46" s="1231" t="s">
        <v>1081</v>
      </c>
      <c r="H46" s="1231" t="s">
        <v>1081</v>
      </c>
      <c r="I46" s="1231" t="s">
        <v>1081</v>
      </c>
      <c r="J46" s="1231">
        <v>12960.8</v>
      </c>
      <c r="K46" s="1231">
        <v>4.3</v>
      </c>
      <c r="L46" s="1231">
        <v>12.9</v>
      </c>
      <c r="M46" s="1231" t="s">
        <v>1081</v>
      </c>
      <c r="N46" s="1231" t="s">
        <v>1081</v>
      </c>
      <c r="O46" s="1231" t="s">
        <v>1081</v>
      </c>
      <c r="P46" s="1231" t="s">
        <v>1081</v>
      </c>
      <c r="Q46" s="1231" t="s">
        <v>1081</v>
      </c>
      <c r="R46" s="1231" t="s">
        <v>1081</v>
      </c>
      <c r="S46" s="1231" t="s">
        <v>1081</v>
      </c>
      <c r="T46" s="1232" t="s">
        <v>1081</v>
      </c>
      <c r="AA46" s="1140">
        <v>6.5</v>
      </c>
      <c r="AB46" s="1140" t="s">
        <v>994</v>
      </c>
    </row>
    <row r="47" spans="2:28">
      <c r="B47" s="1159" t="s">
        <v>1750</v>
      </c>
      <c r="C47" s="1231">
        <v>1309.5</v>
      </c>
      <c r="D47" s="1231" t="s">
        <v>1081</v>
      </c>
      <c r="E47" s="1231" t="s">
        <v>1081</v>
      </c>
      <c r="F47" s="1231">
        <v>1309.5</v>
      </c>
      <c r="G47" s="1231" t="s">
        <v>1081</v>
      </c>
      <c r="H47" s="1231" t="s">
        <v>1081</v>
      </c>
      <c r="I47" s="1231" t="s">
        <v>1081</v>
      </c>
      <c r="J47" s="1231" t="s">
        <v>1081</v>
      </c>
      <c r="K47" s="1231" t="s">
        <v>1081</v>
      </c>
      <c r="L47" s="1231">
        <v>1309.5</v>
      </c>
      <c r="M47" s="1231" t="s">
        <v>1081</v>
      </c>
      <c r="N47" s="1231" t="s">
        <v>1081</v>
      </c>
      <c r="O47" s="1231" t="s">
        <v>1081</v>
      </c>
      <c r="P47" s="1231" t="s">
        <v>1081</v>
      </c>
      <c r="Q47" s="1231" t="s">
        <v>1081</v>
      </c>
      <c r="R47" s="1231" t="s">
        <v>1081</v>
      </c>
      <c r="S47" s="1231" t="s">
        <v>1081</v>
      </c>
      <c r="T47" s="1232" t="s">
        <v>1081</v>
      </c>
      <c r="AA47" s="1140">
        <v>3.92</v>
      </c>
      <c r="AB47" s="1140" t="s">
        <v>56</v>
      </c>
    </row>
    <row r="48" spans="2:28">
      <c r="B48" s="1159" t="s">
        <v>982</v>
      </c>
      <c r="C48" s="1231">
        <v>287.29999999999995</v>
      </c>
      <c r="D48" s="1231" t="s">
        <v>1081</v>
      </c>
      <c r="E48" s="1231" t="s">
        <v>1081</v>
      </c>
      <c r="F48" s="1231" t="s">
        <v>1081</v>
      </c>
      <c r="G48" s="1231" t="s">
        <v>1081</v>
      </c>
      <c r="H48" s="1231" t="s">
        <v>1081</v>
      </c>
      <c r="I48" s="1231" t="s">
        <v>1081</v>
      </c>
      <c r="J48" s="1231" t="s">
        <v>1081</v>
      </c>
      <c r="K48" s="1231" t="s">
        <v>1081</v>
      </c>
      <c r="L48" s="1231" t="s">
        <v>1081</v>
      </c>
      <c r="M48" s="1231" t="s">
        <v>1081</v>
      </c>
      <c r="N48" s="1231" t="s">
        <v>1081</v>
      </c>
      <c r="O48" s="1231" t="s">
        <v>1081</v>
      </c>
      <c r="P48" s="1231">
        <v>23.4</v>
      </c>
      <c r="Q48" s="1231" t="s">
        <v>1081</v>
      </c>
      <c r="R48" s="1231" t="s">
        <v>1081</v>
      </c>
      <c r="S48" s="1231">
        <v>263.89999999999998</v>
      </c>
      <c r="T48" s="1232" t="s">
        <v>1081</v>
      </c>
      <c r="AA48" s="1140">
        <v>2.8</v>
      </c>
      <c r="AB48" s="1140" t="s">
        <v>1751</v>
      </c>
    </row>
    <row r="49" spans="2:28" ht="27.6">
      <c r="B49" s="1163" t="s">
        <v>1752</v>
      </c>
      <c r="C49" s="1231">
        <v>12.8</v>
      </c>
      <c r="D49" s="1231" t="s">
        <v>1081</v>
      </c>
      <c r="E49" s="1231" t="s">
        <v>1081</v>
      </c>
      <c r="F49" s="1231">
        <v>12.8</v>
      </c>
      <c r="G49" s="1231" t="s">
        <v>1081</v>
      </c>
      <c r="H49" s="1231" t="s">
        <v>1081</v>
      </c>
      <c r="I49" s="1231" t="s">
        <v>1081</v>
      </c>
      <c r="J49" s="1231" t="s">
        <v>1081</v>
      </c>
      <c r="K49" s="1231" t="s">
        <v>1081</v>
      </c>
      <c r="L49" s="1231" t="s">
        <v>1081</v>
      </c>
      <c r="M49" s="1231">
        <v>12.8</v>
      </c>
      <c r="N49" s="1231" t="s">
        <v>1081</v>
      </c>
      <c r="O49" s="1231" t="s">
        <v>1081</v>
      </c>
      <c r="P49" s="1231" t="s">
        <v>1081</v>
      </c>
      <c r="Q49" s="1231" t="s">
        <v>1081</v>
      </c>
      <c r="R49" s="1231" t="s">
        <v>1081</v>
      </c>
      <c r="S49" s="1231" t="s">
        <v>1081</v>
      </c>
      <c r="T49" s="1232" t="s">
        <v>1081</v>
      </c>
      <c r="AA49" s="1140">
        <v>1.7</v>
      </c>
      <c r="AB49" s="1140" t="s">
        <v>1022</v>
      </c>
    </row>
    <row r="50" spans="2:28">
      <c r="B50" s="1162" t="s">
        <v>1753</v>
      </c>
      <c r="C50" s="1233">
        <v>232306.1</v>
      </c>
      <c r="D50" s="1231" t="s">
        <v>1081</v>
      </c>
      <c r="E50" s="1231" t="s">
        <v>1081</v>
      </c>
      <c r="F50" s="1233">
        <v>14639.2</v>
      </c>
      <c r="G50" s="1231" t="s">
        <v>1081</v>
      </c>
      <c r="H50" s="1231">
        <v>161.30000000000001</v>
      </c>
      <c r="I50" s="1231">
        <v>220.3</v>
      </c>
      <c r="J50" s="1231" t="s">
        <v>1081</v>
      </c>
      <c r="K50" s="1231">
        <v>21.5</v>
      </c>
      <c r="L50" s="1231">
        <v>13641.4</v>
      </c>
      <c r="M50" s="1231">
        <v>594.70000000000005</v>
      </c>
      <c r="N50" s="1231" t="s">
        <v>1081</v>
      </c>
      <c r="O50" s="1231" t="s">
        <v>1081</v>
      </c>
      <c r="P50" s="1233">
        <v>160165.5</v>
      </c>
      <c r="Q50" s="1233">
        <v>1513.2</v>
      </c>
      <c r="R50" s="1233">
        <v>6041.4</v>
      </c>
      <c r="S50" s="1233">
        <v>49938.5</v>
      </c>
      <c r="T50" s="1234">
        <v>8.3000000000000007</v>
      </c>
      <c r="AA50" s="1140">
        <v>1.36</v>
      </c>
      <c r="AB50" s="1140" t="s">
        <v>1754</v>
      </c>
    </row>
    <row r="51" spans="2:28">
      <c r="B51" s="1158" t="s">
        <v>1755</v>
      </c>
      <c r="C51" s="1231">
        <v>21730.699999999997</v>
      </c>
      <c r="D51" s="1231" t="s">
        <v>1081</v>
      </c>
      <c r="E51" s="1231" t="s">
        <v>1081</v>
      </c>
      <c r="F51" s="1231">
        <v>13511.1</v>
      </c>
      <c r="G51" s="1231" t="s">
        <v>1081</v>
      </c>
      <c r="H51" s="1231">
        <v>9.5</v>
      </c>
      <c r="I51" s="1231">
        <v>190.1</v>
      </c>
      <c r="J51" s="1231" t="s">
        <v>1081</v>
      </c>
      <c r="K51" s="1231" t="s">
        <v>1081</v>
      </c>
      <c r="L51" s="1231">
        <v>12971.7</v>
      </c>
      <c r="M51" s="1231">
        <v>339.8</v>
      </c>
      <c r="N51" s="1231" t="s">
        <v>1081</v>
      </c>
      <c r="O51" s="1231" t="s">
        <v>1081</v>
      </c>
      <c r="P51" s="1231">
        <v>4085.7</v>
      </c>
      <c r="Q51" s="1231">
        <v>12.6</v>
      </c>
      <c r="R51" s="1231" t="s">
        <v>1081</v>
      </c>
      <c r="S51" s="1231">
        <v>4121.3</v>
      </c>
      <c r="T51" s="1232" t="s">
        <v>1081</v>
      </c>
      <c r="AA51" s="1140">
        <v>0.7</v>
      </c>
      <c r="AB51" s="1140" t="s">
        <v>1756</v>
      </c>
    </row>
    <row r="52" spans="2:28">
      <c r="B52" s="1159" t="s">
        <v>1757</v>
      </c>
      <c r="C52" s="1231">
        <v>51900.800000000003</v>
      </c>
      <c r="D52" s="1231" t="s">
        <v>1081</v>
      </c>
      <c r="E52" s="1231" t="s">
        <v>1081</v>
      </c>
      <c r="F52" s="1231">
        <v>636.6</v>
      </c>
      <c r="G52" s="1231" t="s">
        <v>1081</v>
      </c>
      <c r="H52" s="1231">
        <v>19</v>
      </c>
      <c r="I52" s="1231" t="s">
        <v>1081</v>
      </c>
      <c r="J52" s="1231" t="s">
        <v>1081</v>
      </c>
      <c r="K52" s="1231">
        <v>17.2</v>
      </c>
      <c r="L52" s="1231">
        <v>345.5</v>
      </c>
      <c r="M52" s="1231">
        <v>254.9</v>
      </c>
      <c r="N52" s="1231" t="s">
        <v>1081</v>
      </c>
      <c r="O52" s="1231" t="s">
        <v>1081</v>
      </c>
      <c r="P52" s="1231">
        <v>26521.7</v>
      </c>
      <c r="Q52" s="1231">
        <v>1042.5</v>
      </c>
      <c r="R52" s="1231">
        <v>979.3</v>
      </c>
      <c r="S52" s="1231">
        <v>22712.400000000001</v>
      </c>
      <c r="T52" s="1232">
        <v>8.3000000000000007</v>
      </c>
      <c r="AA52" s="1140">
        <v>-8.4700000000000006</v>
      </c>
      <c r="AB52" s="1140" t="s">
        <v>1758</v>
      </c>
    </row>
    <row r="53" spans="2:28">
      <c r="B53" s="1159" t="s">
        <v>1759</v>
      </c>
      <c r="C53" s="1231">
        <v>158674.6</v>
      </c>
      <c r="D53" s="1231" t="s">
        <v>1081</v>
      </c>
      <c r="E53" s="1231" t="s">
        <v>1081</v>
      </c>
      <c r="F53" s="1231">
        <v>491.5</v>
      </c>
      <c r="G53" s="1231" t="s">
        <v>1081</v>
      </c>
      <c r="H53" s="1231">
        <v>132.80000000000001</v>
      </c>
      <c r="I53" s="1231">
        <v>30.2</v>
      </c>
      <c r="J53" s="1231" t="s">
        <v>1081</v>
      </c>
      <c r="K53" s="1231">
        <v>4.3</v>
      </c>
      <c r="L53" s="1231">
        <v>324.2</v>
      </c>
      <c r="M53" s="1231" t="s">
        <v>1081</v>
      </c>
      <c r="N53" s="1231" t="s">
        <v>1081</v>
      </c>
      <c r="O53" s="1231" t="s">
        <v>1081</v>
      </c>
      <c r="P53" s="1231">
        <v>129558.1</v>
      </c>
      <c r="Q53" s="1231">
        <v>458.1</v>
      </c>
      <c r="R53" s="1231">
        <v>5062.1000000000004</v>
      </c>
      <c r="S53" s="1231">
        <v>23104.799999999999</v>
      </c>
      <c r="T53" s="1232" t="s">
        <v>1081</v>
      </c>
      <c r="AA53" s="1140">
        <f>SUM(AA43:AA52)</f>
        <v>36.450000000000003</v>
      </c>
      <c r="AB53" s="1140" t="s">
        <v>1760</v>
      </c>
    </row>
    <row r="54" spans="2:28">
      <c r="B54" s="1159" t="s">
        <v>1761</v>
      </c>
      <c r="C54" s="1231" t="s">
        <v>1081</v>
      </c>
      <c r="D54" s="1231" t="s">
        <v>1081</v>
      </c>
      <c r="E54" s="1231" t="s">
        <v>1081</v>
      </c>
      <c r="F54" s="1231" t="s">
        <v>1081</v>
      </c>
      <c r="G54" s="1231" t="s">
        <v>1081</v>
      </c>
      <c r="H54" s="1231" t="s">
        <v>1081</v>
      </c>
      <c r="I54" s="1231" t="s">
        <v>1081</v>
      </c>
      <c r="J54" s="1231" t="s">
        <v>1081</v>
      </c>
      <c r="K54" s="1231" t="s">
        <v>1081</v>
      </c>
      <c r="L54" s="1231" t="s">
        <v>1081</v>
      </c>
      <c r="M54" s="1231" t="s">
        <v>1081</v>
      </c>
      <c r="N54" s="1231" t="s">
        <v>1081</v>
      </c>
      <c r="O54" s="1231" t="s">
        <v>1081</v>
      </c>
      <c r="P54" s="1231" t="s">
        <v>1081</v>
      </c>
      <c r="Q54" s="1231" t="s">
        <v>1081</v>
      </c>
      <c r="R54" s="1231" t="s">
        <v>1081</v>
      </c>
      <c r="S54" s="1231" t="s">
        <v>1081</v>
      </c>
      <c r="T54" s="1232" t="s">
        <v>1081</v>
      </c>
      <c r="AA54" s="1140">
        <f>AA43+AA45+AA46+AA48+AA49+AA50+AA51</f>
        <v>34.06</v>
      </c>
      <c r="AB54" s="1140" t="s">
        <v>1762</v>
      </c>
    </row>
    <row r="55" spans="2:28" ht="14.4" thickBot="1">
      <c r="B55" s="1164" t="s">
        <v>1763</v>
      </c>
      <c r="C55" s="1235">
        <v>55460.800000000003</v>
      </c>
      <c r="D55" s="1236" t="s">
        <v>1081</v>
      </c>
      <c r="E55" s="1236" t="s">
        <v>1081</v>
      </c>
      <c r="F55" s="1235">
        <v>54077.4</v>
      </c>
      <c r="G55" s="1236">
        <v>2307.5</v>
      </c>
      <c r="H55" s="1236">
        <v>6943</v>
      </c>
      <c r="I55" s="1236" t="s">
        <v>1081</v>
      </c>
      <c r="J55" s="1236" t="s">
        <v>1081</v>
      </c>
      <c r="K55" s="1236">
        <v>163.6</v>
      </c>
      <c r="L55" s="1236">
        <v>145</v>
      </c>
      <c r="M55" s="1236">
        <v>620.20000000000005</v>
      </c>
      <c r="N55" s="1236">
        <v>9958.6</v>
      </c>
      <c r="O55" s="1236">
        <v>33939.5</v>
      </c>
      <c r="P55" s="1235">
        <v>1230.4000000000001</v>
      </c>
      <c r="Q55" s="1236" t="s">
        <v>1081</v>
      </c>
      <c r="R55" s="1236" t="s">
        <v>1081</v>
      </c>
      <c r="S55" s="1236" t="s">
        <v>1081</v>
      </c>
      <c r="T55" s="1237">
        <v>153</v>
      </c>
    </row>
  </sheetData>
  <mergeCells count="12">
    <mergeCell ref="R4:R5"/>
    <mergeCell ref="S4:S5"/>
    <mergeCell ref="T4:T5"/>
    <mergeCell ref="B2:T2"/>
    <mergeCell ref="B4:B5"/>
    <mergeCell ref="C4:C5"/>
    <mergeCell ref="D4:D5"/>
    <mergeCell ref="E4:E5"/>
    <mergeCell ref="F4:F5"/>
    <mergeCell ref="G4:O4"/>
    <mergeCell ref="P4:P5"/>
    <mergeCell ref="Q4:Q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4"/>
  <sheetViews>
    <sheetView topLeftCell="A13" workbookViewId="0">
      <selection activeCell="H25" sqref="H25"/>
    </sheetView>
  </sheetViews>
  <sheetFormatPr defaultColWidth="11.44140625" defaultRowHeight="13.2"/>
  <cols>
    <col min="1" max="16384" width="11.44140625" style="602"/>
  </cols>
  <sheetData>
    <row r="1" spans="1:2">
      <c r="A1" s="1122" t="s">
        <v>1628</v>
      </c>
      <c r="B1" s="1123" t="s">
        <v>1629</v>
      </c>
    </row>
    <row r="2" spans="1:2">
      <c r="A2" s="1124"/>
      <c r="B2" s="1125" t="s">
        <v>1630</v>
      </c>
    </row>
    <row r="53" spans="4:6">
      <c r="E53" s="602" t="s">
        <v>1631</v>
      </c>
      <c r="F53" s="602" t="s">
        <v>62</v>
      </c>
    </row>
    <row r="54" spans="4:6">
      <c r="D54" s="482">
        <v>2010</v>
      </c>
      <c r="E54" s="602">
        <v>231.1</v>
      </c>
      <c r="F54" s="602">
        <f t="shared" ref="F54:F58" si="0">E54*40.1</f>
        <v>9267.11</v>
      </c>
    </row>
    <row r="55" spans="4:6">
      <c r="D55" s="482">
        <v>2011</v>
      </c>
      <c r="E55" s="602">
        <v>219.6</v>
      </c>
      <c r="F55" s="602">
        <f t="shared" si="0"/>
        <v>8805.9600000000009</v>
      </c>
    </row>
    <row r="56" spans="4:6">
      <c r="D56" s="482">
        <v>2012</v>
      </c>
      <c r="E56" s="602">
        <v>226.3</v>
      </c>
      <c r="F56" s="602">
        <f t="shared" si="0"/>
        <v>9074.630000000001</v>
      </c>
    </row>
    <row r="57" spans="4:6">
      <c r="D57" s="482">
        <v>2013</v>
      </c>
      <c r="E57" s="602">
        <v>215.4</v>
      </c>
      <c r="F57" s="602">
        <f t="shared" si="0"/>
        <v>8637.5400000000009</v>
      </c>
    </row>
    <row r="58" spans="4:6">
      <c r="D58" s="482">
        <v>2014</v>
      </c>
      <c r="E58" s="602">
        <v>217.8</v>
      </c>
      <c r="F58" s="602">
        <f t="shared" si="0"/>
        <v>8733.7800000000007</v>
      </c>
    </row>
    <row r="59" spans="4:6">
      <c r="D59" s="482">
        <v>2015</v>
      </c>
      <c r="E59" s="602">
        <v>229.9</v>
      </c>
      <c r="F59" s="602">
        <f t="shared" ref="F59:F62" si="1">E59*40.1</f>
        <v>9218.99</v>
      </c>
    </row>
    <row r="60" spans="4:6">
      <c r="D60" s="482">
        <v>2016</v>
      </c>
      <c r="E60" s="602">
        <v>232.9</v>
      </c>
      <c r="F60" s="602">
        <f t="shared" si="1"/>
        <v>9339.2900000000009</v>
      </c>
    </row>
    <row r="61" spans="4:6">
      <c r="D61" s="482">
        <v>2017</v>
      </c>
      <c r="E61" s="602">
        <v>239</v>
      </c>
      <c r="F61" s="602">
        <f t="shared" si="1"/>
        <v>9583.9</v>
      </c>
    </row>
    <row r="62" spans="4:6">
      <c r="D62" s="482">
        <v>2018</v>
      </c>
      <c r="E62" s="602">
        <v>229.5</v>
      </c>
      <c r="F62" s="602">
        <f t="shared" si="1"/>
        <v>9202.9500000000007</v>
      </c>
    </row>
    <row r="63" spans="4:6">
      <c r="D63" s="482">
        <v>2019</v>
      </c>
      <c r="E63" s="602">
        <v>215.6</v>
      </c>
      <c r="F63" s="602">
        <f>E63*40.1</f>
        <v>8645.56</v>
      </c>
    </row>
    <row r="64" spans="4:6">
      <c r="D64" s="482">
        <v>2020</v>
      </c>
      <c r="E64" s="602">
        <v>233.4</v>
      </c>
      <c r="F64" s="602">
        <f t="shared" ref="F64:F94" si="2">E64*40.1</f>
        <v>9359.34</v>
      </c>
    </row>
    <row r="65" spans="4:6">
      <c r="D65" s="482">
        <v>2021</v>
      </c>
      <c r="E65" s="602">
        <v>242.2</v>
      </c>
      <c r="F65" s="602">
        <f t="shared" si="2"/>
        <v>9712.2199999999993</v>
      </c>
    </row>
    <row r="66" spans="4:6">
      <c r="D66" s="482">
        <v>2022</v>
      </c>
      <c r="E66" s="602">
        <v>250.2</v>
      </c>
      <c r="F66" s="602">
        <f t="shared" si="2"/>
        <v>10033.02</v>
      </c>
    </row>
    <row r="67" spans="4:6">
      <c r="D67" s="482">
        <v>2023</v>
      </c>
      <c r="E67" s="602">
        <v>254.1</v>
      </c>
      <c r="F67" s="602">
        <f t="shared" si="2"/>
        <v>10189.41</v>
      </c>
    </row>
    <row r="68" spans="4:6">
      <c r="D68" s="482">
        <v>2024</v>
      </c>
      <c r="E68" s="602">
        <v>256.10000000000002</v>
      </c>
      <c r="F68" s="602">
        <f t="shared" si="2"/>
        <v>10269.61</v>
      </c>
    </row>
    <row r="69" spans="4:6">
      <c r="D69" s="482">
        <v>2025</v>
      </c>
      <c r="E69" s="602">
        <v>254.9</v>
      </c>
      <c r="F69" s="602">
        <f t="shared" si="2"/>
        <v>10221.49</v>
      </c>
    </row>
    <row r="70" spans="4:6">
      <c r="D70" s="482">
        <v>2026</v>
      </c>
      <c r="E70" s="602">
        <v>251.9</v>
      </c>
      <c r="F70" s="602">
        <f t="shared" si="2"/>
        <v>10101.19</v>
      </c>
    </row>
    <row r="71" spans="4:6">
      <c r="D71" s="482">
        <v>2027</v>
      </c>
      <c r="E71" s="602">
        <v>244.5</v>
      </c>
      <c r="F71" s="602">
        <f t="shared" si="2"/>
        <v>9804.4500000000007</v>
      </c>
    </row>
    <row r="72" spans="4:6">
      <c r="D72" s="482">
        <v>2028</v>
      </c>
      <c r="E72" s="602">
        <v>234</v>
      </c>
      <c r="F72" s="602">
        <f t="shared" si="2"/>
        <v>9383.4</v>
      </c>
    </row>
    <row r="73" spans="4:6">
      <c r="D73" s="482">
        <v>2029</v>
      </c>
      <c r="E73" s="602">
        <v>220.5</v>
      </c>
      <c r="F73" s="602">
        <f t="shared" si="2"/>
        <v>8842.0500000000011</v>
      </c>
    </row>
    <row r="74" spans="4:6">
      <c r="D74" s="482">
        <v>2030</v>
      </c>
      <c r="E74" s="602">
        <v>206.8</v>
      </c>
      <c r="F74" s="602">
        <f t="shared" si="2"/>
        <v>8292.68</v>
      </c>
    </row>
    <row r="75" spans="4:6">
      <c r="D75" s="482">
        <v>2031</v>
      </c>
      <c r="E75" s="602">
        <v>194.7</v>
      </c>
      <c r="F75" s="602">
        <f t="shared" si="2"/>
        <v>7807.47</v>
      </c>
    </row>
    <row r="76" spans="4:6">
      <c r="D76" s="482">
        <v>2032</v>
      </c>
      <c r="E76" s="602">
        <v>183.9</v>
      </c>
      <c r="F76" s="602">
        <f t="shared" si="2"/>
        <v>7374.39</v>
      </c>
    </row>
    <row r="77" spans="4:6">
      <c r="D77" s="482">
        <v>2033</v>
      </c>
      <c r="E77" s="602">
        <v>173.9</v>
      </c>
      <c r="F77" s="602">
        <f t="shared" si="2"/>
        <v>6973.39</v>
      </c>
    </row>
    <row r="78" spans="4:6">
      <c r="D78" s="482">
        <v>2034</v>
      </c>
      <c r="E78" s="602">
        <v>165.1</v>
      </c>
      <c r="F78" s="602">
        <f t="shared" si="2"/>
        <v>6620.51</v>
      </c>
    </row>
    <row r="79" spans="4:6">
      <c r="D79" s="482">
        <v>2035</v>
      </c>
      <c r="E79" s="602">
        <v>156.80000000000001</v>
      </c>
      <c r="F79" s="602">
        <f t="shared" si="2"/>
        <v>6287.68</v>
      </c>
    </row>
    <row r="80" spans="4:6">
      <c r="D80" s="482">
        <v>2036</v>
      </c>
      <c r="E80" s="602">
        <v>150</v>
      </c>
      <c r="F80" s="602">
        <f t="shared" si="2"/>
        <v>6015</v>
      </c>
    </row>
    <row r="81" spans="4:6">
      <c r="D81" s="482">
        <v>2037</v>
      </c>
      <c r="E81" s="602">
        <v>143.30000000000001</v>
      </c>
      <c r="F81" s="602">
        <f t="shared" si="2"/>
        <v>5746.3300000000008</v>
      </c>
    </row>
    <row r="82" spans="4:6">
      <c r="D82" s="482">
        <v>2038</v>
      </c>
      <c r="E82" s="602">
        <v>136.4</v>
      </c>
      <c r="F82" s="602">
        <f t="shared" si="2"/>
        <v>5469.64</v>
      </c>
    </row>
    <row r="83" spans="4:6">
      <c r="D83" s="482">
        <v>2039</v>
      </c>
      <c r="E83" s="602">
        <v>130.19999999999999</v>
      </c>
      <c r="F83" s="602">
        <f t="shared" si="2"/>
        <v>5221.0199999999995</v>
      </c>
    </row>
    <row r="84" spans="4:6">
      <c r="D84" s="482">
        <v>2040</v>
      </c>
      <c r="E84" s="602">
        <v>124.1</v>
      </c>
      <c r="F84" s="602">
        <f t="shared" si="2"/>
        <v>4976.41</v>
      </c>
    </row>
    <row r="85" spans="4:6">
      <c r="D85" s="482">
        <v>2041</v>
      </c>
      <c r="E85" s="602">
        <v>118.4</v>
      </c>
      <c r="F85" s="602">
        <f t="shared" si="2"/>
        <v>4747.84</v>
      </c>
    </row>
    <row r="86" spans="4:6">
      <c r="D86" s="482">
        <v>2042</v>
      </c>
      <c r="E86" s="602">
        <v>112.9</v>
      </c>
      <c r="F86" s="602">
        <f t="shared" si="2"/>
        <v>4527.29</v>
      </c>
    </row>
    <row r="87" spans="4:6">
      <c r="D87" s="482">
        <v>2043</v>
      </c>
      <c r="E87" s="602">
        <v>107.8</v>
      </c>
      <c r="F87" s="602">
        <f t="shared" si="2"/>
        <v>4322.78</v>
      </c>
    </row>
    <row r="88" spans="4:6">
      <c r="D88" s="482">
        <v>2044</v>
      </c>
      <c r="E88" s="602">
        <v>103</v>
      </c>
      <c r="F88" s="602">
        <f t="shared" si="2"/>
        <v>4130.3</v>
      </c>
    </row>
    <row r="89" spans="4:6">
      <c r="D89" s="482">
        <v>2045</v>
      </c>
      <c r="E89" s="602">
        <v>98.4</v>
      </c>
      <c r="F89" s="602">
        <f t="shared" si="2"/>
        <v>3945.84</v>
      </c>
    </row>
    <row r="90" spans="4:6">
      <c r="D90" s="482">
        <v>2046</v>
      </c>
      <c r="E90" s="602">
        <v>94.6</v>
      </c>
      <c r="F90" s="602">
        <f t="shared" si="2"/>
        <v>3793.46</v>
      </c>
    </row>
    <row r="91" spans="4:6">
      <c r="D91" s="482">
        <v>2047</v>
      </c>
      <c r="E91" s="602">
        <v>91.3</v>
      </c>
      <c r="F91" s="602">
        <f t="shared" si="2"/>
        <v>3661.13</v>
      </c>
    </row>
    <row r="92" spans="4:6">
      <c r="D92" s="482">
        <v>2048</v>
      </c>
      <c r="E92" s="602">
        <v>87.8</v>
      </c>
      <c r="F92" s="602">
        <f t="shared" si="2"/>
        <v>3520.78</v>
      </c>
    </row>
    <row r="93" spans="4:6">
      <c r="D93" s="482">
        <v>2049</v>
      </c>
      <c r="E93" s="602">
        <v>84.8</v>
      </c>
      <c r="F93" s="602">
        <f t="shared" si="2"/>
        <v>3400.48</v>
      </c>
    </row>
    <row r="94" spans="4:6">
      <c r="D94" s="482">
        <v>2050</v>
      </c>
      <c r="E94" s="602">
        <v>82.5</v>
      </c>
      <c r="F94" s="602">
        <f t="shared" si="2"/>
        <v>3308.25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zoomScaleNormal="100" zoomScaleSheetLayoutView="100" workbookViewId="0">
      <pane xSplit="1" ySplit="1" topLeftCell="R2" activePane="bottomRight" state="frozen"/>
      <selection pane="topRight" activeCell="B1" sqref="B1"/>
      <selection pane="bottomLeft" activeCell="A2" sqref="A2"/>
      <selection pane="bottomRight" activeCell="X16" sqref="X12:X16"/>
    </sheetView>
  </sheetViews>
  <sheetFormatPr defaultColWidth="9.21875" defaultRowHeight="13.2"/>
  <cols>
    <col min="1" max="1" width="60.44140625" style="1214" bestFit="1" customWidth="1"/>
    <col min="2" max="25" width="13.44140625" style="1214" customWidth="1"/>
    <col min="26" max="26" width="16.33203125" style="1214" customWidth="1"/>
    <col min="27" max="16384" width="9.21875" style="1214"/>
  </cols>
  <sheetData>
    <row r="1" spans="1:26" ht="26.25" customHeight="1">
      <c r="A1" s="1211" t="s">
        <v>1789</v>
      </c>
      <c r="B1" s="1212" t="s">
        <v>1790</v>
      </c>
      <c r="C1" s="1212" t="s">
        <v>1791</v>
      </c>
      <c r="D1" s="1212" t="s">
        <v>1792</v>
      </c>
      <c r="E1" s="1212" t="s">
        <v>1793</v>
      </c>
      <c r="F1" s="1212" t="s">
        <v>1794</v>
      </c>
      <c r="G1" s="1212" t="s">
        <v>1795</v>
      </c>
      <c r="H1" s="1212" t="s">
        <v>1796</v>
      </c>
      <c r="I1" s="1212" t="s">
        <v>1797</v>
      </c>
      <c r="J1" s="1212" t="s">
        <v>1798</v>
      </c>
      <c r="K1" s="1212" t="s">
        <v>1799</v>
      </c>
      <c r="L1" s="1212" t="s">
        <v>1800</v>
      </c>
      <c r="M1" s="1212" t="s">
        <v>1801</v>
      </c>
      <c r="N1" s="1212" t="s">
        <v>1802</v>
      </c>
      <c r="O1" s="1212" t="s">
        <v>1803</v>
      </c>
      <c r="P1" s="1212" t="s">
        <v>1804</v>
      </c>
      <c r="Q1" s="1212" t="s">
        <v>1805</v>
      </c>
      <c r="R1" s="1212" t="s">
        <v>1806</v>
      </c>
      <c r="S1" s="1212" t="s">
        <v>1807</v>
      </c>
      <c r="T1" s="1212" t="s">
        <v>1808</v>
      </c>
      <c r="U1" s="1212" t="s">
        <v>1809</v>
      </c>
      <c r="V1" s="1212" t="s">
        <v>958</v>
      </c>
      <c r="W1" s="1212" t="s">
        <v>957</v>
      </c>
      <c r="X1" s="1212" t="s">
        <v>956</v>
      </c>
      <c r="Y1" s="1212" t="s">
        <v>955</v>
      </c>
      <c r="Z1" s="1213" t="str">
        <f ca="1">"Change from " &amp; B1 &amp; " to " &amp; INDIRECT(ADDRESS(1,COLUMN()-1))</f>
        <v>Change from 1990 to 2013</v>
      </c>
    </row>
    <row r="2" spans="1:26" ht="12.75" customHeight="1">
      <c r="A2" s="1215" t="s">
        <v>1810</v>
      </c>
      <c r="B2" s="1216"/>
      <c r="C2" s="1216"/>
      <c r="D2" s="1216"/>
      <c r="E2" s="1216"/>
      <c r="F2" s="1216"/>
      <c r="G2" s="1216"/>
      <c r="H2" s="1216"/>
      <c r="I2" s="1216"/>
      <c r="J2" s="1216"/>
      <c r="K2" s="1216"/>
      <c r="L2" s="1216"/>
      <c r="M2" s="1216"/>
      <c r="N2" s="1216"/>
      <c r="O2" s="1216"/>
      <c r="P2" s="1216"/>
      <c r="Q2" s="1216"/>
      <c r="R2" s="1216"/>
      <c r="S2" s="1216"/>
      <c r="T2" s="1216"/>
      <c r="U2" s="1216"/>
      <c r="V2" s="1216"/>
      <c r="W2" s="1216"/>
      <c r="X2" s="1216"/>
      <c r="Y2" s="1216"/>
      <c r="Z2" s="1216"/>
    </row>
    <row r="3" spans="1:26" ht="13.5" customHeight="1">
      <c r="A3" s="1217" t="s">
        <v>1811</v>
      </c>
      <c r="B3" s="1218">
        <v>55893.73</v>
      </c>
      <c r="C3" s="1218">
        <v>51901.46</v>
      </c>
      <c r="D3" s="1218">
        <v>44546.68</v>
      </c>
      <c r="E3" s="1218">
        <v>39136.42</v>
      </c>
      <c r="F3" s="1218">
        <v>34272.68</v>
      </c>
      <c r="G3" s="1218">
        <v>36561.35</v>
      </c>
      <c r="H3" s="1218">
        <v>29965.84</v>
      </c>
      <c r="I3" s="1218">
        <v>28935.02</v>
      </c>
      <c r="J3" s="1218">
        <v>28567.01</v>
      </c>
      <c r="K3" s="1218">
        <v>27869.25</v>
      </c>
      <c r="L3" s="1218">
        <v>29010.240000000002</v>
      </c>
      <c r="M3" s="1218">
        <v>28243.15</v>
      </c>
      <c r="N3" s="1218">
        <v>28031.43</v>
      </c>
      <c r="O3" s="1218">
        <v>30733.16</v>
      </c>
      <c r="P3" s="1218">
        <v>33010.79</v>
      </c>
      <c r="Q3" s="1218">
        <v>35472.53</v>
      </c>
      <c r="R3" s="1218">
        <v>34310.57</v>
      </c>
      <c r="S3" s="1218">
        <v>29284.63</v>
      </c>
      <c r="T3" s="1218">
        <v>32283.34</v>
      </c>
      <c r="U3" s="1218">
        <v>26893.1</v>
      </c>
      <c r="V3" s="1218">
        <v>26411.83</v>
      </c>
      <c r="W3" s="1218">
        <v>28083.87</v>
      </c>
      <c r="X3" s="1218">
        <v>29847.75</v>
      </c>
      <c r="Y3" s="1218">
        <v>39228.894202629999</v>
      </c>
      <c r="Z3" s="1219">
        <f t="shared" ref="Z3:Z8" si="0">IFERROR(IF(OR(SECTOR_CHANGE_TOTAL=0,SECTOR_CHANGE_TOTAL=-1),CHAR(150),SECTOR_CHANGE_TOTAL),CHAR(150))</f>
        <v>-0.29815215047143934</v>
      </c>
    </row>
    <row r="4" spans="1:26" ht="13.5" customHeight="1">
      <c r="A4" s="1217" t="s">
        <v>1812</v>
      </c>
      <c r="B4" s="1218">
        <v>-3690</v>
      </c>
      <c r="C4" s="1218">
        <v>-3650</v>
      </c>
      <c r="D4" s="1218">
        <v>-3621</v>
      </c>
      <c r="E4" s="1218">
        <v>-3618</v>
      </c>
      <c r="F4" s="1218">
        <v>-3715</v>
      </c>
      <c r="G4" s="1218">
        <v>-3790</v>
      </c>
      <c r="H4" s="1218">
        <v>-3855</v>
      </c>
      <c r="I4" s="1218">
        <v>-4068</v>
      </c>
      <c r="J4" s="1218">
        <v>-4556</v>
      </c>
      <c r="K4" s="1218">
        <v>-4618</v>
      </c>
      <c r="L4" s="1218">
        <v>-4870</v>
      </c>
      <c r="M4" s="1218">
        <v>-4893</v>
      </c>
      <c r="N4" s="1218">
        <v>-5089</v>
      </c>
      <c r="O4" s="1218">
        <v>-5225</v>
      </c>
      <c r="P4" s="1218">
        <v>-5276</v>
      </c>
      <c r="Q4" s="1218">
        <v>-5349</v>
      </c>
      <c r="R4" s="1218">
        <v>-5353</v>
      </c>
      <c r="S4" s="1218">
        <v>-5438</v>
      </c>
      <c r="T4" s="1218">
        <v>-5383</v>
      </c>
      <c r="U4" s="1218">
        <v>-5360</v>
      </c>
      <c r="V4" s="1218">
        <v>-5410</v>
      </c>
      <c r="W4" s="1218">
        <v>-5435</v>
      </c>
      <c r="X4" s="1218">
        <v>-5442</v>
      </c>
      <c r="Y4" s="1218">
        <v>-6200.0671000000002</v>
      </c>
      <c r="Z4" s="1219">
        <f t="shared" si="0"/>
        <v>0.68023498644986458</v>
      </c>
    </row>
    <row r="5" spans="1:26" ht="13.5" customHeight="1">
      <c r="A5" s="1217" t="s">
        <v>1813</v>
      </c>
      <c r="B5" s="1218">
        <v>52203.73</v>
      </c>
      <c r="C5" s="1218">
        <v>48251.46</v>
      </c>
      <c r="D5" s="1218">
        <v>40925.68</v>
      </c>
      <c r="E5" s="1218">
        <v>35518.42</v>
      </c>
      <c r="F5" s="1218">
        <v>30557.68</v>
      </c>
      <c r="G5" s="1218">
        <v>32771.35</v>
      </c>
      <c r="H5" s="1218">
        <v>26110.84</v>
      </c>
      <c r="I5" s="1218">
        <v>24867.02</v>
      </c>
      <c r="J5" s="1218">
        <v>24011.01</v>
      </c>
      <c r="K5" s="1218">
        <v>23251.25</v>
      </c>
      <c r="L5" s="1218">
        <v>24140.240000000002</v>
      </c>
      <c r="M5" s="1218">
        <v>23350.15</v>
      </c>
      <c r="N5" s="1218">
        <v>22942.43</v>
      </c>
      <c r="O5" s="1218">
        <v>25508.16</v>
      </c>
      <c r="P5" s="1218">
        <v>27734.79</v>
      </c>
      <c r="Q5" s="1218">
        <v>30123.53</v>
      </c>
      <c r="R5" s="1218">
        <v>28957.57</v>
      </c>
      <c r="S5" s="1218">
        <v>23846.63</v>
      </c>
      <c r="T5" s="1218">
        <v>26900.34</v>
      </c>
      <c r="U5" s="1218">
        <v>21533.1</v>
      </c>
      <c r="V5" s="1218">
        <v>21001.83</v>
      </c>
      <c r="W5" s="1218">
        <v>22648.87</v>
      </c>
      <c r="X5" s="1218">
        <v>24405.75</v>
      </c>
      <c r="Y5" s="1218">
        <v>33028.827102629999</v>
      </c>
      <c r="Z5" s="1219">
        <f t="shared" si="0"/>
        <v>-0.36730905813377707</v>
      </c>
    </row>
    <row r="6" spans="1:26" ht="12.75" customHeight="1">
      <c r="A6" s="1217" t="s">
        <v>1814</v>
      </c>
      <c r="B6" s="1218">
        <v>73385.78</v>
      </c>
      <c r="C6" s="1218">
        <v>66568.960000000006</v>
      </c>
      <c r="D6" s="1218">
        <v>57604.85</v>
      </c>
      <c r="E6" s="1218">
        <v>50842.94</v>
      </c>
      <c r="F6" s="1218">
        <v>45065.06</v>
      </c>
      <c r="G6" s="1218">
        <v>47539.94</v>
      </c>
      <c r="H6" s="1218">
        <v>40316.85</v>
      </c>
      <c r="I6" s="1218">
        <v>39318.379999999997</v>
      </c>
      <c r="J6" s="1218">
        <v>38821.97</v>
      </c>
      <c r="K6" s="1218">
        <v>39090.76</v>
      </c>
      <c r="L6" s="1218">
        <v>40624.5</v>
      </c>
      <c r="M6" s="1218">
        <v>40828.82</v>
      </c>
      <c r="N6" s="1218">
        <v>40779.79</v>
      </c>
      <c r="O6" s="1218">
        <v>43684.26</v>
      </c>
      <c r="P6" s="1218">
        <v>46259.96</v>
      </c>
      <c r="Q6" s="1218">
        <v>49322.49</v>
      </c>
      <c r="R6" s="1218">
        <v>49235.65</v>
      </c>
      <c r="S6" s="1218">
        <v>46944.33</v>
      </c>
      <c r="T6" s="1218">
        <v>53779.54</v>
      </c>
      <c r="U6" s="1218">
        <v>48281.83</v>
      </c>
      <c r="V6" s="1218">
        <v>48048.28</v>
      </c>
      <c r="W6" s="1218">
        <v>49128.55</v>
      </c>
      <c r="X6" s="1218">
        <v>51803.95</v>
      </c>
      <c r="Y6" s="1218">
        <v>57994.772961729999</v>
      </c>
      <c r="Z6" s="1219">
        <f t="shared" si="0"/>
        <v>-0.2097273754979507</v>
      </c>
    </row>
    <row r="7" spans="1:26" ht="12.75" customHeight="1">
      <c r="A7" s="1217" t="s">
        <v>1815</v>
      </c>
      <c r="B7" s="1218">
        <v>-3690</v>
      </c>
      <c r="C7" s="1218">
        <v>-3650</v>
      </c>
      <c r="D7" s="1218">
        <v>-3621</v>
      </c>
      <c r="E7" s="1218">
        <v>-3618</v>
      </c>
      <c r="F7" s="1218">
        <v>-3715</v>
      </c>
      <c r="G7" s="1218">
        <v>-3790</v>
      </c>
      <c r="H7" s="1218">
        <v>-3855</v>
      </c>
      <c r="I7" s="1218">
        <v>-4068</v>
      </c>
      <c r="J7" s="1218">
        <v>-4556</v>
      </c>
      <c r="K7" s="1218">
        <v>-4618</v>
      </c>
      <c r="L7" s="1218">
        <v>-4870</v>
      </c>
      <c r="M7" s="1218">
        <v>-4893</v>
      </c>
      <c r="N7" s="1218">
        <v>-5089</v>
      </c>
      <c r="O7" s="1218">
        <v>-5225</v>
      </c>
      <c r="P7" s="1218">
        <v>-5276</v>
      </c>
      <c r="Q7" s="1218">
        <v>-5349</v>
      </c>
      <c r="R7" s="1218">
        <v>-5353</v>
      </c>
      <c r="S7" s="1218">
        <v>-5438</v>
      </c>
      <c r="T7" s="1218">
        <v>-5383</v>
      </c>
      <c r="U7" s="1218">
        <v>-5360</v>
      </c>
      <c r="V7" s="1218">
        <v>-5410</v>
      </c>
      <c r="W7" s="1218">
        <v>-5435</v>
      </c>
      <c r="X7" s="1218">
        <v>-5442</v>
      </c>
      <c r="Y7" s="1218">
        <v>-6198.115675</v>
      </c>
      <c r="Z7" s="1219">
        <f t="shared" si="0"/>
        <v>0.67970614498644988</v>
      </c>
    </row>
    <row r="8" spans="1:26" ht="12.75" customHeight="1">
      <c r="A8" s="1217" t="s">
        <v>1816</v>
      </c>
      <c r="B8" s="1218">
        <v>69695.78</v>
      </c>
      <c r="C8" s="1218">
        <v>62918.96</v>
      </c>
      <c r="D8" s="1218">
        <v>53983.85</v>
      </c>
      <c r="E8" s="1218">
        <v>47224.94</v>
      </c>
      <c r="F8" s="1218">
        <v>41350.06</v>
      </c>
      <c r="G8" s="1218">
        <v>43749.94</v>
      </c>
      <c r="H8" s="1218">
        <v>36461.85</v>
      </c>
      <c r="I8" s="1218">
        <v>35250.379999999997</v>
      </c>
      <c r="J8" s="1218">
        <v>34265.97</v>
      </c>
      <c r="K8" s="1218">
        <v>34472.76</v>
      </c>
      <c r="L8" s="1218">
        <v>35754.5</v>
      </c>
      <c r="M8" s="1218">
        <v>35935.82</v>
      </c>
      <c r="N8" s="1218">
        <v>35690.79</v>
      </c>
      <c r="O8" s="1218">
        <v>38459.26</v>
      </c>
      <c r="P8" s="1218">
        <v>40983.96</v>
      </c>
      <c r="Q8" s="1218">
        <v>43973.49</v>
      </c>
      <c r="R8" s="1218">
        <v>43882.65</v>
      </c>
      <c r="S8" s="1218">
        <v>41506.33</v>
      </c>
      <c r="T8" s="1218">
        <v>48396.54</v>
      </c>
      <c r="U8" s="1218">
        <v>42921.83</v>
      </c>
      <c r="V8" s="1218">
        <v>42638.28</v>
      </c>
      <c r="W8" s="1218">
        <v>43693.55</v>
      </c>
      <c r="X8" s="1218">
        <v>46361.95</v>
      </c>
      <c r="Y8" s="1218">
        <v>51796.657286730006</v>
      </c>
      <c r="Z8" s="1219">
        <f t="shared" si="0"/>
        <v>-0.25681788356870378</v>
      </c>
    </row>
    <row r="9" spans="1:26" ht="12.75" customHeight="1">
      <c r="A9" s="1220"/>
      <c r="B9" s="1221"/>
      <c r="C9" s="1221"/>
      <c r="D9" s="1221"/>
      <c r="E9" s="1221"/>
      <c r="F9" s="1221"/>
      <c r="G9" s="1221"/>
      <c r="H9" s="1221"/>
      <c r="I9" s="1221"/>
      <c r="J9" s="1221"/>
      <c r="K9" s="1221"/>
      <c r="L9" s="1221"/>
      <c r="M9" s="1221"/>
      <c r="N9" s="1221"/>
      <c r="O9" s="1221"/>
      <c r="P9" s="1221"/>
      <c r="Q9" s="1221"/>
      <c r="R9" s="1221"/>
      <c r="S9" s="1221"/>
      <c r="T9" s="1221"/>
      <c r="U9" s="1221"/>
      <c r="V9" s="1221"/>
      <c r="W9" s="1221"/>
      <c r="X9" s="1221"/>
      <c r="Y9" s="1221"/>
      <c r="Z9" s="1221"/>
    </row>
    <row r="10" spans="1:26" ht="12.75" customHeight="1">
      <c r="A10" s="1222" t="s">
        <v>1817</v>
      </c>
      <c r="B10" s="1216"/>
      <c r="C10" s="1216"/>
      <c r="D10" s="1216"/>
      <c r="E10" s="1216"/>
      <c r="F10" s="1216"/>
      <c r="G10" s="1216"/>
      <c r="H10" s="1216"/>
      <c r="I10" s="1216"/>
      <c r="J10" s="1216"/>
      <c r="K10" s="1216"/>
      <c r="L10" s="1216"/>
      <c r="M10" s="1216"/>
      <c r="N10" s="1216"/>
      <c r="O10" s="1216"/>
      <c r="P10" s="1216"/>
      <c r="Q10" s="1216"/>
      <c r="R10" s="1216"/>
      <c r="S10" s="1216"/>
      <c r="T10" s="1216"/>
      <c r="U10" s="1216"/>
      <c r="V10" s="1216"/>
      <c r="W10" s="1216"/>
      <c r="X10" s="1216"/>
      <c r="Y10" s="1216"/>
      <c r="Z10" s="1216"/>
    </row>
    <row r="11" spans="1:26" ht="12.75" customHeight="1">
      <c r="A11" s="1217" t="s">
        <v>1818</v>
      </c>
      <c r="B11" s="1218">
        <v>63869.2</v>
      </c>
      <c r="C11" s="1218">
        <v>59016.45</v>
      </c>
      <c r="D11" s="1218">
        <v>50060.87</v>
      </c>
      <c r="E11" s="1218">
        <v>44111.6</v>
      </c>
      <c r="F11" s="1218">
        <v>39178.78</v>
      </c>
      <c r="G11" s="1218">
        <v>41971.94</v>
      </c>
      <c r="H11" s="1218">
        <v>34645.629999999997</v>
      </c>
      <c r="I11" s="1218">
        <v>33280.11</v>
      </c>
      <c r="J11" s="1218">
        <v>32505.45</v>
      </c>
      <c r="K11" s="1218">
        <v>32082.25</v>
      </c>
      <c r="L11" s="1218">
        <v>32942</v>
      </c>
      <c r="M11" s="1218">
        <v>32664.959999999999</v>
      </c>
      <c r="N11" s="1218">
        <v>32087.73</v>
      </c>
      <c r="O11" s="1218">
        <v>34641.550000000003</v>
      </c>
      <c r="P11" s="1218">
        <v>36653.9</v>
      </c>
      <c r="Q11" s="1218">
        <v>39158.5</v>
      </c>
      <c r="R11" s="1218">
        <v>38591.1</v>
      </c>
      <c r="S11" s="1218">
        <v>35620.6</v>
      </c>
      <c r="T11" s="1218">
        <v>42498</v>
      </c>
      <c r="U11" s="1218">
        <v>37159.199999999997</v>
      </c>
      <c r="V11" s="1218">
        <v>36562.699999999997</v>
      </c>
      <c r="W11" s="1218">
        <v>37456.5</v>
      </c>
      <c r="X11" s="1218">
        <v>39361</v>
      </c>
      <c r="Y11" s="1218">
        <v>49232.161193999993</v>
      </c>
      <c r="Z11" s="1219">
        <f t="shared" ref="Z11:Z46" si="1">IFERROR(IF(OR(SECTOR_CHANGE_TOTAL=0,SECTOR_CHANGE_TOTAL=-1),CHAR(150),SECTOR_CHANGE_TOTAL),CHAR(150))</f>
        <v>-0.22917210182685871</v>
      </c>
    </row>
    <row r="12" spans="1:26" ht="12.75" customHeight="1">
      <c r="A12" s="1223" t="s">
        <v>1819</v>
      </c>
      <c r="B12" s="1218">
        <v>22488</v>
      </c>
      <c r="C12" s="1218">
        <v>21181.54</v>
      </c>
      <c r="D12" s="1218">
        <v>22826.52</v>
      </c>
      <c r="E12" s="1218">
        <v>22370.99</v>
      </c>
      <c r="F12" s="1218">
        <v>16800.580000000002</v>
      </c>
      <c r="G12" s="1218">
        <v>16046.84</v>
      </c>
      <c r="H12" s="1218">
        <v>15900.45</v>
      </c>
      <c r="I12" s="1218">
        <v>15141.64</v>
      </c>
      <c r="J12" s="1218">
        <v>15889.17</v>
      </c>
      <c r="K12" s="1218">
        <v>15845.95</v>
      </c>
      <c r="L12" s="1218">
        <v>16548</v>
      </c>
      <c r="M12" s="1218">
        <v>15541.03</v>
      </c>
      <c r="N12" s="1218">
        <v>14089.38</v>
      </c>
      <c r="O12" s="1218">
        <v>15583.58</v>
      </c>
      <c r="P12" s="1218">
        <v>16956.05</v>
      </c>
      <c r="Q12" s="1218">
        <v>17452</v>
      </c>
      <c r="R12" s="1218">
        <v>17820</v>
      </c>
      <c r="S12" s="1218">
        <v>15473</v>
      </c>
      <c r="T12" s="1218">
        <v>14995</v>
      </c>
      <c r="U12" s="1218">
        <v>12089</v>
      </c>
      <c r="V12" s="1218">
        <v>10748</v>
      </c>
      <c r="W12" s="1218">
        <v>11338</v>
      </c>
      <c r="X12" s="1218">
        <v>12586</v>
      </c>
      <c r="Y12" s="1218">
        <v>16048.509464000001</v>
      </c>
      <c r="Z12" s="1219">
        <f t="shared" si="1"/>
        <v>-0.28635230060476696</v>
      </c>
    </row>
    <row r="13" spans="1:26" ht="12.75" customHeight="1">
      <c r="A13" s="1223" t="s">
        <v>1820</v>
      </c>
      <c r="B13" s="1218">
        <v>17709</v>
      </c>
      <c r="C13" s="1218">
        <v>17508.240000000002</v>
      </c>
      <c r="D13" s="1218">
        <v>10613.57</v>
      </c>
      <c r="E13" s="1218">
        <v>8504.65</v>
      </c>
      <c r="F13" s="1218">
        <v>8042.53</v>
      </c>
      <c r="G13" s="1218">
        <v>10132.549999999999</v>
      </c>
      <c r="H13" s="1218">
        <v>5363.49</v>
      </c>
      <c r="I13" s="1218">
        <v>4903.3100000000004</v>
      </c>
      <c r="J13" s="1218">
        <v>2845.88</v>
      </c>
      <c r="K13" s="1218">
        <v>2882.77</v>
      </c>
      <c r="L13" s="1218">
        <v>2711</v>
      </c>
      <c r="M13" s="1218">
        <v>2401.04</v>
      </c>
      <c r="N13" s="1218">
        <v>3240.5</v>
      </c>
      <c r="O13" s="1218">
        <v>2778.53</v>
      </c>
      <c r="P13" s="1218">
        <v>2259.42</v>
      </c>
      <c r="Q13" s="1218">
        <v>2099</v>
      </c>
      <c r="R13" s="1218">
        <v>2021</v>
      </c>
      <c r="S13" s="1218">
        <v>456</v>
      </c>
      <c r="T13" s="1218">
        <v>2157</v>
      </c>
      <c r="U13" s="1218">
        <v>1237</v>
      </c>
      <c r="V13" s="1218">
        <v>1092</v>
      </c>
      <c r="W13" s="1218">
        <v>1878</v>
      </c>
      <c r="X13" s="1218">
        <v>2385</v>
      </c>
      <c r="Y13" s="1218">
        <v>2423.5107840000001</v>
      </c>
      <c r="Z13" s="1219">
        <f t="shared" si="1"/>
        <v>-0.86314807250550563</v>
      </c>
    </row>
    <row r="14" spans="1:26" ht="12.75" customHeight="1">
      <c r="A14" s="1223" t="s">
        <v>1821</v>
      </c>
      <c r="B14" s="1218">
        <v>5394</v>
      </c>
      <c r="C14" s="1218">
        <v>4701.74</v>
      </c>
      <c r="D14" s="1218">
        <v>3943.9</v>
      </c>
      <c r="E14" s="1218">
        <v>3638.13</v>
      </c>
      <c r="F14" s="1218">
        <v>3182.68</v>
      </c>
      <c r="G14" s="1218">
        <v>2843.22</v>
      </c>
      <c r="H14" s="1218">
        <v>2638.81</v>
      </c>
      <c r="I14" s="1218">
        <v>2446.86</v>
      </c>
      <c r="J14" s="1218">
        <v>2218.4899999999998</v>
      </c>
      <c r="K14" s="1218">
        <v>1362.23</v>
      </c>
      <c r="L14" s="1218">
        <v>2119</v>
      </c>
      <c r="M14" s="1218">
        <v>2330.17</v>
      </c>
      <c r="N14" s="1218">
        <v>2715.16</v>
      </c>
      <c r="O14" s="1218">
        <v>2952.43</v>
      </c>
      <c r="P14" s="1218">
        <v>3734.26</v>
      </c>
      <c r="Q14" s="1218">
        <v>4158</v>
      </c>
      <c r="R14" s="1218">
        <v>4727</v>
      </c>
      <c r="S14" s="1218">
        <v>3729</v>
      </c>
      <c r="T14" s="1218">
        <v>4686</v>
      </c>
      <c r="U14" s="1218">
        <v>4165</v>
      </c>
      <c r="V14" s="1218">
        <v>4861</v>
      </c>
      <c r="W14" s="1218">
        <v>5057</v>
      </c>
      <c r="X14" s="1218">
        <v>5223</v>
      </c>
      <c r="Y14" s="1218">
        <v>7413.3225069999999</v>
      </c>
      <c r="Z14" s="1219">
        <f t="shared" si="1"/>
        <v>0.37436457304412307</v>
      </c>
    </row>
    <row r="15" spans="1:26" ht="12.75" customHeight="1">
      <c r="A15" s="1223" t="s">
        <v>1822</v>
      </c>
      <c r="B15" s="1218">
        <v>8522</v>
      </c>
      <c r="C15" s="1218">
        <v>7507.14</v>
      </c>
      <c r="D15" s="1218">
        <v>6181.43</v>
      </c>
      <c r="E15" s="1218">
        <v>4008.63</v>
      </c>
      <c r="F15" s="1218">
        <v>6002.56</v>
      </c>
      <c r="G15" s="1218">
        <v>6457.36</v>
      </c>
      <c r="H15" s="1218">
        <v>4590.55</v>
      </c>
      <c r="I15" s="1218">
        <v>4396.57</v>
      </c>
      <c r="J15" s="1218">
        <v>3603.51</v>
      </c>
      <c r="K15" s="1218">
        <v>3820.58</v>
      </c>
      <c r="L15" s="1218">
        <v>4864</v>
      </c>
      <c r="M15" s="1218">
        <v>5334.03</v>
      </c>
      <c r="N15" s="1218">
        <v>6161.5</v>
      </c>
      <c r="O15" s="1218">
        <v>6818.77</v>
      </c>
      <c r="P15" s="1218">
        <v>6398.65</v>
      </c>
      <c r="Q15" s="1218">
        <v>7555</v>
      </c>
      <c r="R15" s="1218">
        <v>6461</v>
      </c>
      <c r="S15" s="1218">
        <v>6928</v>
      </c>
      <c r="T15" s="1218">
        <v>8468</v>
      </c>
      <c r="U15" s="1218">
        <v>7877</v>
      </c>
      <c r="V15" s="1218">
        <v>8138</v>
      </c>
      <c r="W15" s="1218">
        <v>7885</v>
      </c>
      <c r="X15" s="1218">
        <v>6852</v>
      </c>
      <c r="Y15" s="1218">
        <v>6827.2096009999996</v>
      </c>
      <c r="Z15" s="1219">
        <f t="shared" si="1"/>
        <v>-0.19887237725885948</v>
      </c>
    </row>
    <row r="16" spans="1:26" ht="12.75" customHeight="1">
      <c r="A16" s="1223" t="s">
        <v>1823</v>
      </c>
      <c r="B16" s="1218">
        <v>743</v>
      </c>
      <c r="C16" s="1218">
        <v>1.45</v>
      </c>
      <c r="D16" s="1218">
        <v>8.18</v>
      </c>
      <c r="E16" s="1218">
        <v>6.51</v>
      </c>
      <c r="F16" s="1218">
        <v>1.45</v>
      </c>
      <c r="G16" s="1218">
        <v>1035.76</v>
      </c>
      <c r="H16" s="1218">
        <v>1407.5</v>
      </c>
      <c r="I16" s="1218">
        <v>1941.74</v>
      </c>
      <c r="J16" s="1218">
        <v>3949.07</v>
      </c>
      <c r="K16" s="1218">
        <v>3906.95</v>
      </c>
      <c r="L16" s="1218">
        <v>2668</v>
      </c>
      <c r="M16" s="1218">
        <v>2414.04</v>
      </c>
      <c r="N16" s="1218">
        <v>1410.37</v>
      </c>
      <c r="O16" s="1218">
        <v>2071.96</v>
      </c>
      <c r="P16" s="1218">
        <v>2883.99</v>
      </c>
      <c r="Q16" s="1218">
        <v>3075</v>
      </c>
      <c r="R16" s="1218">
        <v>2016</v>
      </c>
      <c r="S16" s="1218">
        <v>1210</v>
      </c>
      <c r="T16" s="1218">
        <v>831</v>
      </c>
      <c r="U16" s="1218">
        <v>720</v>
      </c>
      <c r="V16" s="1218">
        <v>537</v>
      </c>
      <c r="W16" s="1218">
        <v>431</v>
      </c>
      <c r="X16" s="1218">
        <v>849</v>
      </c>
      <c r="Y16" s="1218" t="s">
        <v>1824</v>
      </c>
      <c r="Z16" s="1219" t="str">
        <f t="shared" si="1"/>
        <v>–</v>
      </c>
    </row>
    <row r="17" spans="1:26" ht="12.75" customHeight="1">
      <c r="A17" s="1223" t="s">
        <v>1825</v>
      </c>
      <c r="B17" s="1218">
        <v>9013.2000000000007</v>
      </c>
      <c r="C17" s="1218">
        <v>8054.34</v>
      </c>
      <c r="D17" s="1218">
        <v>6419.07</v>
      </c>
      <c r="E17" s="1218">
        <v>5520.69</v>
      </c>
      <c r="F17" s="1218">
        <v>5096.28</v>
      </c>
      <c r="G17" s="1218">
        <v>5403.51</v>
      </c>
      <c r="H17" s="1218">
        <v>4698.33</v>
      </c>
      <c r="I17" s="1218">
        <v>4403.49</v>
      </c>
      <c r="J17" s="1218">
        <v>3952.83</v>
      </c>
      <c r="K17" s="1218">
        <v>4220.37</v>
      </c>
      <c r="L17" s="1218">
        <v>4032</v>
      </c>
      <c r="M17" s="1218">
        <v>4610.55</v>
      </c>
      <c r="N17" s="1218">
        <v>4439.82</v>
      </c>
      <c r="O17" s="1218">
        <v>4399.08</v>
      </c>
      <c r="P17" s="1218">
        <v>4381.2299999999996</v>
      </c>
      <c r="Q17" s="1218">
        <v>4819.5</v>
      </c>
      <c r="R17" s="1218">
        <v>5546.1</v>
      </c>
      <c r="S17" s="1218">
        <v>7824.6</v>
      </c>
      <c r="T17" s="1218">
        <v>11361</v>
      </c>
      <c r="U17" s="1218">
        <v>11071.2</v>
      </c>
      <c r="V17" s="1218">
        <v>11186.7</v>
      </c>
      <c r="W17" s="1218">
        <v>10867.5</v>
      </c>
      <c r="X17" s="1218">
        <v>11466</v>
      </c>
      <c r="Y17" s="1218">
        <v>16519.608838</v>
      </c>
      <c r="Z17" s="1219">
        <f t="shared" si="1"/>
        <v>0.83282395131584774</v>
      </c>
    </row>
    <row r="18" spans="1:26" ht="12.75" customHeight="1">
      <c r="A18" s="1217" t="s">
        <v>1826</v>
      </c>
      <c r="B18" s="1218">
        <v>1402.73</v>
      </c>
      <c r="C18" s="1218">
        <v>1356.69</v>
      </c>
      <c r="D18" s="1218">
        <v>1242</v>
      </c>
      <c r="E18" s="1218">
        <v>800.09</v>
      </c>
      <c r="F18" s="1218">
        <v>430.84</v>
      </c>
      <c r="G18" s="1218">
        <v>171.73</v>
      </c>
      <c r="H18" s="1218">
        <v>112.5</v>
      </c>
      <c r="I18" s="1218">
        <v>148.79</v>
      </c>
      <c r="J18" s="1218">
        <v>98.48</v>
      </c>
      <c r="K18" s="1218">
        <v>84.58</v>
      </c>
      <c r="L18" s="1218">
        <v>552.24</v>
      </c>
      <c r="M18" s="1218">
        <v>699.85</v>
      </c>
      <c r="N18" s="1218">
        <v>910.51</v>
      </c>
      <c r="O18" s="1218">
        <v>1056.93</v>
      </c>
      <c r="P18" s="1218">
        <v>1352.45</v>
      </c>
      <c r="Q18" s="1218">
        <v>1779.53</v>
      </c>
      <c r="R18" s="1218">
        <v>1983.57</v>
      </c>
      <c r="S18" s="1218">
        <v>2301.63</v>
      </c>
      <c r="T18" s="1218">
        <v>2041.34</v>
      </c>
      <c r="U18" s="1218">
        <v>1779.1</v>
      </c>
      <c r="V18" s="1218">
        <v>2102.83</v>
      </c>
      <c r="W18" s="1218">
        <v>2412.87</v>
      </c>
      <c r="X18" s="1218">
        <v>2934.75</v>
      </c>
      <c r="Y18" s="1218">
        <v>1299.61122783</v>
      </c>
      <c r="Z18" s="1219">
        <f t="shared" si="1"/>
        <v>-7.3512915650196436E-2</v>
      </c>
    </row>
    <row r="19" spans="1:26" ht="12.75" customHeight="1">
      <c r="A19" s="1223" t="s">
        <v>1827</v>
      </c>
      <c r="B19" s="1218">
        <v>512.73</v>
      </c>
      <c r="C19" s="1218">
        <v>454.6</v>
      </c>
      <c r="D19" s="1218">
        <v>421.56</v>
      </c>
      <c r="E19" s="1218">
        <v>311.35000000000002</v>
      </c>
      <c r="F19" s="1218">
        <v>222.72</v>
      </c>
      <c r="G19" s="1218">
        <v>96.95</v>
      </c>
      <c r="H19" s="1218">
        <v>108.18</v>
      </c>
      <c r="I19" s="1218">
        <v>146.44999999999999</v>
      </c>
      <c r="J19" s="1218">
        <v>97.1</v>
      </c>
      <c r="K19" s="1218">
        <v>82.83</v>
      </c>
      <c r="L19" s="1218">
        <v>121.18</v>
      </c>
      <c r="M19" s="1218">
        <v>253.11</v>
      </c>
      <c r="N19" s="1218">
        <v>409.57</v>
      </c>
      <c r="O19" s="1218">
        <v>489.07</v>
      </c>
      <c r="P19" s="1218">
        <v>692.38</v>
      </c>
      <c r="Q19" s="1218">
        <v>746.38</v>
      </c>
      <c r="R19" s="1218">
        <v>804.62</v>
      </c>
      <c r="S19" s="1218">
        <v>828.63</v>
      </c>
      <c r="T19" s="1218">
        <v>770.84</v>
      </c>
      <c r="U19" s="1218">
        <v>621.62</v>
      </c>
      <c r="V19" s="1218">
        <v>618.08000000000004</v>
      </c>
      <c r="W19" s="1218">
        <v>688.77</v>
      </c>
      <c r="X19" s="1218">
        <v>961.1</v>
      </c>
      <c r="Y19" s="1218">
        <v>729.78509450000001</v>
      </c>
      <c r="Z19" s="1219">
        <f t="shared" si="1"/>
        <v>0.42333215239989858</v>
      </c>
    </row>
    <row r="20" spans="1:26" ht="12.75" customHeight="1">
      <c r="A20" s="1223" t="s">
        <v>1828</v>
      </c>
      <c r="B20" s="1218"/>
      <c r="C20" s="1218">
        <v>38.1</v>
      </c>
      <c r="D20" s="1218">
        <v>29.1</v>
      </c>
      <c r="E20" s="1218">
        <v>20.399999999999999</v>
      </c>
      <c r="F20" s="1218">
        <v>22.2</v>
      </c>
      <c r="G20" s="1218">
        <v>5.55</v>
      </c>
      <c r="H20" s="1218">
        <v>1.2</v>
      </c>
      <c r="I20" s="1218"/>
      <c r="J20" s="1218"/>
      <c r="K20" s="1218"/>
      <c r="L20" s="1218"/>
      <c r="M20" s="1218"/>
      <c r="N20" s="1218"/>
      <c r="O20" s="1218"/>
      <c r="P20" s="1218"/>
      <c r="Q20" s="1218"/>
      <c r="R20" s="1218"/>
      <c r="S20" s="1218"/>
      <c r="T20" s="1218"/>
      <c r="U20" s="1218"/>
      <c r="V20" s="1218"/>
      <c r="W20" s="1218"/>
      <c r="X20" s="1218"/>
      <c r="Y20" s="1218">
        <v>181.49199999999999</v>
      </c>
      <c r="Z20" s="1219" t="str">
        <f t="shared" si="1"/>
        <v>–</v>
      </c>
    </row>
    <row r="21" spans="1:26" ht="12.75" customHeight="1">
      <c r="A21" s="1223" t="s">
        <v>1829</v>
      </c>
      <c r="B21" s="1218">
        <v>630</v>
      </c>
      <c r="C21" s="1218">
        <v>600</v>
      </c>
      <c r="D21" s="1218">
        <v>595.5</v>
      </c>
      <c r="E21" s="1218">
        <v>337.5</v>
      </c>
      <c r="F21" s="1218">
        <v>55.5</v>
      </c>
      <c r="G21" s="1218">
        <v>3.6</v>
      </c>
      <c r="H21" s="1218">
        <v>1.65</v>
      </c>
      <c r="I21" s="1218">
        <v>1.5</v>
      </c>
      <c r="J21" s="1218">
        <v>0.75</v>
      </c>
      <c r="K21" s="1218">
        <v>0.49</v>
      </c>
      <c r="L21" s="1218">
        <v>0.06</v>
      </c>
      <c r="M21" s="1218">
        <v>6.9</v>
      </c>
      <c r="N21" s="1218">
        <v>49.05</v>
      </c>
      <c r="O21" s="1218">
        <v>84.6</v>
      </c>
      <c r="P21" s="1218">
        <v>135.6</v>
      </c>
      <c r="Q21" s="1218">
        <v>429.15</v>
      </c>
      <c r="R21" s="1218">
        <v>502.95</v>
      </c>
      <c r="S21" s="1218">
        <v>702</v>
      </c>
      <c r="T21" s="1218">
        <v>417.5</v>
      </c>
      <c r="U21" s="1218">
        <v>225.48</v>
      </c>
      <c r="V21" s="1218">
        <v>459.75</v>
      </c>
      <c r="W21" s="1218">
        <v>848.1</v>
      </c>
      <c r="X21" s="1218">
        <v>1033.6500000000001</v>
      </c>
      <c r="Y21" s="1218">
        <v>360.952</v>
      </c>
      <c r="Z21" s="1219">
        <f t="shared" si="1"/>
        <v>-0.42706031746031747</v>
      </c>
    </row>
    <row r="22" spans="1:26" ht="12.75" customHeight="1">
      <c r="A22" s="1223" t="s">
        <v>1830</v>
      </c>
      <c r="B22" s="1218"/>
      <c r="C22" s="1218"/>
      <c r="D22" s="1218"/>
      <c r="E22" s="1218"/>
      <c r="F22" s="1218"/>
      <c r="G22" s="1218"/>
      <c r="H22" s="1218"/>
      <c r="I22" s="1218"/>
      <c r="J22" s="1218"/>
      <c r="K22" s="1218"/>
      <c r="L22" s="1218"/>
      <c r="M22" s="1218"/>
      <c r="N22" s="1218"/>
      <c r="O22" s="1218"/>
      <c r="P22" s="1218"/>
      <c r="Q22" s="1218"/>
      <c r="R22" s="1218"/>
      <c r="S22" s="1218"/>
      <c r="T22" s="1218"/>
      <c r="U22" s="1218"/>
      <c r="V22" s="1218"/>
      <c r="W22" s="1218"/>
      <c r="X22" s="1218"/>
      <c r="Y22" s="1218" t="s">
        <v>1824</v>
      </c>
      <c r="Z22" s="1219" t="str">
        <f t="shared" si="1"/>
        <v>–</v>
      </c>
    </row>
    <row r="23" spans="1:26" ht="12.75" customHeight="1">
      <c r="A23" s="1223" t="s">
        <v>1831</v>
      </c>
      <c r="B23" s="1218"/>
      <c r="C23" s="1218"/>
      <c r="D23" s="1218"/>
      <c r="E23" s="1218"/>
      <c r="F23" s="1218"/>
      <c r="G23" s="1218"/>
      <c r="H23" s="1218"/>
      <c r="I23" s="1218"/>
      <c r="J23" s="1218"/>
      <c r="K23" s="1218"/>
      <c r="L23" s="1218"/>
      <c r="M23" s="1218"/>
      <c r="N23" s="1218"/>
      <c r="O23" s="1218"/>
      <c r="P23" s="1218"/>
      <c r="Q23" s="1218"/>
      <c r="R23" s="1218"/>
      <c r="S23" s="1218"/>
      <c r="T23" s="1218"/>
      <c r="U23" s="1218"/>
      <c r="V23" s="1218"/>
      <c r="W23" s="1218"/>
      <c r="X23" s="1218"/>
      <c r="Y23" s="1218" t="s">
        <v>1824</v>
      </c>
      <c r="Z23" s="1219" t="str">
        <f t="shared" si="1"/>
        <v>–</v>
      </c>
    </row>
    <row r="24" spans="1:26" ht="12.75" customHeight="1">
      <c r="A24" s="1223" t="s">
        <v>1832</v>
      </c>
      <c r="B24" s="1218"/>
      <c r="C24" s="1218"/>
      <c r="D24" s="1218"/>
      <c r="E24" s="1218"/>
      <c r="F24" s="1218"/>
      <c r="G24" s="1218"/>
      <c r="H24" s="1218"/>
      <c r="I24" s="1218"/>
      <c r="J24" s="1218"/>
      <c r="K24" s="1218"/>
      <c r="L24" s="1218"/>
      <c r="M24" s="1218"/>
      <c r="N24" s="1218"/>
      <c r="O24" s="1218"/>
      <c r="P24" s="1218"/>
      <c r="Q24" s="1218"/>
      <c r="R24" s="1218"/>
      <c r="S24" s="1218"/>
      <c r="T24" s="1218"/>
      <c r="U24" s="1218"/>
      <c r="V24" s="1218"/>
      <c r="W24" s="1218"/>
      <c r="X24" s="1218"/>
      <c r="Y24" s="1218">
        <v>1.032</v>
      </c>
      <c r="Z24" s="1219" t="str">
        <f t="shared" si="1"/>
        <v>–</v>
      </c>
    </row>
    <row r="25" spans="1:26" ht="12.75" customHeight="1">
      <c r="A25" s="1223" t="s">
        <v>1833</v>
      </c>
      <c r="B25" s="1218"/>
      <c r="C25" s="1218" t="s">
        <v>1834</v>
      </c>
      <c r="D25" s="1218" t="s">
        <v>1834</v>
      </c>
      <c r="E25" s="1218" t="s">
        <v>1834</v>
      </c>
      <c r="F25" s="1218" t="s">
        <v>1834</v>
      </c>
      <c r="G25" s="1218" t="s">
        <v>1834</v>
      </c>
      <c r="H25" s="1218" t="s">
        <v>1834</v>
      </c>
      <c r="I25" s="1218" t="s">
        <v>1834</v>
      </c>
      <c r="J25" s="1218" t="s">
        <v>1834</v>
      </c>
      <c r="K25" s="1218" t="s">
        <v>1834</v>
      </c>
      <c r="L25" s="1218"/>
      <c r="M25" s="1218" t="s">
        <v>1834</v>
      </c>
      <c r="N25" s="1218" t="s">
        <v>1834</v>
      </c>
      <c r="O25" s="1218" t="s">
        <v>1834</v>
      </c>
      <c r="P25" s="1218" t="s">
        <v>1834</v>
      </c>
      <c r="Q25" s="1218"/>
      <c r="R25" s="1218"/>
      <c r="S25" s="1218"/>
      <c r="T25" s="1218"/>
      <c r="U25" s="1218"/>
      <c r="V25" s="1218"/>
      <c r="W25" s="1218"/>
      <c r="X25" s="1218"/>
      <c r="Y25" s="1218">
        <v>26.350133329999998</v>
      </c>
      <c r="Z25" s="1219" t="str">
        <f t="shared" si="1"/>
        <v>–</v>
      </c>
    </row>
    <row r="26" spans="1:26" ht="12.75" customHeight="1">
      <c r="A26" s="1217" t="s">
        <v>1835</v>
      </c>
      <c r="B26" s="1218"/>
      <c r="C26" s="1218" t="s">
        <v>1834</v>
      </c>
      <c r="D26" s="1218" t="s">
        <v>1834</v>
      </c>
      <c r="E26" s="1218" t="s">
        <v>1834</v>
      </c>
      <c r="F26" s="1218" t="s">
        <v>1834</v>
      </c>
      <c r="G26" s="1218" t="s">
        <v>1834</v>
      </c>
      <c r="H26" s="1218" t="s">
        <v>1834</v>
      </c>
      <c r="I26" s="1218" t="s">
        <v>1834</v>
      </c>
      <c r="J26" s="1218" t="s">
        <v>1834</v>
      </c>
      <c r="K26" s="1218" t="s">
        <v>1834</v>
      </c>
      <c r="L26" s="1218"/>
      <c r="M26" s="1218" t="s">
        <v>1834</v>
      </c>
      <c r="N26" s="1218" t="s">
        <v>1834</v>
      </c>
      <c r="O26" s="1218" t="s">
        <v>1834</v>
      </c>
      <c r="P26" s="1218" t="s">
        <v>1834</v>
      </c>
      <c r="Q26" s="1218"/>
      <c r="R26" s="1218"/>
      <c r="S26" s="1218"/>
      <c r="T26" s="1218"/>
      <c r="U26" s="1218"/>
      <c r="V26" s="1218"/>
      <c r="W26" s="1218"/>
      <c r="X26" s="1218"/>
      <c r="Y26" s="1218" t="s">
        <v>1824</v>
      </c>
      <c r="Z26" s="1219" t="str">
        <f t="shared" si="1"/>
        <v>–</v>
      </c>
    </row>
    <row r="27" spans="1:26" ht="12.75" customHeight="1">
      <c r="A27" s="1217" t="s">
        <v>1836</v>
      </c>
      <c r="B27" s="1218">
        <v>6261.65</v>
      </c>
      <c r="C27" s="1218">
        <v>4495.87</v>
      </c>
      <c r="D27" s="1218">
        <v>4591.53</v>
      </c>
      <c r="E27" s="1218">
        <v>4202.32</v>
      </c>
      <c r="F27" s="1218">
        <v>3711.86</v>
      </c>
      <c r="G27" s="1218">
        <v>3631.48</v>
      </c>
      <c r="H27" s="1218">
        <v>3779.65</v>
      </c>
      <c r="I27" s="1218">
        <v>4099.91</v>
      </c>
      <c r="J27" s="1218">
        <v>4423.8500000000004</v>
      </c>
      <c r="K27" s="1218">
        <v>5124.49</v>
      </c>
      <c r="L27" s="1218">
        <v>5377.26</v>
      </c>
      <c r="M27" s="1218">
        <v>5604.97</v>
      </c>
      <c r="N27" s="1218">
        <v>5896.73</v>
      </c>
      <c r="O27" s="1218">
        <v>6075.55</v>
      </c>
      <c r="P27" s="1218">
        <v>6283.58</v>
      </c>
      <c r="Q27" s="1218">
        <v>6469.46</v>
      </c>
      <c r="R27" s="1218">
        <v>6688.98</v>
      </c>
      <c r="S27" s="1218">
        <v>7003.1</v>
      </c>
      <c r="T27" s="1218">
        <v>7175.2</v>
      </c>
      <c r="U27" s="1218">
        <v>7265.53</v>
      </c>
      <c r="V27" s="1218">
        <v>7243.75</v>
      </c>
      <c r="W27" s="1218">
        <v>7098.18</v>
      </c>
      <c r="X27" s="1218">
        <v>7032.8</v>
      </c>
      <c r="Y27" s="1218">
        <v>6694.2146709999997</v>
      </c>
      <c r="Z27" s="1219">
        <f t="shared" si="1"/>
        <v>6.9081579296191922E-2</v>
      </c>
    </row>
    <row r="28" spans="1:26" ht="12.75" customHeight="1">
      <c r="A28" s="1223" t="s">
        <v>1837</v>
      </c>
      <c r="B28" s="1218">
        <v>2428.86</v>
      </c>
      <c r="C28" s="1218">
        <v>2411.0100000000002</v>
      </c>
      <c r="D28" s="1218">
        <v>2318.19</v>
      </c>
      <c r="E28" s="1218">
        <v>2361.4499999999998</v>
      </c>
      <c r="F28" s="1218">
        <v>2148.09</v>
      </c>
      <c r="G28" s="1218">
        <v>2193.4499999999998</v>
      </c>
      <c r="H28" s="1218">
        <v>2306.64</v>
      </c>
      <c r="I28" s="1218">
        <v>2414.58</v>
      </c>
      <c r="J28" s="1218">
        <v>2512.65</v>
      </c>
      <c r="K28" s="1218">
        <v>2581.7399999999998</v>
      </c>
      <c r="L28" s="1218">
        <v>2711.52</v>
      </c>
      <c r="M28" s="1218">
        <v>2838.99</v>
      </c>
      <c r="N28" s="1218">
        <v>2964.99</v>
      </c>
      <c r="O28" s="1218">
        <v>3059.49</v>
      </c>
      <c r="P28" s="1218">
        <v>3156.72</v>
      </c>
      <c r="Q28" s="1218">
        <v>3227.28</v>
      </c>
      <c r="R28" s="1218">
        <v>3421.95</v>
      </c>
      <c r="S28" s="1218">
        <v>3515.19</v>
      </c>
      <c r="T28" s="1218">
        <v>3708.18</v>
      </c>
      <c r="U28" s="1218">
        <v>3653.79</v>
      </c>
      <c r="V28" s="1218">
        <v>3683.4</v>
      </c>
      <c r="W28" s="1218">
        <v>3582.6</v>
      </c>
      <c r="X28" s="1218">
        <v>3487.05</v>
      </c>
      <c r="Y28" s="1218">
        <v>3712.9785000000002</v>
      </c>
      <c r="Z28" s="1219">
        <f t="shared" si="1"/>
        <v>0.52869185543835373</v>
      </c>
    </row>
    <row r="29" spans="1:26" ht="12.75" customHeight="1">
      <c r="A29" s="1223" t="s">
        <v>1838</v>
      </c>
      <c r="B29" s="1218">
        <v>650.9</v>
      </c>
      <c r="C29" s="1218">
        <v>637.91999999999996</v>
      </c>
      <c r="D29" s="1218">
        <v>617.01</v>
      </c>
      <c r="E29" s="1218">
        <v>536.94000000000005</v>
      </c>
      <c r="F29" s="1218">
        <v>495.86</v>
      </c>
      <c r="G29" s="1218">
        <v>489.34</v>
      </c>
      <c r="H29" s="1218">
        <v>510.87</v>
      </c>
      <c r="I29" s="1218">
        <v>563.14</v>
      </c>
      <c r="J29" s="1218">
        <v>615.62</v>
      </c>
      <c r="K29" s="1218">
        <v>888.99</v>
      </c>
      <c r="L29" s="1218">
        <v>910.89</v>
      </c>
      <c r="M29" s="1218">
        <v>937.78</v>
      </c>
      <c r="N29" s="1218">
        <v>967.77</v>
      </c>
      <c r="O29" s="1218">
        <v>989.46</v>
      </c>
      <c r="P29" s="1218">
        <v>1018.61</v>
      </c>
      <c r="Q29" s="1218">
        <v>1037.99</v>
      </c>
      <c r="R29" s="1218">
        <v>1053.22</v>
      </c>
      <c r="S29" s="1218">
        <v>1077.3800000000001</v>
      </c>
      <c r="T29" s="1218">
        <v>1123.27</v>
      </c>
      <c r="U29" s="1218">
        <v>1104.32</v>
      </c>
      <c r="V29" s="1218">
        <v>1112.04</v>
      </c>
      <c r="W29" s="1218">
        <v>1105.31</v>
      </c>
      <c r="X29" s="1218">
        <v>1020.57</v>
      </c>
      <c r="Y29" s="1218">
        <v>1032.0303799999999</v>
      </c>
      <c r="Z29" s="1219">
        <f t="shared" si="1"/>
        <v>0.58554367798432938</v>
      </c>
    </row>
    <row r="30" spans="1:26" ht="12.75" customHeight="1">
      <c r="A30" s="1223" t="s">
        <v>1839</v>
      </c>
      <c r="B30" s="1218">
        <v>1.05</v>
      </c>
      <c r="C30" s="1218">
        <v>2.1</v>
      </c>
      <c r="D30" s="1218">
        <v>1.89</v>
      </c>
      <c r="E30" s="1218">
        <v>2.52</v>
      </c>
      <c r="F30" s="1218">
        <v>2.1</v>
      </c>
      <c r="G30" s="1218">
        <v>4.2</v>
      </c>
      <c r="H30" s="1218">
        <v>5.04</v>
      </c>
      <c r="I30" s="1218">
        <v>5.25</v>
      </c>
      <c r="J30" s="1218">
        <v>5.25</v>
      </c>
      <c r="K30" s="1218">
        <v>7.56</v>
      </c>
      <c r="L30" s="1218">
        <v>9.4499999999999993</v>
      </c>
      <c r="M30" s="1218">
        <v>7.98</v>
      </c>
      <c r="N30" s="1218">
        <v>7.56</v>
      </c>
      <c r="O30" s="1218">
        <v>6.93</v>
      </c>
      <c r="P30" s="1218">
        <v>5.46</v>
      </c>
      <c r="Q30" s="1218">
        <v>4.83</v>
      </c>
      <c r="R30" s="1218">
        <v>2.52</v>
      </c>
      <c r="S30" s="1218">
        <v>2.31</v>
      </c>
      <c r="T30" s="1218">
        <v>2.73</v>
      </c>
      <c r="U30" s="1218">
        <v>3.57</v>
      </c>
      <c r="V30" s="1218">
        <v>3.36</v>
      </c>
      <c r="W30" s="1218">
        <v>3.36</v>
      </c>
      <c r="X30" s="1218">
        <v>3.36</v>
      </c>
      <c r="Y30" s="1218">
        <v>15.673791</v>
      </c>
      <c r="Z30" s="1219">
        <f t="shared" si="1"/>
        <v>13.927419999999998</v>
      </c>
    </row>
    <row r="31" spans="1:26" ht="12.75" customHeight="1">
      <c r="A31" s="1223" t="s">
        <v>1840</v>
      </c>
      <c r="B31" s="1218">
        <v>3143.4</v>
      </c>
      <c r="C31" s="1218">
        <v>1407.4</v>
      </c>
      <c r="D31" s="1218">
        <v>1630.6</v>
      </c>
      <c r="E31" s="1218">
        <v>1283.4000000000001</v>
      </c>
      <c r="F31" s="1218">
        <v>1047.8</v>
      </c>
      <c r="G31" s="1218">
        <v>926.9</v>
      </c>
      <c r="H31" s="1218">
        <v>939.3</v>
      </c>
      <c r="I31" s="1218">
        <v>1106.7</v>
      </c>
      <c r="J31" s="1218">
        <v>1280.3</v>
      </c>
      <c r="K31" s="1218">
        <v>1636.8</v>
      </c>
      <c r="L31" s="1218">
        <v>1736</v>
      </c>
      <c r="M31" s="1218">
        <v>1810.4</v>
      </c>
      <c r="N31" s="1218">
        <v>1946.8</v>
      </c>
      <c r="O31" s="1218">
        <v>2008.8</v>
      </c>
      <c r="P31" s="1218">
        <v>2089.4</v>
      </c>
      <c r="Q31" s="1218">
        <v>2182.4</v>
      </c>
      <c r="R31" s="1218">
        <v>2208.19</v>
      </c>
      <c r="S31" s="1218">
        <v>2396.3000000000002</v>
      </c>
      <c r="T31" s="1218">
        <v>2331.1999999999998</v>
      </c>
      <c r="U31" s="1218">
        <v>2498.6</v>
      </c>
      <c r="V31" s="1218">
        <v>2436.6</v>
      </c>
      <c r="W31" s="1218">
        <v>2399.4</v>
      </c>
      <c r="X31" s="1218">
        <v>2514.1</v>
      </c>
      <c r="Y31" s="1218">
        <v>1933.5319999999999</v>
      </c>
      <c r="Z31" s="1219">
        <f t="shared" si="1"/>
        <v>-0.38489151873767263</v>
      </c>
    </row>
    <row r="32" spans="1:26" ht="12.75" customHeight="1">
      <c r="A32" s="1223" t="s">
        <v>1841</v>
      </c>
      <c r="B32" s="1218"/>
      <c r="C32" s="1218" t="s">
        <v>1834</v>
      </c>
      <c r="D32" s="1218" t="s">
        <v>1834</v>
      </c>
      <c r="E32" s="1218" t="s">
        <v>1834</v>
      </c>
      <c r="F32" s="1218" t="s">
        <v>1834</v>
      </c>
      <c r="G32" s="1218" t="s">
        <v>1834</v>
      </c>
      <c r="H32" s="1218" t="s">
        <v>1834</v>
      </c>
      <c r="I32" s="1218" t="s">
        <v>1834</v>
      </c>
      <c r="J32" s="1218" t="s">
        <v>1834</v>
      </c>
      <c r="K32" s="1218" t="s">
        <v>1834</v>
      </c>
      <c r="L32" s="1218"/>
      <c r="M32" s="1218" t="s">
        <v>1834</v>
      </c>
      <c r="N32" s="1218" t="s">
        <v>1834</v>
      </c>
      <c r="O32" s="1218" t="s">
        <v>1834</v>
      </c>
      <c r="P32" s="1218" t="s">
        <v>1834</v>
      </c>
      <c r="Q32" s="1218"/>
      <c r="R32" s="1218"/>
      <c r="S32" s="1218"/>
      <c r="T32" s="1218"/>
      <c r="U32" s="1218"/>
      <c r="V32" s="1218"/>
      <c r="W32" s="1218"/>
      <c r="X32" s="1218"/>
      <c r="Y32" s="1218" t="s">
        <v>1834</v>
      </c>
      <c r="Z32" s="1219" t="str">
        <f t="shared" si="1"/>
        <v>–</v>
      </c>
    </row>
    <row r="33" spans="1:26" ht="12.75" customHeight="1">
      <c r="A33" s="1223" t="s">
        <v>1842</v>
      </c>
      <c r="B33" s="1218">
        <v>28.14</v>
      </c>
      <c r="C33" s="1218">
        <v>28.14</v>
      </c>
      <c r="D33" s="1218">
        <v>17.64</v>
      </c>
      <c r="E33" s="1218">
        <v>14.91</v>
      </c>
      <c r="F33" s="1218">
        <v>14.91</v>
      </c>
      <c r="G33" s="1218">
        <v>14.49</v>
      </c>
      <c r="H33" s="1218">
        <v>14.7</v>
      </c>
      <c r="I33" s="1218">
        <v>7.14</v>
      </c>
      <c r="J33" s="1218">
        <v>6.93</v>
      </c>
      <c r="K33" s="1218">
        <v>6.3</v>
      </c>
      <c r="L33" s="1218">
        <v>6.3</v>
      </c>
      <c r="M33" s="1218">
        <v>6.72</v>
      </c>
      <c r="N33" s="1218">
        <v>6.51</v>
      </c>
      <c r="O33" s="1218">
        <v>7.77</v>
      </c>
      <c r="P33" s="1218">
        <v>10.29</v>
      </c>
      <c r="Q33" s="1218">
        <v>13.86</v>
      </c>
      <c r="R33" s="1218"/>
      <c r="S33" s="1218">
        <v>8.82</v>
      </c>
      <c r="T33" s="1218">
        <v>6.72</v>
      </c>
      <c r="U33" s="1218">
        <v>5.25</v>
      </c>
      <c r="V33" s="1218">
        <v>5.25</v>
      </c>
      <c r="W33" s="1218">
        <v>4.41</v>
      </c>
      <c r="X33" s="1218">
        <v>4.62</v>
      </c>
      <c r="Y33" s="1218" t="s">
        <v>1834</v>
      </c>
      <c r="Z33" s="1219" t="str">
        <f t="shared" si="1"/>
        <v>–</v>
      </c>
    </row>
    <row r="34" spans="1:26" ht="12.75" customHeight="1">
      <c r="A34" s="1223" t="s">
        <v>1843</v>
      </c>
      <c r="B34" s="1218">
        <v>9.3000000000000007</v>
      </c>
      <c r="C34" s="1218">
        <v>9.3000000000000007</v>
      </c>
      <c r="D34" s="1218">
        <v>6.2</v>
      </c>
      <c r="E34" s="1218">
        <v>3.1</v>
      </c>
      <c r="F34" s="1218">
        <v>3.1</v>
      </c>
      <c r="G34" s="1218">
        <v>3.1</v>
      </c>
      <c r="H34" s="1218">
        <v>3.1</v>
      </c>
      <c r="I34" s="1218">
        <v>3.1</v>
      </c>
      <c r="J34" s="1218">
        <v>3.1</v>
      </c>
      <c r="K34" s="1218">
        <v>3.1</v>
      </c>
      <c r="L34" s="1218">
        <v>3.1</v>
      </c>
      <c r="M34" s="1218">
        <v>3.1</v>
      </c>
      <c r="N34" s="1218">
        <v>3.1</v>
      </c>
      <c r="O34" s="1218">
        <v>3.1</v>
      </c>
      <c r="P34" s="1218">
        <v>3.1</v>
      </c>
      <c r="Q34" s="1218">
        <v>3.1</v>
      </c>
      <c r="R34" s="1218">
        <v>3.1</v>
      </c>
      <c r="S34" s="1218">
        <v>3.1</v>
      </c>
      <c r="T34" s="1218">
        <v>3.1</v>
      </c>
      <c r="U34" s="1218"/>
      <c r="V34" s="1218">
        <v>3.1</v>
      </c>
      <c r="W34" s="1218">
        <v>3.1</v>
      </c>
      <c r="X34" s="1218">
        <v>3.1</v>
      </c>
      <c r="Y34" s="1218"/>
      <c r="Z34" s="1219" t="str">
        <f t="shared" si="1"/>
        <v>–</v>
      </c>
    </row>
    <row r="35" spans="1:26" ht="12.75" customHeight="1">
      <c r="A35" s="1217" t="s">
        <v>1844</v>
      </c>
      <c r="B35" s="1218">
        <v>-3690</v>
      </c>
      <c r="C35" s="1218">
        <v>-3650</v>
      </c>
      <c r="D35" s="1218">
        <v>-3621</v>
      </c>
      <c r="E35" s="1218">
        <v>-3618</v>
      </c>
      <c r="F35" s="1218">
        <v>-3715</v>
      </c>
      <c r="G35" s="1218">
        <v>-3790</v>
      </c>
      <c r="H35" s="1218">
        <v>-3855</v>
      </c>
      <c r="I35" s="1218">
        <v>-4068</v>
      </c>
      <c r="J35" s="1218">
        <v>-4556</v>
      </c>
      <c r="K35" s="1218">
        <v>-4618</v>
      </c>
      <c r="L35" s="1218">
        <v>-4870</v>
      </c>
      <c r="M35" s="1218">
        <v>-4893</v>
      </c>
      <c r="N35" s="1218">
        <v>-5089</v>
      </c>
      <c r="O35" s="1218">
        <v>-5225</v>
      </c>
      <c r="P35" s="1218">
        <v>-5276</v>
      </c>
      <c r="Q35" s="1218">
        <v>-5349</v>
      </c>
      <c r="R35" s="1218">
        <v>-5353</v>
      </c>
      <c r="S35" s="1218">
        <v>-5438</v>
      </c>
      <c r="T35" s="1218">
        <v>-5383</v>
      </c>
      <c r="U35" s="1218">
        <v>-5360</v>
      </c>
      <c r="V35" s="1218">
        <v>-5410</v>
      </c>
      <c r="W35" s="1218">
        <v>-5435</v>
      </c>
      <c r="X35" s="1218">
        <v>-5442</v>
      </c>
      <c r="Y35" s="1218">
        <v>-6198.115675</v>
      </c>
      <c r="Z35" s="1219">
        <f t="shared" si="1"/>
        <v>0.67970614498644988</v>
      </c>
    </row>
    <row r="36" spans="1:26" ht="12.75" customHeight="1">
      <c r="A36" s="1223" t="s">
        <v>1845</v>
      </c>
      <c r="B36" s="1218">
        <v>-3690</v>
      </c>
      <c r="C36" s="1218"/>
      <c r="D36" s="1218"/>
      <c r="E36" s="1218"/>
      <c r="F36" s="1218"/>
      <c r="G36" s="1218"/>
      <c r="H36" s="1218"/>
      <c r="I36" s="1218"/>
      <c r="J36" s="1218"/>
      <c r="K36" s="1218"/>
      <c r="L36" s="1218">
        <v>-4870</v>
      </c>
      <c r="M36" s="1218"/>
      <c r="N36" s="1218"/>
      <c r="O36" s="1218"/>
      <c r="P36" s="1218"/>
      <c r="Q36" s="1218">
        <v>-5349</v>
      </c>
      <c r="R36" s="1218">
        <v>-5353</v>
      </c>
      <c r="S36" s="1218">
        <v>-5438</v>
      </c>
      <c r="T36" s="1218">
        <v>-5383</v>
      </c>
      <c r="U36" s="1218">
        <v>-5360</v>
      </c>
      <c r="V36" s="1218">
        <v>-5410</v>
      </c>
      <c r="W36" s="1218">
        <v>-5435</v>
      </c>
      <c r="X36" s="1218">
        <v>-5442</v>
      </c>
      <c r="Y36" s="1218">
        <v>-6248.4781999999996</v>
      </c>
      <c r="Z36" s="1219">
        <f t="shared" si="1"/>
        <v>0.69335452574525736</v>
      </c>
    </row>
    <row r="37" spans="1:26" ht="12.75" customHeight="1">
      <c r="A37" s="1223" t="s">
        <v>1846</v>
      </c>
      <c r="B37" s="1218"/>
      <c r="C37" s="1218"/>
      <c r="D37" s="1218"/>
      <c r="E37" s="1218"/>
      <c r="F37" s="1218"/>
      <c r="G37" s="1218"/>
      <c r="H37" s="1218"/>
      <c r="I37" s="1218"/>
      <c r="J37" s="1218"/>
      <c r="K37" s="1218"/>
      <c r="L37" s="1218"/>
      <c r="M37" s="1218"/>
      <c r="N37" s="1218"/>
      <c r="O37" s="1218"/>
      <c r="P37" s="1218"/>
      <c r="Q37" s="1218"/>
      <c r="R37" s="1218"/>
      <c r="S37" s="1218"/>
      <c r="T37" s="1218"/>
      <c r="U37" s="1218"/>
      <c r="V37" s="1218"/>
      <c r="W37" s="1218"/>
      <c r="X37" s="1218"/>
      <c r="Y37" s="1218">
        <v>-1705.8689999999999</v>
      </c>
      <c r="Z37" s="1219" t="str">
        <f t="shared" si="1"/>
        <v>–</v>
      </c>
    </row>
    <row r="38" spans="1:26" ht="12.75" customHeight="1">
      <c r="A38" s="1223" t="s">
        <v>1847</v>
      </c>
      <c r="B38" s="1218"/>
      <c r="C38" s="1218"/>
      <c r="D38" s="1218"/>
      <c r="E38" s="1218"/>
      <c r="F38" s="1218"/>
      <c r="G38" s="1218"/>
      <c r="H38" s="1218"/>
      <c r="I38" s="1218"/>
      <c r="J38" s="1218"/>
      <c r="K38" s="1218"/>
      <c r="L38" s="1218"/>
      <c r="M38" s="1218"/>
      <c r="N38" s="1218"/>
      <c r="O38" s="1218"/>
      <c r="P38" s="1218"/>
      <c r="Q38" s="1218"/>
      <c r="R38" s="1218"/>
      <c r="S38" s="1218"/>
      <c r="T38" s="1218"/>
      <c r="U38" s="1218"/>
      <c r="V38" s="1218"/>
      <c r="W38" s="1218"/>
      <c r="X38" s="1218"/>
      <c r="Y38" s="1218" t="s">
        <v>1834</v>
      </c>
      <c r="Z38" s="1219" t="str">
        <f t="shared" si="1"/>
        <v>–</v>
      </c>
    </row>
    <row r="39" spans="1:26" ht="12.75" customHeight="1">
      <c r="A39" s="1223" t="s">
        <v>1848</v>
      </c>
      <c r="B39" s="1218"/>
      <c r="C39" s="1218"/>
      <c r="D39" s="1218"/>
      <c r="E39" s="1218"/>
      <c r="F39" s="1218"/>
      <c r="G39" s="1218"/>
      <c r="H39" s="1218"/>
      <c r="I39" s="1218"/>
      <c r="J39" s="1218"/>
      <c r="K39" s="1218"/>
      <c r="L39" s="1218"/>
      <c r="M39" s="1218"/>
      <c r="N39" s="1218"/>
      <c r="O39" s="1218"/>
      <c r="P39" s="1218"/>
      <c r="Q39" s="1218"/>
      <c r="R39" s="1218"/>
      <c r="S39" s="1218"/>
      <c r="T39" s="1218"/>
      <c r="U39" s="1218"/>
      <c r="V39" s="1218"/>
      <c r="W39" s="1218"/>
      <c r="X39" s="1218"/>
      <c r="Y39" s="1218">
        <v>1732.7929999999999</v>
      </c>
      <c r="Z39" s="1219" t="str">
        <f t="shared" si="1"/>
        <v>–</v>
      </c>
    </row>
    <row r="40" spans="1:26" ht="12.75" customHeight="1">
      <c r="A40" s="1223" t="s">
        <v>1849</v>
      </c>
      <c r="B40" s="1218"/>
      <c r="C40" s="1218"/>
      <c r="D40" s="1218"/>
      <c r="E40" s="1218"/>
      <c r="F40" s="1218"/>
      <c r="G40" s="1218"/>
      <c r="H40" s="1218"/>
      <c r="I40" s="1218"/>
      <c r="J40" s="1218"/>
      <c r="K40" s="1218"/>
      <c r="L40" s="1218"/>
      <c r="M40" s="1218"/>
      <c r="N40" s="1218"/>
      <c r="O40" s="1218"/>
      <c r="P40" s="1218"/>
      <c r="Q40" s="1218"/>
      <c r="R40" s="1218"/>
      <c r="S40" s="1218"/>
      <c r="T40" s="1218"/>
      <c r="U40" s="1218"/>
      <c r="V40" s="1218"/>
      <c r="W40" s="1218"/>
      <c r="X40" s="1218"/>
      <c r="Y40" s="1218">
        <v>23.438524999999998</v>
      </c>
      <c r="Z40" s="1219" t="str">
        <f t="shared" si="1"/>
        <v>–</v>
      </c>
    </row>
    <row r="41" spans="1:26" ht="12.75" customHeight="1">
      <c r="A41" s="1224" t="s">
        <v>1850</v>
      </c>
      <c r="B41" s="1218">
        <v>1852.2</v>
      </c>
      <c r="C41" s="1218">
        <v>1699.95</v>
      </c>
      <c r="D41" s="1218">
        <v>1710.45</v>
      </c>
      <c r="E41" s="1218">
        <v>1728.93</v>
      </c>
      <c r="F41" s="1218">
        <v>1743.58</v>
      </c>
      <c r="G41" s="1218">
        <v>1764.79</v>
      </c>
      <c r="H41" s="1218">
        <v>1779.07</v>
      </c>
      <c r="I41" s="1218">
        <v>1789.57</v>
      </c>
      <c r="J41" s="1218">
        <v>1794.19</v>
      </c>
      <c r="K41" s="1218">
        <v>1799.44</v>
      </c>
      <c r="L41" s="1218">
        <v>1753</v>
      </c>
      <c r="M41" s="1218">
        <v>1859.04</v>
      </c>
      <c r="N41" s="1218">
        <v>1884.82</v>
      </c>
      <c r="O41" s="1218">
        <v>1910.23</v>
      </c>
      <c r="P41" s="1218">
        <v>1970.03</v>
      </c>
      <c r="Q41" s="1218">
        <v>1915</v>
      </c>
      <c r="R41" s="1218">
        <v>1972</v>
      </c>
      <c r="S41" s="1218">
        <v>2019</v>
      </c>
      <c r="T41" s="1218">
        <v>2065</v>
      </c>
      <c r="U41" s="1218">
        <v>2078</v>
      </c>
      <c r="V41" s="1218">
        <v>2139</v>
      </c>
      <c r="W41" s="1218">
        <v>2161</v>
      </c>
      <c r="X41" s="1218">
        <v>2475.4</v>
      </c>
      <c r="Y41" s="1218">
        <v>768.78586889999997</v>
      </c>
      <c r="Z41" s="1219">
        <f t="shared" si="1"/>
        <v>-0.58493366326530616</v>
      </c>
    </row>
    <row r="42" spans="1:26" ht="12.75" customHeight="1">
      <c r="A42" s="1225" t="s">
        <v>1851</v>
      </c>
      <c r="B42" s="1218"/>
      <c r="C42" s="1218">
        <v>1361.64</v>
      </c>
      <c r="D42" s="1218">
        <v>1370.25</v>
      </c>
      <c r="E42" s="1218">
        <v>1385.79</v>
      </c>
      <c r="F42" s="1218">
        <v>1393.98</v>
      </c>
      <c r="G42" s="1218">
        <v>1413.09</v>
      </c>
      <c r="H42" s="1218">
        <v>1423.17</v>
      </c>
      <c r="I42" s="1218">
        <v>1431.36</v>
      </c>
      <c r="J42" s="1218">
        <v>1432.83</v>
      </c>
      <c r="K42" s="1218">
        <v>1433.67</v>
      </c>
      <c r="L42" s="1218"/>
      <c r="M42" s="1218">
        <v>1463.7</v>
      </c>
      <c r="N42" s="1218">
        <v>1479.03</v>
      </c>
      <c r="O42" s="1218">
        <v>1494.78</v>
      </c>
      <c r="P42" s="1218">
        <v>1537.41</v>
      </c>
      <c r="Q42" s="1218"/>
      <c r="R42" s="1218"/>
      <c r="S42" s="1218"/>
      <c r="T42" s="1218"/>
      <c r="U42" s="1218"/>
      <c r="V42" s="1218"/>
      <c r="W42" s="1218"/>
      <c r="X42" s="1218"/>
      <c r="Y42" s="1218">
        <v>627.91029000000003</v>
      </c>
      <c r="Z42" s="1219" t="str">
        <f t="shared" si="1"/>
        <v>–</v>
      </c>
    </row>
    <row r="43" spans="1:26" ht="12.75" customHeight="1">
      <c r="A43" s="1225" t="s">
        <v>1852</v>
      </c>
      <c r="B43" s="1218">
        <v>223.2</v>
      </c>
      <c r="C43" s="1218">
        <v>338.31</v>
      </c>
      <c r="D43" s="1218">
        <v>340.2</v>
      </c>
      <c r="E43" s="1218">
        <v>343.14</v>
      </c>
      <c r="F43" s="1218">
        <v>349.6</v>
      </c>
      <c r="G43" s="1218">
        <v>351.7</v>
      </c>
      <c r="H43" s="1218">
        <v>355.9</v>
      </c>
      <c r="I43" s="1218">
        <v>358.21</v>
      </c>
      <c r="J43" s="1218">
        <v>361.36</v>
      </c>
      <c r="K43" s="1218">
        <v>365.77</v>
      </c>
      <c r="L43" s="1218"/>
      <c r="M43" s="1218">
        <v>311.64</v>
      </c>
      <c r="N43" s="1218">
        <v>318.99</v>
      </c>
      <c r="O43" s="1218">
        <v>328.65</v>
      </c>
      <c r="P43" s="1218">
        <v>342.72</v>
      </c>
      <c r="Q43" s="1218"/>
      <c r="R43" s="1218"/>
      <c r="S43" s="1218"/>
      <c r="T43" s="1218"/>
      <c r="U43" s="1218"/>
      <c r="V43" s="1218"/>
      <c r="W43" s="1218"/>
      <c r="X43" s="1218">
        <v>291.39999999999998</v>
      </c>
      <c r="Y43" s="1218">
        <v>55.109923999999999</v>
      </c>
      <c r="Z43" s="1219">
        <f t="shared" si="1"/>
        <v>-0.75309173835125442</v>
      </c>
    </row>
    <row r="44" spans="1:26" ht="12.75" customHeight="1">
      <c r="A44" s="1225" t="s">
        <v>1853</v>
      </c>
      <c r="B44" s="1218"/>
      <c r="C44" s="1218"/>
      <c r="D44" s="1218"/>
      <c r="E44" s="1218"/>
      <c r="F44" s="1218"/>
      <c r="G44" s="1218"/>
      <c r="H44" s="1218"/>
      <c r="I44" s="1218"/>
      <c r="J44" s="1218"/>
      <c r="K44" s="1218"/>
      <c r="L44" s="1218"/>
      <c r="M44" s="1218">
        <v>83.7</v>
      </c>
      <c r="N44" s="1218">
        <v>86.8</v>
      </c>
      <c r="O44" s="1218">
        <v>86.8</v>
      </c>
      <c r="P44" s="1218">
        <v>89.9</v>
      </c>
      <c r="Q44" s="1218"/>
      <c r="R44" s="1218"/>
      <c r="S44" s="1218"/>
      <c r="T44" s="1218"/>
      <c r="U44" s="1218"/>
      <c r="V44" s="1218"/>
      <c r="W44" s="1218"/>
      <c r="X44" s="1218"/>
      <c r="Y44" s="1218">
        <v>26.154054899999998</v>
      </c>
      <c r="Z44" s="1219" t="str">
        <f t="shared" si="1"/>
        <v>–</v>
      </c>
    </row>
    <row r="45" spans="1:26" ht="12.75" customHeight="1">
      <c r="A45" s="1225" t="s">
        <v>1854</v>
      </c>
      <c r="B45" s="1218"/>
      <c r="C45" s="1218"/>
      <c r="D45" s="1218"/>
      <c r="E45" s="1218"/>
      <c r="F45" s="1218"/>
      <c r="G45" s="1218"/>
      <c r="H45" s="1218"/>
      <c r="I45" s="1218"/>
      <c r="J45" s="1218"/>
      <c r="K45" s="1218"/>
      <c r="L45" s="1218"/>
      <c r="M45" s="1218"/>
      <c r="N45" s="1218"/>
      <c r="O45" s="1218"/>
      <c r="P45" s="1218"/>
      <c r="Q45" s="1218"/>
      <c r="R45" s="1218"/>
      <c r="S45" s="1218"/>
      <c r="T45" s="1218"/>
      <c r="U45" s="1218"/>
      <c r="V45" s="1218"/>
      <c r="W45" s="1218"/>
      <c r="X45" s="1218"/>
      <c r="Y45" s="1218">
        <v>59.611600000000003</v>
      </c>
      <c r="Z45" s="1219" t="str">
        <f t="shared" si="1"/>
        <v>–</v>
      </c>
    </row>
    <row r="46" spans="1:26" ht="12.75" customHeight="1">
      <c r="A46" s="1224" t="s">
        <v>1855</v>
      </c>
      <c r="B46" s="1218"/>
      <c r="C46" s="1218"/>
      <c r="D46" s="1218"/>
      <c r="E46" s="1218"/>
      <c r="F46" s="1218"/>
      <c r="G46" s="1218"/>
      <c r="H46" s="1218"/>
      <c r="I46" s="1218"/>
      <c r="J46" s="1218"/>
      <c r="K46" s="1218"/>
      <c r="L46" s="1218"/>
      <c r="M46" s="1218"/>
      <c r="N46" s="1218"/>
      <c r="O46" s="1218"/>
      <c r="P46" s="1218"/>
      <c r="Q46" s="1218"/>
      <c r="R46" s="1218"/>
      <c r="S46" s="1218"/>
      <c r="T46" s="1218"/>
      <c r="U46" s="1218"/>
      <c r="V46" s="1218"/>
      <c r="W46" s="1218"/>
      <c r="X46" s="1218"/>
      <c r="Y46" s="1218" t="s">
        <v>1824</v>
      </c>
      <c r="Z46" s="1219" t="str">
        <f t="shared" si="1"/>
        <v>–</v>
      </c>
    </row>
    <row r="47" spans="1:26" ht="26.25" customHeight="1">
      <c r="A47" s="1226" t="s">
        <v>1856</v>
      </c>
      <c r="B47" s="1212" t="str">
        <f t="shared" ref="B47:Y47" ca="1" si="2">IF(COLUMN() &lt;= 2, "", SUBSTITUTE(INDIRECT(ADDRESS(1,COLUMN()-1)), "Base year", "BY") &amp; "/" &amp; INDIRECT(ADDRESS(1,COLUMN())))</f>
        <v/>
      </c>
      <c r="C47" s="1212" t="str">
        <f t="shared" ca="1" si="2"/>
        <v>1990/1991</v>
      </c>
      <c r="D47" s="1212" t="str">
        <f t="shared" ca="1" si="2"/>
        <v>1991/1992</v>
      </c>
      <c r="E47" s="1212" t="str">
        <f t="shared" ca="1" si="2"/>
        <v>1992/1993</v>
      </c>
      <c r="F47" s="1212" t="str">
        <f t="shared" ca="1" si="2"/>
        <v>1993/1994</v>
      </c>
      <c r="G47" s="1212" t="str">
        <f t="shared" ca="1" si="2"/>
        <v>1994/1995</v>
      </c>
      <c r="H47" s="1212" t="str">
        <f t="shared" ca="1" si="2"/>
        <v>1995/1996</v>
      </c>
      <c r="I47" s="1212" t="str">
        <f t="shared" ca="1" si="2"/>
        <v>1996/1997</v>
      </c>
      <c r="J47" s="1212" t="str">
        <f t="shared" ca="1" si="2"/>
        <v>1997/1998</v>
      </c>
      <c r="K47" s="1212" t="str">
        <f t="shared" ca="1" si="2"/>
        <v>1998/1999</v>
      </c>
      <c r="L47" s="1212" t="str">
        <f t="shared" ca="1" si="2"/>
        <v>1999/2000</v>
      </c>
      <c r="M47" s="1212" t="str">
        <f t="shared" ca="1" si="2"/>
        <v>2000/2001</v>
      </c>
      <c r="N47" s="1212" t="str">
        <f t="shared" ca="1" si="2"/>
        <v>2001/2002</v>
      </c>
      <c r="O47" s="1212" t="str">
        <f t="shared" ca="1" si="2"/>
        <v>2002/2003</v>
      </c>
      <c r="P47" s="1212" t="str">
        <f t="shared" ca="1" si="2"/>
        <v>2003/2004</v>
      </c>
      <c r="Q47" s="1212" t="str">
        <f t="shared" ca="1" si="2"/>
        <v>2004/2005</v>
      </c>
      <c r="R47" s="1212" t="str">
        <f t="shared" ca="1" si="2"/>
        <v>2005/2006</v>
      </c>
      <c r="S47" s="1212" t="str">
        <f t="shared" ca="1" si="2"/>
        <v>2006/2007</v>
      </c>
      <c r="T47" s="1212" t="str">
        <f t="shared" ca="1" si="2"/>
        <v>2007/2008</v>
      </c>
      <c r="U47" s="1212" t="str">
        <f t="shared" ca="1" si="2"/>
        <v>2008/2009</v>
      </c>
      <c r="V47" s="1212" t="str">
        <f t="shared" ca="1" si="2"/>
        <v>2009/2010</v>
      </c>
      <c r="W47" s="1212" t="str">
        <f t="shared" ca="1" si="2"/>
        <v>2010/2011</v>
      </c>
      <c r="X47" s="1212" t="str">
        <f t="shared" ca="1" si="2"/>
        <v>2011/2012</v>
      </c>
      <c r="Y47" s="1212" t="str">
        <f t="shared" ca="1" si="2"/>
        <v>2012/2013</v>
      </c>
      <c r="Z47" s="1212" t="str">
        <f ca="1">OFFSET($B$1,0,0,1,1) &amp; "/" &amp; INDIRECT(ADDRESS(1,COLUMN()-1))</f>
        <v>1990/2013</v>
      </c>
    </row>
    <row r="48" spans="1:26" ht="12.75" customHeight="1">
      <c r="A48" s="1215" t="s">
        <v>1810</v>
      </c>
      <c r="B48" s="1216"/>
      <c r="C48" s="1216"/>
      <c r="D48" s="1216"/>
      <c r="E48" s="1216"/>
      <c r="F48" s="1216"/>
      <c r="G48" s="1216"/>
      <c r="H48" s="1216"/>
      <c r="I48" s="1216"/>
      <c r="J48" s="1216"/>
      <c r="K48" s="1216"/>
      <c r="L48" s="1216"/>
      <c r="M48" s="1216"/>
      <c r="N48" s="1216"/>
      <c r="O48" s="1216"/>
      <c r="P48" s="1216"/>
      <c r="Q48" s="1216"/>
      <c r="R48" s="1216"/>
      <c r="S48" s="1216"/>
      <c r="T48" s="1216"/>
      <c r="U48" s="1216"/>
      <c r="V48" s="1216"/>
      <c r="W48" s="1216"/>
      <c r="X48" s="1216"/>
      <c r="Y48" s="1216"/>
      <c r="Z48" s="1216"/>
    </row>
    <row r="49" spans="1:26" ht="13.5" customHeight="1">
      <c r="A49" s="1217" t="s">
        <v>1811</v>
      </c>
      <c r="B49" s="1219" t="str">
        <f t="shared" ref="B49:K54" si="3">IFERROR(IF(OR(SECTOR_AAC=0,SECTOR_AAC=-1),CHAR(150),SECTOR_AAC),IF(COLUMN()&lt;=2,"",CHAR(150)))</f>
        <v/>
      </c>
      <c r="C49" s="1219">
        <f t="shared" si="3"/>
        <v>-7.1426079454708136E-2</v>
      </c>
      <c r="D49" s="1219">
        <f t="shared" si="3"/>
        <v>-0.1417066109508287</v>
      </c>
      <c r="E49" s="1219">
        <f t="shared" si="3"/>
        <v>-0.12145147517166266</v>
      </c>
      <c r="F49" s="1219">
        <f t="shared" si="3"/>
        <v>-0.12427656898612593</v>
      </c>
      <c r="G49" s="1219">
        <f t="shared" si="3"/>
        <v>6.6778261869220534E-2</v>
      </c>
      <c r="H49" s="1219">
        <f t="shared" si="3"/>
        <v>-0.18039569107814668</v>
      </c>
      <c r="I49" s="1219">
        <f t="shared" si="3"/>
        <v>-3.4399836613957735E-2</v>
      </c>
      <c r="J49" s="1219">
        <f t="shared" si="3"/>
        <v>-1.2718498207362594E-2</v>
      </c>
      <c r="K49" s="1219">
        <f t="shared" si="3"/>
        <v>-2.4425377384612479E-2</v>
      </c>
      <c r="L49" s="1219">
        <f t="shared" ref="L49:Y54" si="4">IFERROR(IF(OR(SECTOR_AAC=0,SECTOR_AAC=-1),CHAR(150),SECTOR_AAC),IF(COLUMN()&lt;=2,"",CHAR(150)))</f>
        <v>4.0940821873570288E-2</v>
      </c>
      <c r="M49" s="1219">
        <f t="shared" si="4"/>
        <v>-2.6442042533946664E-2</v>
      </c>
      <c r="N49" s="1219">
        <f t="shared" si="4"/>
        <v>-7.4963309687482438E-3</v>
      </c>
      <c r="O49" s="1219">
        <f t="shared" si="4"/>
        <v>9.6382168159098613E-2</v>
      </c>
      <c r="P49" s="1219">
        <f t="shared" si="4"/>
        <v>7.4109853981823015E-2</v>
      </c>
      <c r="Q49" s="1219">
        <f t="shared" si="4"/>
        <v>7.4573798445902062E-2</v>
      </c>
      <c r="R49" s="1219">
        <f t="shared" si="4"/>
        <v>-3.2756614766412229E-2</v>
      </c>
      <c r="S49" s="1219">
        <f t="shared" si="4"/>
        <v>-0.14648372207165306</v>
      </c>
      <c r="T49" s="1219">
        <f t="shared" si="4"/>
        <v>0.10239876686166083</v>
      </c>
      <c r="U49" s="1219">
        <f t="shared" si="4"/>
        <v>-0.16696661497849985</v>
      </c>
      <c r="V49" s="1219">
        <f t="shared" si="4"/>
        <v>-1.7895668405650378E-2</v>
      </c>
      <c r="W49" s="1219">
        <f t="shared" si="4"/>
        <v>6.3306480467275383E-2</v>
      </c>
      <c r="X49" s="1219">
        <f t="shared" si="4"/>
        <v>6.2807583142921564E-2</v>
      </c>
      <c r="Y49" s="1219">
        <f t="shared" si="4"/>
        <v>0.31429987863842324</v>
      </c>
      <c r="Z49" s="1219">
        <f t="shared" ref="Z49:Z54" si="5">IFERROR(IF(OR(SECTOR_AAC_TOTAL=0,SECTOR_AAC_TOTAL=-1),CHAR(150),SECTOR_AAC_TOTAL),CHAR(150))</f>
        <v>-1.5275117783325354E-2</v>
      </c>
    </row>
    <row r="50" spans="1:26" ht="13.5" customHeight="1">
      <c r="A50" s="1217" t="s">
        <v>1812</v>
      </c>
      <c r="B50" s="1219" t="str">
        <f t="shared" si="3"/>
        <v/>
      </c>
      <c r="C50" s="1219">
        <f t="shared" si="3"/>
        <v>-1.0840108401083959E-2</v>
      </c>
      <c r="D50" s="1219">
        <f t="shared" si="3"/>
        <v>-7.9452054794520999E-3</v>
      </c>
      <c r="E50" s="1219">
        <f t="shared" si="3"/>
        <v>-8.2850041425019949E-4</v>
      </c>
      <c r="F50" s="1219">
        <f t="shared" si="3"/>
        <v>2.6810392482034207E-2</v>
      </c>
      <c r="G50" s="1219">
        <f t="shared" si="3"/>
        <v>2.0188425302826385E-2</v>
      </c>
      <c r="H50" s="1219">
        <f t="shared" si="3"/>
        <v>1.715039577836408E-2</v>
      </c>
      <c r="I50" s="1219">
        <f t="shared" si="3"/>
        <v>5.5252918287937769E-2</v>
      </c>
      <c r="J50" s="1219">
        <f t="shared" si="3"/>
        <v>0.11996066863323507</v>
      </c>
      <c r="K50" s="1219">
        <f t="shared" si="3"/>
        <v>1.3608428446005183E-2</v>
      </c>
      <c r="L50" s="1219">
        <f t="shared" si="4"/>
        <v>5.4569077522737208E-2</v>
      </c>
      <c r="M50" s="1219">
        <f t="shared" si="4"/>
        <v>4.7227926078028393E-3</v>
      </c>
      <c r="N50" s="1219">
        <f t="shared" si="4"/>
        <v>4.0057224606580899E-2</v>
      </c>
      <c r="O50" s="1219">
        <f t="shared" si="4"/>
        <v>2.6724307329534236E-2</v>
      </c>
      <c r="P50" s="1219">
        <f t="shared" si="4"/>
        <v>9.7607655502391921E-3</v>
      </c>
      <c r="Q50" s="1219">
        <f t="shared" si="4"/>
        <v>1.3836239575435894E-2</v>
      </c>
      <c r="R50" s="1219">
        <f t="shared" si="4"/>
        <v>7.478033277248386E-4</v>
      </c>
      <c r="S50" s="1219">
        <f t="shared" si="4"/>
        <v>1.5878946385204484E-2</v>
      </c>
      <c r="T50" s="1219">
        <f t="shared" si="4"/>
        <v>-1.0114012504597314E-2</v>
      </c>
      <c r="U50" s="1219">
        <f t="shared" si="4"/>
        <v>-4.2727103845439096E-3</v>
      </c>
      <c r="V50" s="1219">
        <f t="shared" si="4"/>
        <v>9.3283582089551675E-3</v>
      </c>
      <c r="W50" s="1219">
        <f t="shared" si="4"/>
        <v>4.6210720887245316E-3</v>
      </c>
      <c r="X50" s="1219">
        <f t="shared" si="4"/>
        <v>1.2879484820607079E-3</v>
      </c>
      <c r="Y50" s="1219">
        <f t="shared" si="4"/>
        <v>0.13929935685409789</v>
      </c>
      <c r="Z50" s="1219">
        <f t="shared" si="5"/>
        <v>2.2818787430683551E-2</v>
      </c>
    </row>
    <row r="51" spans="1:26" ht="13.5" customHeight="1">
      <c r="A51" s="1217" t="s">
        <v>1813</v>
      </c>
      <c r="B51" s="1219" t="str">
        <f t="shared" si="3"/>
        <v/>
      </c>
      <c r="C51" s="1219">
        <f t="shared" si="3"/>
        <v>-7.5708574847046406E-2</v>
      </c>
      <c r="D51" s="1219">
        <f t="shared" si="3"/>
        <v>-0.15182504322149004</v>
      </c>
      <c r="E51" s="1219">
        <f t="shared" si="3"/>
        <v>-0.1321238889616495</v>
      </c>
      <c r="F51" s="1219">
        <f t="shared" si="3"/>
        <v>-0.13966668562396634</v>
      </c>
      <c r="G51" s="1219">
        <f t="shared" si="3"/>
        <v>7.2442345099497096E-2</v>
      </c>
      <c r="H51" s="1219">
        <f t="shared" si="3"/>
        <v>-0.20324185607245349</v>
      </c>
      <c r="I51" s="1219">
        <f t="shared" si="3"/>
        <v>-4.7636154179643397E-2</v>
      </c>
      <c r="J51" s="1219">
        <f t="shared" si="3"/>
        <v>-3.4423505510511543E-2</v>
      </c>
      <c r="K51" s="1219">
        <f t="shared" si="3"/>
        <v>-3.1642150829973348E-2</v>
      </c>
      <c r="L51" s="1219">
        <f t="shared" si="4"/>
        <v>3.8234073436911986E-2</v>
      </c>
      <c r="M51" s="1219">
        <f t="shared" si="4"/>
        <v>-3.2729169221184184E-2</v>
      </c>
      <c r="N51" s="1219">
        <f t="shared" si="4"/>
        <v>-1.746112980002279E-2</v>
      </c>
      <c r="O51" s="1219">
        <f t="shared" si="4"/>
        <v>0.11183340212871951</v>
      </c>
      <c r="P51" s="1219">
        <f t="shared" si="4"/>
        <v>8.7290890444469582E-2</v>
      </c>
      <c r="Q51" s="1219">
        <f t="shared" si="4"/>
        <v>8.6127928136466858E-2</v>
      </c>
      <c r="R51" s="1219">
        <f t="shared" si="4"/>
        <v>-3.8705955112166457E-2</v>
      </c>
      <c r="S51" s="1219">
        <f t="shared" si="4"/>
        <v>-0.17649754451081356</v>
      </c>
      <c r="T51" s="1219">
        <f t="shared" si="4"/>
        <v>0.12805624945747041</v>
      </c>
      <c r="U51" s="1219">
        <f t="shared" si="4"/>
        <v>-0.1995231287039495</v>
      </c>
      <c r="V51" s="1219">
        <f t="shared" si="4"/>
        <v>-2.467224877049734E-2</v>
      </c>
      <c r="W51" s="1219">
        <f t="shared" si="4"/>
        <v>7.842364213023334E-2</v>
      </c>
      <c r="X51" s="1219">
        <f t="shared" si="4"/>
        <v>7.7570315870063355E-2</v>
      </c>
      <c r="Y51" s="1219">
        <f t="shared" si="4"/>
        <v>0.35332153704065639</v>
      </c>
      <c r="Z51" s="1219">
        <f t="shared" si="5"/>
        <v>-1.9706422654473088E-2</v>
      </c>
    </row>
    <row r="52" spans="1:26" ht="12.75" customHeight="1">
      <c r="A52" s="1217" t="s">
        <v>1814</v>
      </c>
      <c r="B52" s="1219" t="str">
        <f t="shared" si="3"/>
        <v/>
      </c>
      <c r="C52" s="1219">
        <f t="shared" si="3"/>
        <v>-9.2890202979378222E-2</v>
      </c>
      <c r="D52" s="1219">
        <f t="shared" si="3"/>
        <v>-0.13465900623954474</v>
      </c>
      <c r="E52" s="1219">
        <f t="shared" si="3"/>
        <v>-0.11738438690492203</v>
      </c>
      <c r="F52" s="1219">
        <f t="shared" si="3"/>
        <v>-0.11364173668949917</v>
      </c>
      <c r="G52" s="1219">
        <f t="shared" si="3"/>
        <v>5.4917934204459229E-2</v>
      </c>
      <c r="H52" s="1219">
        <f t="shared" si="3"/>
        <v>-0.15193729735460337</v>
      </c>
      <c r="I52" s="1219">
        <f t="shared" si="3"/>
        <v>-2.4765575683616148E-2</v>
      </c>
      <c r="J52" s="1219">
        <f t="shared" si="3"/>
        <v>-1.2625393009579655E-2</v>
      </c>
      <c r="K52" s="1219">
        <f t="shared" si="3"/>
        <v>6.9236568880970406E-3</v>
      </c>
      <c r="L52" s="1219">
        <f t="shared" si="4"/>
        <v>3.9235358944159637E-2</v>
      </c>
      <c r="M52" s="1219">
        <f t="shared" si="4"/>
        <v>5.0294772858743286E-3</v>
      </c>
      <c r="N52" s="1219">
        <f t="shared" si="4"/>
        <v>-1.2008674264893937E-3</v>
      </c>
      <c r="O52" s="1219">
        <f t="shared" si="4"/>
        <v>7.1223270154162188E-2</v>
      </c>
      <c r="P52" s="1219">
        <f t="shared" si="4"/>
        <v>5.8961740452968536E-2</v>
      </c>
      <c r="Q52" s="1219">
        <f t="shared" si="4"/>
        <v>6.6202608043759659E-2</v>
      </c>
      <c r="R52" s="1219">
        <f t="shared" si="4"/>
        <v>-1.7606572579769164E-3</v>
      </c>
      <c r="S52" s="1219">
        <f t="shared" si="4"/>
        <v>-4.653782371107118E-2</v>
      </c>
      <c r="T52" s="1219">
        <f t="shared" si="4"/>
        <v>0.14560246146872258</v>
      </c>
      <c r="U52" s="1219">
        <f t="shared" si="4"/>
        <v>-0.10222679479965802</v>
      </c>
      <c r="V52" s="1219">
        <f t="shared" si="4"/>
        <v>-4.8372234440989814E-3</v>
      </c>
      <c r="W52" s="1219">
        <f t="shared" si="4"/>
        <v>2.2483010838265205E-2</v>
      </c>
      <c r="X52" s="1219">
        <f t="shared" si="4"/>
        <v>5.4457133377638689E-2</v>
      </c>
      <c r="Y52" s="1219">
        <f t="shared" si="4"/>
        <v>0.11950484396904093</v>
      </c>
      <c r="Z52" s="1219">
        <f t="shared" si="5"/>
        <v>-1.018160848727756E-2</v>
      </c>
    </row>
    <row r="53" spans="1:26" ht="12.75" customHeight="1">
      <c r="A53" s="1217" t="s">
        <v>1815</v>
      </c>
      <c r="B53" s="1219" t="str">
        <f t="shared" si="3"/>
        <v/>
      </c>
      <c r="C53" s="1219">
        <f t="shared" si="3"/>
        <v>-1.0840108401083959E-2</v>
      </c>
      <c r="D53" s="1219">
        <f t="shared" si="3"/>
        <v>-7.9452054794520999E-3</v>
      </c>
      <c r="E53" s="1219">
        <f t="shared" si="3"/>
        <v>-8.2850041425019949E-4</v>
      </c>
      <c r="F53" s="1219">
        <f t="shared" si="3"/>
        <v>2.6810392482034207E-2</v>
      </c>
      <c r="G53" s="1219">
        <f t="shared" si="3"/>
        <v>2.0188425302826385E-2</v>
      </c>
      <c r="H53" s="1219">
        <f t="shared" si="3"/>
        <v>1.715039577836408E-2</v>
      </c>
      <c r="I53" s="1219">
        <f t="shared" si="3"/>
        <v>5.5252918287937769E-2</v>
      </c>
      <c r="J53" s="1219">
        <f t="shared" si="3"/>
        <v>0.11996066863323507</v>
      </c>
      <c r="K53" s="1219">
        <f t="shared" si="3"/>
        <v>1.3608428446005183E-2</v>
      </c>
      <c r="L53" s="1219">
        <f t="shared" si="4"/>
        <v>5.4569077522737208E-2</v>
      </c>
      <c r="M53" s="1219">
        <f t="shared" si="4"/>
        <v>4.7227926078028393E-3</v>
      </c>
      <c r="N53" s="1219">
        <f t="shared" si="4"/>
        <v>4.0057224606580899E-2</v>
      </c>
      <c r="O53" s="1219">
        <f t="shared" si="4"/>
        <v>2.6724307329534236E-2</v>
      </c>
      <c r="P53" s="1219">
        <f t="shared" si="4"/>
        <v>9.7607655502391921E-3</v>
      </c>
      <c r="Q53" s="1219">
        <f t="shared" si="4"/>
        <v>1.3836239575435894E-2</v>
      </c>
      <c r="R53" s="1219">
        <f t="shared" si="4"/>
        <v>7.478033277248386E-4</v>
      </c>
      <c r="S53" s="1219">
        <f t="shared" si="4"/>
        <v>1.5878946385204484E-2</v>
      </c>
      <c r="T53" s="1219">
        <f t="shared" si="4"/>
        <v>-1.0114012504597314E-2</v>
      </c>
      <c r="U53" s="1219">
        <f t="shared" si="4"/>
        <v>-4.2727103845439096E-3</v>
      </c>
      <c r="V53" s="1219">
        <f t="shared" si="4"/>
        <v>9.3283582089551675E-3</v>
      </c>
      <c r="W53" s="1219">
        <f t="shared" si="4"/>
        <v>4.6210720887245316E-3</v>
      </c>
      <c r="X53" s="1219">
        <f t="shared" si="4"/>
        <v>1.2879484820607079E-3</v>
      </c>
      <c r="Y53" s="1219">
        <f t="shared" si="4"/>
        <v>0.13894077085630285</v>
      </c>
      <c r="Z53" s="1219">
        <f t="shared" si="5"/>
        <v>2.2804788601380466E-2</v>
      </c>
    </row>
    <row r="54" spans="1:26" ht="12.75" customHeight="1">
      <c r="A54" s="1217" t="s">
        <v>1816</v>
      </c>
      <c r="B54" s="1219" t="str">
        <f t="shared" si="3"/>
        <v/>
      </c>
      <c r="C54" s="1219">
        <f t="shared" si="3"/>
        <v>-9.7234294529740528E-2</v>
      </c>
      <c r="D54" s="1219">
        <f t="shared" si="3"/>
        <v>-0.14200981707262805</v>
      </c>
      <c r="E54" s="1219">
        <f t="shared" si="3"/>
        <v>-0.12520244480525189</v>
      </c>
      <c r="F54" s="1219">
        <f t="shared" si="3"/>
        <v>-0.12440206382475028</v>
      </c>
      <c r="G54" s="1219">
        <f t="shared" si="3"/>
        <v>5.8038126184097649E-2</v>
      </c>
      <c r="H54" s="1219">
        <f t="shared" si="3"/>
        <v>-0.16658514274533875</v>
      </c>
      <c r="I54" s="1219">
        <f t="shared" si="3"/>
        <v>-3.3225686573775115E-2</v>
      </c>
      <c r="J54" s="1219">
        <f t="shared" si="3"/>
        <v>-2.7926223774041525E-2</v>
      </c>
      <c r="K54" s="1219">
        <f t="shared" si="3"/>
        <v>6.0348503194276315E-3</v>
      </c>
      <c r="L54" s="1219">
        <f t="shared" si="4"/>
        <v>3.7181241072661297E-2</v>
      </c>
      <c r="M54" s="1219">
        <f t="shared" si="4"/>
        <v>5.0712497727558592E-3</v>
      </c>
      <c r="N54" s="1219">
        <f t="shared" si="4"/>
        <v>-6.8185448391048231E-3</v>
      </c>
      <c r="O54" s="1219">
        <f t="shared" si="4"/>
        <v>7.7568190561206452E-2</v>
      </c>
      <c r="P54" s="1219">
        <f t="shared" si="4"/>
        <v>6.5646088874304898E-2</v>
      </c>
      <c r="Q54" s="1219">
        <f t="shared" si="4"/>
        <v>7.2943902931781102E-2</v>
      </c>
      <c r="R54" s="1219">
        <f t="shared" si="4"/>
        <v>-2.0657900930765027E-3</v>
      </c>
      <c r="S54" s="1219">
        <f t="shared" si="4"/>
        <v>-5.4151697766657181E-2</v>
      </c>
      <c r="T54" s="1219">
        <f t="shared" si="4"/>
        <v>0.16600383604139424</v>
      </c>
      <c r="U54" s="1219">
        <f t="shared" si="4"/>
        <v>-0.11312192979084867</v>
      </c>
      <c r="V54" s="1219">
        <f t="shared" si="4"/>
        <v>-6.6061954953925417E-3</v>
      </c>
      <c r="W54" s="1219">
        <f t="shared" si="4"/>
        <v>2.4749356681367241E-2</v>
      </c>
      <c r="X54" s="1219">
        <f t="shared" si="4"/>
        <v>6.1070798779224722E-2</v>
      </c>
      <c r="Y54" s="1219">
        <f t="shared" si="4"/>
        <v>0.11722344048794353</v>
      </c>
      <c r="Z54" s="1219">
        <f t="shared" si="5"/>
        <v>-1.282205125162883E-2</v>
      </c>
    </row>
    <row r="55" spans="1:26" ht="12.75" customHeight="1">
      <c r="A55" s="1227"/>
      <c r="B55" s="1221"/>
      <c r="C55" s="1221"/>
      <c r="D55" s="1221"/>
      <c r="E55" s="1221"/>
      <c r="F55" s="1221"/>
      <c r="G55" s="1221"/>
      <c r="H55" s="1221"/>
      <c r="I55" s="1221"/>
      <c r="J55" s="1221"/>
      <c r="K55" s="1221"/>
      <c r="L55" s="1221"/>
      <c r="M55" s="1221"/>
      <c r="N55" s="1221"/>
      <c r="O55" s="1221"/>
      <c r="P55" s="1221"/>
      <c r="Q55" s="1221"/>
      <c r="R55" s="1221"/>
      <c r="S55" s="1221"/>
      <c r="T55" s="1221"/>
      <c r="U55" s="1221"/>
      <c r="V55" s="1221"/>
      <c r="W55" s="1221"/>
      <c r="X55" s="1221"/>
      <c r="Y55" s="1221"/>
      <c r="Z55" s="1221"/>
    </row>
    <row r="56" spans="1:26" ht="12.75" customHeight="1">
      <c r="A56" s="1222" t="s">
        <v>1817</v>
      </c>
      <c r="B56" s="1216"/>
      <c r="C56" s="1216"/>
      <c r="D56" s="1216"/>
      <c r="E56" s="1216"/>
      <c r="F56" s="1216"/>
      <c r="G56" s="1216"/>
      <c r="H56" s="1216"/>
      <c r="I56" s="1216"/>
      <c r="J56" s="1216"/>
      <c r="K56" s="1216"/>
      <c r="L56" s="1216"/>
      <c r="M56" s="1216"/>
      <c r="N56" s="1216"/>
      <c r="O56" s="1216"/>
      <c r="P56" s="1216"/>
      <c r="Q56" s="1216"/>
      <c r="R56" s="1216"/>
      <c r="S56" s="1216"/>
      <c r="T56" s="1216"/>
      <c r="U56" s="1216"/>
      <c r="V56" s="1216"/>
      <c r="W56" s="1216"/>
      <c r="X56" s="1216"/>
      <c r="Y56" s="1216"/>
      <c r="Z56" s="1216"/>
    </row>
    <row r="57" spans="1:26" ht="12.75" customHeight="1">
      <c r="A57" s="1217" t="s">
        <v>1818</v>
      </c>
      <c r="B57" s="1219" t="str">
        <f t="shared" ref="B57:K66" si="6">IFERROR(IF(OR(SECTOR_AAC=0,SECTOR_AAC=-1),CHAR(150),SECTOR_AAC),IF(COLUMN()&lt;=2,"",CHAR(150)))</f>
        <v/>
      </c>
      <c r="C57" s="1219">
        <f t="shared" si="6"/>
        <v>-7.597950185692004E-2</v>
      </c>
      <c r="D57" s="1219">
        <f t="shared" si="6"/>
        <v>-0.15174718235339457</v>
      </c>
      <c r="E57" s="1219">
        <f t="shared" si="6"/>
        <v>-0.11884072330345041</v>
      </c>
      <c r="F57" s="1219">
        <f t="shared" si="6"/>
        <v>-0.11182591427198285</v>
      </c>
      <c r="G57" s="1219">
        <f t="shared" si="6"/>
        <v>7.1292674248662147E-2</v>
      </c>
      <c r="H57" s="1219">
        <f t="shared" si="6"/>
        <v>-0.17455257012184822</v>
      </c>
      <c r="I57" s="1219">
        <f t="shared" si="6"/>
        <v>-3.9413917426238121E-2</v>
      </c>
      <c r="J57" s="1219">
        <f t="shared" si="6"/>
        <v>-2.327696633214249E-2</v>
      </c>
      <c r="K57" s="1219">
        <f t="shared" si="6"/>
        <v>-1.3019355215817652E-2</v>
      </c>
      <c r="L57" s="1219">
        <f t="shared" ref="L57:Y66" si="7">IFERROR(IF(OR(SECTOR_AAC=0,SECTOR_AAC=-1),CHAR(150),SECTOR_AAC),IF(COLUMN()&lt;=2,"",CHAR(150)))</f>
        <v>2.6798307475317307E-2</v>
      </c>
      <c r="M57" s="1219">
        <f t="shared" si="7"/>
        <v>-8.4099326088276083E-3</v>
      </c>
      <c r="N57" s="1219">
        <f t="shared" si="7"/>
        <v>-1.7671229354023432E-2</v>
      </c>
      <c r="O57" s="1219">
        <f t="shared" si="7"/>
        <v>7.9588677665886731E-2</v>
      </c>
      <c r="P57" s="1219">
        <f t="shared" si="7"/>
        <v>5.8090645482087311E-2</v>
      </c>
      <c r="Q57" s="1219">
        <f t="shared" si="7"/>
        <v>6.8331064361500271E-2</v>
      </c>
      <c r="R57" s="1219">
        <f t="shared" si="7"/>
        <v>-1.4489829794297582E-2</v>
      </c>
      <c r="S57" s="1219">
        <f t="shared" si="7"/>
        <v>-7.6973706372712836E-2</v>
      </c>
      <c r="T57" s="1219">
        <f t="shared" si="7"/>
        <v>0.19307367085338267</v>
      </c>
      <c r="U57" s="1219">
        <f t="shared" si="7"/>
        <v>-0.1256247352816604</v>
      </c>
      <c r="V57" s="1219">
        <f t="shared" si="7"/>
        <v>-1.6052552261620279E-2</v>
      </c>
      <c r="W57" s="1219">
        <f t="shared" si="7"/>
        <v>2.4445678245862634E-2</v>
      </c>
      <c r="X57" s="1219">
        <f t="shared" si="7"/>
        <v>5.0845647617903333E-2</v>
      </c>
      <c r="Y57" s="1219">
        <f t="shared" si="7"/>
        <v>0.25078532542364251</v>
      </c>
      <c r="Z57" s="1219">
        <f t="shared" ref="Z57:Z92" si="8">IFERROR(IF(OR(SECTOR_AAC_TOTAL=0,SECTOR_AAC_TOTAL=-1),CHAR(150),SECTOR_AAC_TOTAL),CHAR(150))</f>
        <v>-1.1253167072986625E-2</v>
      </c>
    </row>
    <row r="58" spans="1:26" ht="12.75" customHeight="1">
      <c r="A58" s="1223" t="s">
        <v>1819</v>
      </c>
      <c r="B58" s="1219" t="str">
        <f t="shared" si="6"/>
        <v/>
      </c>
      <c r="C58" s="1219">
        <f t="shared" si="6"/>
        <v>-5.8095873354678029E-2</v>
      </c>
      <c r="D58" s="1219">
        <f t="shared" si="6"/>
        <v>7.7661019925840957E-2</v>
      </c>
      <c r="E58" s="1219">
        <f t="shared" si="6"/>
        <v>-1.9956173783826858E-2</v>
      </c>
      <c r="F58" s="1219">
        <f t="shared" si="6"/>
        <v>-0.24900149702807073</v>
      </c>
      <c r="G58" s="1219">
        <f t="shared" si="6"/>
        <v>-4.4863927316795116E-2</v>
      </c>
      <c r="H58" s="1219">
        <f t="shared" si="6"/>
        <v>-9.1226683882932313E-3</v>
      </c>
      <c r="I58" s="1219">
        <f t="shared" si="6"/>
        <v>-4.7722548732897607E-2</v>
      </c>
      <c r="J58" s="1219">
        <f t="shared" si="6"/>
        <v>4.9369156841663209E-2</v>
      </c>
      <c r="K58" s="1219">
        <f t="shared" si="6"/>
        <v>-2.7200917354398557E-3</v>
      </c>
      <c r="L58" s="1219">
        <f t="shared" si="7"/>
        <v>4.430469615264454E-2</v>
      </c>
      <c r="M58" s="1219">
        <f t="shared" si="7"/>
        <v>-6.0851462412376045E-2</v>
      </c>
      <c r="N58" s="1219">
        <f t="shared" si="7"/>
        <v>-9.3407579806486507E-2</v>
      </c>
      <c r="O58" s="1219">
        <f t="shared" si="7"/>
        <v>0.10605150829915866</v>
      </c>
      <c r="P58" s="1219">
        <f t="shared" si="7"/>
        <v>8.8071547102783754E-2</v>
      </c>
      <c r="Q58" s="1219">
        <f t="shared" si="7"/>
        <v>2.924914705960413E-2</v>
      </c>
      <c r="R58" s="1219">
        <f t="shared" si="7"/>
        <v>2.1086408434563442E-2</v>
      </c>
      <c r="S58" s="1219">
        <f t="shared" si="7"/>
        <v>-0.13170594837261507</v>
      </c>
      <c r="T58" s="1219">
        <f t="shared" si="7"/>
        <v>-3.0892522458476068E-2</v>
      </c>
      <c r="U58" s="1219">
        <f t="shared" si="7"/>
        <v>-0.19379793264421474</v>
      </c>
      <c r="V58" s="1219">
        <f t="shared" si="7"/>
        <v>-0.11092728927123829</v>
      </c>
      <c r="W58" s="1219">
        <f t="shared" si="7"/>
        <v>5.4893933755117308E-2</v>
      </c>
      <c r="X58" s="1219">
        <f t="shared" si="7"/>
        <v>0.11007232316105142</v>
      </c>
      <c r="Y58" s="1219">
        <f t="shared" si="7"/>
        <v>0.27510801398379159</v>
      </c>
      <c r="Z58" s="1219">
        <f t="shared" si="8"/>
        <v>-1.4561028483013216E-2</v>
      </c>
    </row>
    <row r="59" spans="1:26" ht="12.75" customHeight="1">
      <c r="A59" s="1223" t="s">
        <v>1820</v>
      </c>
      <c r="B59" s="1219" t="str">
        <f t="shared" si="6"/>
        <v/>
      </c>
      <c r="C59" s="1219">
        <f t="shared" si="6"/>
        <v>-1.1336608504150303E-2</v>
      </c>
      <c r="D59" s="1219">
        <f t="shared" si="6"/>
        <v>-0.39379572132892859</v>
      </c>
      <c r="E59" s="1219">
        <f t="shared" si="6"/>
        <v>-0.1987003430513955</v>
      </c>
      <c r="F59" s="1219">
        <f t="shared" si="6"/>
        <v>-5.4337333106006747E-2</v>
      </c>
      <c r="G59" s="1219">
        <f t="shared" si="6"/>
        <v>0.25987096100356477</v>
      </c>
      <c r="H59" s="1219">
        <f t="shared" si="6"/>
        <v>-0.47066730487389652</v>
      </c>
      <c r="I59" s="1219">
        <f t="shared" si="6"/>
        <v>-8.579861247061138E-2</v>
      </c>
      <c r="J59" s="1219">
        <f t="shared" si="6"/>
        <v>-0.41960022923290596</v>
      </c>
      <c r="K59" s="1219">
        <f t="shared" si="6"/>
        <v>1.296259856353732E-2</v>
      </c>
      <c r="L59" s="1219">
        <f t="shared" si="7"/>
        <v>-5.9585051877187545E-2</v>
      </c>
      <c r="M59" s="1219">
        <f t="shared" si="7"/>
        <v>-0.1143341940243453</v>
      </c>
      <c r="N59" s="1219">
        <f t="shared" si="7"/>
        <v>0.34962349648485658</v>
      </c>
      <c r="O59" s="1219">
        <f t="shared" si="7"/>
        <v>-0.14256133312760366</v>
      </c>
      <c r="P59" s="1219">
        <f t="shared" si="7"/>
        <v>-0.18682900670498437</v>
      </c>
      <c r="Q59" s="1219">
        <f t="shared" si="7"/>
        <v>-7.1000522257924636E-2</v>
      </c>
      <c r="R59" s="1219">
        <f t="shared" si="7"/>
        <v>-3.7160552644116218E-2</v>
      </c>
      <c r="S59" s="1219">
        <f t="shared" si="7"/>
        <v>-0.77436912419594262</v>
      </c>
      <c r="T59" s="1219">
        <f t="shared" si="7"/>
        <v>3.7302631578947372</v>
      </c>
      <c r="U59" s="1219">
        <f t="shared" si="7"/>
        <v>-0.42651831247102456</v>
      </c>
      <c r="V59" s="1219">
        <f t="shared" si="7"/>
        <v>-0.11721907841552137</v>
      </c>
      <c r="W59" s="1219">
        <f t="shared" si="7"/>
        <v>0.71978021978021989</v>
      </c>
      <c r="X59" s="1219">
        <f t="shared" si="7"/>
        <v>0.26996805111821076</v>
      </c>
      <c r="Y59" s="1219">
        <f t="shared" si="7"/>
        <v>1.6147079245283136E-2</v>
      </c>
      <c r="Z59" s="1219">
        <f t="shared" si="8"/>
        <v>-8.2838761444990361E-2</v>
      </c>
    </row>
    <row r="60" spans="1:26" ht="12.75" customHeight="1">
      <c r="A60" s="1223" t="s">
        <v>1821</v>
      </c>
      <c r="B60" s="1219" t="str">
        <f t="shared" si="6"/>
        <v/>
      </c>
      <c r="C60" s="1219">
        <f t="shared" si="6"/>
        <v>-0.12833889506859475</v>
      </c>
      <c r="D60" s="1219">
        <f t="shared" si="6"/>
        <v>-0.16118288123120372</v>
      </c>
      <c r="E60" s="1219">
        <f t="shared" si="6"/>
        <v>-7.7529856233677363E-2</v>
      </c>
      <c r="F60" s="1219">
        <f t="shared" si="6"/>
        <v>-0.12518793995816535</v>
      </c>
      <c r="G60" s="1219">
        <f t="shared" si="6"/>
        <v>-0.10665853934420055</v>
      </c>
      <c r="H60" s="1219">
        <f t="shared" si="6"/>
        <v>-7.1893838675867405E-2</v>
      </c>
      <c r="I60" s="1219">
        <f t="shared" si="6"/>
        <v>-7.2741121945119169E-2</v>
      </c>
      <c r="J60" s="1219">
        <f t="shared" si="6"/>
        <v>-9.3331862059946369E-2</v>
      </c>
      <c r="K60" s="1219">
        <f t="shared" si="6"/>
        <v>-0.38596522860143601</v>
      </c>
      <c r="L60" s="1219">
        <f t="shared" si="7"/>
        <v>0.5555376111229382</v>
      </c>
      <c r="M60" s="1219">
        <f t="shared" si="7"/>
        <v>9.9655497876356858E-2</v>
      </c>
      <c r="N60" s="1219">
        <f t="shared" si="7"/>
        <v>0.16521970500006433</v>
      </c>
      <c r="O60" s="1219">
        <f t="shared" si="7"/>
        <v>8.7387115308121821E-2</v>
      </c>
      <c r="P60" s="1219">
        <f t="shared" si="7"/>
        <v>0.26480898785068585</v>
      </c>
      <c r="Q60" s="1219">
        <f t="shared" si="7"/>
        <v>0.11347361994076466</v>
      </c>
      <c r="R60" s="1219">
        <f t="shared" si="7"/>
        <v>0.13684463684463677</v>
      </c>
      <c r="S60" s="1219">
        <f t="shared" si="7"/>
        <v>-0.21112756505182995</v>
      </c>
      <c r="T60" s="1219">
        <f t="shared" si="7"/>
        <v>0.25663716814159288</v>
      </c>
      <c r="U60" s="1219">
        <f t="shared" si="7"/>
        <v>-0.11118224498506191</v>
      </c>
      <c r="V60" s="1219">
        <f t="shared" si="7"/>
        <v>0.16710684273709475</v>
      </c>
      <c r="W60" s="1219">
        <f t="shared" si="7"/>
        <v>4.0320921621065597E-2</v>
      </c>
      <c r="X60" s="1219">
        <f t="shared" si="7"/>
        <v>3.2825786039153648E-2</v>
      </c>
      <c r="Y60" s="1219">
        <f t="shared" si="7"/>
        <v>0.41936100076584326</v>
      </c>
      <c r="Z60" s="1219">
        <f t="shared" si="8"/>
        <v>1.3921734420457854E-2</v>
      </c>
    </row>
    <row r="61" spans="1:26" ht="12.75" customHeight="1">
      <c r="A61" s="1223" t="s">
        <v>1822</v>
      </c>
      <c r="B61" s="1219" t="str">
        <f t="shared" si="6"/>
        <v/>
      </c>
      <c r="C61" s="1219">
        <f t="shared" si="6"/>
        <v>-0.11908706876320108</v>
      </c>
      <c r="D61" s="1219">
        <f t="shared" si="6"/>
        <v>-0.17659321659113858</v>
      </c>
      <c r="E61" s="1219">
        <f t="shared" si="6"/>
        <v>-0.35150442535141546</v>
      </c>
      <c r="F61" s="1219">
        <f t="shared" si="6"/>
        <v>0.49740933935035159</v>
      </c>
      <c r="G61" s="1219">
        <f t="shared" si="6"/>
        <v>7.5767672459750468E-2</v>
      </c>
      <c r="H61" s="1219">
        <f t="shared" si="6"/>
        <v>-0.28909802148246333</v>
      </c>
      <c r="I61" s="1219">
        <f t="shared" si="6"/>
        <v>-4.2256374508501282E-2</v>
      </c>
      <c r="J61" s="1219">
        <f t="shared" si="6"/>
        <v>-0.18038152468856394</v>
      </c>
      <c r="K61" s="1219">
        <f t="shared" si="6"/>
        <v>6.0238489694769637E-2</v>
      </c>
      <c r="L61" s="1219">
        <f t="shared" si="7"/>
        <v>0.27310513063461572</v>
      </c>
      <c r="M61" s="1219">
        <f t="shared" si="7"/>
        <v>9.6634457236842053E-2</v>
      </c>
      <c r="N61" s="1219">
        <f t="shared" si="7"/>
        <v>0.15513036109658174</v>
      </c>
      <c r="O61" s="1219">
        <f t="shared" si="7"/>
        <v>0.1066736995861397</v>
      </c>
      <c r="P61" s="1219">
        <f t="shared" si="7"/>
        <v>-6.161228491355486E-2</v>
      </c>
      <c r="Q61" s="1219">
        <f t="shared" si="7"/>
        <v>0.18071780766255396</v>
      </c>
      <c r="R61" s="1219">
        <f t="shared" si="7"/>
        <v>-0.14480476505625417</v>
      </c>
      <c r="S61" s="1219">
        <f t="shared" si="7"/>
        <v>7.2279832843213043E-2</v>
      </c>
      <c r="T61" s="1219">
        <f t="shared" si="7"/>
        <v>0.22228637413394914</v>
      </c>
      <c r="U61" s="1219">
        <f t="shared" si="7"/>
        <v>-6.9792158715162977E-2</v>
      </c>
      <c r="V61" s="1219">
        <f t="shared" si="7"/>
        <v>3.3134442046464319E-2</v>
      </c>
      <c r="W61" s="1219">
        <f t="shared" si="7"/>
        <v>-3.1088719587122116E-2</v>
      </c>
      <c r="X61" s="1219">
        <f t="shared" si="7"/>
        <v>-0.13100824350031703</v>
      </c>
      <c r="Y61" s="1219">
        <f t="shared" si="7"/>
        <v>-3.6179800058377953E-3</v>
      </c>
      <c r="Z61" s="1219">
        <f t="shared" si="8"/>
        <v>-9.5943307252842613E-3</v>
      </c>
    </row>
    <row r="62" spans="1:26" ht="12.75" customHeight="1">
      <c r="A62" s="1223" t="s">
        <v>1823</v>
      </c>
      <c r="B62" s="1219" t="str">
        <f t="shared" si="6"/>
        <v/>
      </c>
      <c r="C62" s="1219">
        <f t="shared" si="6"/>
        <v>-0.9980484522207268</v>
      </c>
      <c r="D62" s="1219">
        <f t="shared" si="6"/>
        <v>4.6413793103448278</v>
      </c>
      <c r="E62" s="1219">
        <f t="shared" si="6"/>
        <v>-0.20415647921760394</v>
      </c>
      <c r="F62" s="1219">
        <f t="shared" si="6"/>
        <v>-0.77726574500768053</v>
      </c>
      <c r="G62" s="1219">
        <f t="shared" si="6"/>
        <v>713.31724137931042</v>
      </c>
      <c r="H62" s="1219">
        <f t="shared" si="6"/>
        <v>0.35890553796246238</v>
      </c>
      <c r="I62" s="1219">
        <f t="shared" si="6"/>
        <v>0.37956660746003545</v>
      </c>
      <c r="J62" s="1219">
        <f t="shared" si="6"/>
        <v>1.033778981738029</v>
      </c>
      <c r="K62" s="1219">
        <f t="shared" si="6"/>
        <v>-1.0665802328143181E-2</v>
      </c>
      <c r="L62" s="1219">
        <f t="shared" si="7"/>
        <v>-0.31711437310433965</v>
      </c>
      <c r="M62" s="1219">
        <f t="shared" si="7"/>
        <v>-9.5187406296851629E-2</v>
      </c>
      <c r="N62" s="1219">
        <f t="shared" si="7"/>
        <v>-0.41576361617868807</v>
      </c>
      <c r="O62" s="1219">
        <f t="shared" si="7"/>
        <v>0.46908967150464087</v>
      </c>
      <c r="P62" s="1219">
        <f t="shared" si="7"/>
        <v>0.39191393656248175</v>
      </c>
      <c r="Q62" s="1219">
        <f t="shared" si="7"/>
        <v>6.6231158915252886E-2</v>
      </c>
      <c r="R62" s="1219">
        <f t="shared" si="7"/>
        <v>-0.344390243902439</v>
      </c>
      <c r="S62" s="1219">
        <f t="shared" si="7"/>
        <v>-0.39980158730158732</v>
      </c>
      <c r="T62" s="1219">
        <f t="shared" si="7"/>
        <v>-0.31322314049586775</v>
      </c>
      <c r="U62" s="1219">
        <f t="shared" si="7"/>
        <v>-0.13357400722021662</v>
      </c>
      <c r="V62" s="1219">
        <f t="shared" si="7"/>
        <v>-0.25416666666666665</v>
      </c>
      <c r="W62" s="1219">
        <f t="shared" si="7"/>
        <v>-0.1973929236499069</v>
      </c>
      <c r="X62" s="1219">
        <f t="shared" si="7"/>
        <v>0.96983758700696066</v>
      </c>
      <c r="Y62" s="1219" t="str">
        <f t="shared" si="7"/>
        <v>–</v>
      </c>
      <c r="Z62" s="1219" t="str">
        <f t="shared" si="8"/>
        <v>–</v>
      </c>
    </row>
    <row r="63" spans="1:26" ht="12.75" customHeight="1">
      <c r="A63" s="1223" t="s">
        <v>1825</v>
      </c>
      <c r="B63" s="1219" t="str">
        <f t="shared" si="6"/>
        <v/>
      </c>
      <c r="C63" s="1219">
        <f t="shared" si="6"/>
        <v>-0.10638397017707368</v>
      </c>
      <c r="D63" s="1219">
        <f t="shared" si="6"/>
        <v>-0.20302967096000424</v>
      </c>
      <c r="E63" s="1219">
        <f t="shared" si="6"/>
        <v>-0.13995485327313772</v>
      </c>
      <c r="F63" s="1219">
        <f t="shared" si="6"/>
        <v>-7.6876260032713306E-2</v>
      </c>
      <c r="G63" s="1219">
        <f t="shared" si="6"/>
        <v>6.0285149167628171E-2</v>
      </c>
      <c r="H63" s="1219">
        <f t="shared" si="6"/>
        <v>-0.13050406124907699</v>
      </c>
      <c r="I63" s="1219">
        <f t="shared" si="6"/>
        <v>-6.2754212667054055E-2</v>
      </c>
      <c r="J63" s="1219">
        <f t="shared" si="6"/>
        <v>-0.10234155181458338</v>
      </c>
      <c r="K63" s="1219">
        <f t="shared" si="6"/>
        <v>6.7683153588694589E-2</v>
      </c>
      <c r="L63" s="1219">
        <f t="shared" si="7"/>
        <v>-4.4633527392148098E-2</v>
      </c>
      <c r="M63" s="1219">
        <f t="shared" si="7"/>
        <v>0.14348958333333339</v>
      </c>
      <c r="N63" s="1219">
        <f t="shared" si="7"/>
        <v>-3.7030289227966362E-2</v>
      </c>
      <c r="O63" s="1219">
        <f t="shared" si="7"/>
        <v>-9.1760476776084898E-3</v>
      </c>
      <c r="P63" s="1219">
        <f t="shared" si="7"/>
        <v>-4.057666603017096E-3</v>
      </c>
      <c r="Q63" s="1219">
        <f t="shared" si="7"/>
        <v>0.10003355222163646</v>
      </c>
      <c r="R63" s="1219">
        <f t="shared" si="7"/>
        <v>0.15076252723311545</v>
      </c>
      <c r="S63" s="1219">
        <f t="shared" si="7"/>
        <v>0.41082923135176075</v>
      </c>
      <c r="T63" s="1219">
        <f t="shared" si="7"/>
        <v>0.451959205582394</v>
      </c>
      <c r="U63" s="1219">
        <f t="shared" si="7"/>
        <v>-2.5508317929759605E-2</v>
      </c>
      <c r="V63" s="1219">
        <f t="shared" si="7"/>
        <v>1.0432473444613066E-2</v>
      </c>
      <c r="W63" s="1219">
        <f t="shared" si="7"/>
        <v>-2.8533883987234887E-2</v>
      </c>
      <c r="X63" s="1219">
        <f t="shared" si="7"/>
        <v>5.507246376811592E-2</v>
      </c>
      <c r="Y63" s="1219">
        <f t="shared" si="7"/>
        <v>0.44074732583289733</v>
      </c>
      <c r="Z63" s="1219">
        <f t="shared" si="8"/>
        <v>2.6691656435984035E-2</v>
      </c>
    </row>
    <row r="64" spans="1:26" ht="12.75" customHeight="1">
      <c r="A64" s="1217" t="s">
        <v>1826</v>
      </c>
      <c r="B64" s="1219" t="str">
        <f t="shared" si="6"/>
        <v/>
      </c>
      <c r="C64" s="1219">
        <f t="shared" si="6"/>
        <v>-3.2821711947416787E-2</v>
      </c>
      <c r="D64" s="1219">
        <f t="shared" si="6"/>
        <v>-8.453662959113728E-2</v>
      </c>
      <c r="E64" s="1219">
        <f t="shared" si="6"/>
        <v>-0.35580515297906601</v>
      </c>
      <c r="F64" s="1219">
        <f t="shared" si="6"/>
        <v>-0.46151058005974332</v>
      </c>
      <c r="G64" s="1219">
        <f t="shared" si="6"/>
        <v>-0.60140655463745241</v>
      </c>
      <c r="H64" s="1219">
        <f t="shared" si="6"/>
        <v>-0.3449018808594887</v>
      </c>
      <c r="I64" s="1219">
        <f t="shared" si="6"/>
        <v>0.32257777777777763</v>
      </c>
      <c r="J64" s="1219">
        <f t="shared" si="6"/>
        <v>-0.33812756233617847</v>
      </c>
      <c r="K64" s="1219">
        <f t="shared" si="6"/>
        <v>-0.14114541023558091</v>
      </c>
      <c r="L64" s="1219">
        <f t="shared" si="7"/>
        <v>5.5292031213052732</v>
      </c>
      <c r="M64" s="1219">
        <f t="shared" si="7"/>
        <v>0.26729320585252792</v>
      </c>
      <c r="N64" s="1219">
        <f t="shared" si="7"/>
        <v>0.3010073587197255</v>
      </c>
      <c r="O64" s="1219">
        <f t="shared" si="7"/>
        <v>0.16081097406947764</v>
      </c>
      <c r="P64" s="1219">
        <f t="shared" si="7"/>
        <v>0.2796022442356636</v>
      </c>
      <c r="Q64" s="1219">
        <f t="shared" si="7"/>
        <v>0.31578246885282257</v>
      </c>
      <c r="R64" s="1219">
        <f t="shared" si="7"/>
        <v>0.11465948874140919</v>
      </c>
      <c r="S64" s="1219">
        <f t="shared" si="7"/>
        <v>0.16034725268077255</v>
      </c>
      <c r="T64" s="1219">
        <f t="shared" si="7"/>
        <v>-0.1130894192376708</v>
      </c>
      <c r="U64" s="1219">
        <f t="shared" si="7"/>
        <v>-0.12846463597440894</v>
      </c>
      <c r="V64" s="1219">
        <f t="shared" si="7"/>
        <v>0.18196279017480754</v>
      </c>
      <c r="W64" s="1219">
        <f t="shared" si="7"/>
        <v>0.14743940309012138</v>
      </c>
      <c r="X64" s="1219">
        <f t="shared" si="7"/>
        <v>0.21629014410225178</v>
      </c>
      <c r="Y64" s="1219">
        <f t="shared" si="7"/>
        <v>-0.55716458716074624</v>
      </c>
      <c r="Z64" s="1219">
        <f t="shared" si="8"/>
        <v>-3.3142857465968678E-3</v>
      </c>
    </row>
    <row r="65" spans="1:26" ht="12.75" customHeight="1">
      <c r="A65" s="1223" t="s">
        <v>1827</v>
      </c>
      <c r="B65" s="1219" t="str">
        <f t="shared" si="6"/>
        <v/>
      </c>
      <c r="C65" s="1219">
        <f t="shared" si="6"/>
        <v>-0.11337351042458987</v>
      </c>
      <c r="D65" s="1219">
        <f t="shared" si="6"/>
        <v>-7.2679278486581622E-2</v>
      </c>
      <c r="E65" s="1219">
        <f t="shared" si="6"/>
        <v>-0.26143372236455065</v>
      </c>
      <c r="F65" s="1219">
        <f t="shared" si="6"/>
        <v>-0.28466356190782083</v>
      </c>
      <c r="G65" s="1219">
        <f t="shared" si="6"/>
        <v>-0.56470007183908044</v>
      </c>
      <c r="H65" s="1219">
        <f t="shared" si="6"/>
        <v>0.11583290355853526</v>
      </c>
      <c r="I65" s="1219">
        <f t="shared" si="6"/>
        <v>0.35376224810501</v>
      </c>
      <c r="J65" s="1219">
        <f t="shared" si="6"/>
        <v>-0.33697507681802663</v>
      </c>
      <c r="K65" s="1219">
        <f t="shared" si="6"/>
        <v>-0.14696189495365597</v>
      </c>
      <c r="L65" s="1219">
        <f t="shared" si="7"/>
        <v>0.46299649885307259</v>
      </c>
      <c r="M65" s="1219">
        <f t="shared" si="7"/>
        <v>1.0887110084172305</v>
      </c>
      <c r="N65" s="1219">
        <f t="shared" si="7"/>
        <v>0.61815021137055015</v>
      </c>
      <c r="O65" s="1219">
        <f t="shared" si="7"/>
        <v>0.19410601362404467</v>
      </c>
      <c r="P65" s="1219">
        <f t="shared" si="7"/>
        <v>0.41570736295417832</v>
      </c>
      <c r="Q65" s="1219">
        <f t="shared" si="7"/>
        <v>7.799185418411847E-2</v>
      </c>
      <c r="R65" s="1219">
        <f t="shared" si="7"/>
        <v>7.8029957930276783E-2</v>
      </c>
      <c r="S65" s="1219">
        <f t="shared" si="7"/>
        <v>2.9840173000919679E-2</v>
      </c>
      <c r="T65" s="1219">
        <f t="shared" si="7"/>
        <v>-6.9741621712947843E-2</v>
      </c>
      <c r="U65" s="1219">
        <f t="shared" si="7"/>
        <v>-0.19358102848840231</v>
      </c>
      <c r="V65" s="1219">
        <f t="shared" si="7"/>
        <v>-5.6947974646889277E-3</v>
      </c>
      <c r="W65" s="1219">
        <f t="shared" si="7"/>
        <v>0.11437030805073767</v>
      </c>
      <c r="X65" s="1219">
        <f t="shared" si="7"/>
        <v>0.39538597790263807</v>
      </c>
      <c r="Y65" s="1219">
        <f t="shared" si="7"/>
        <v>-0.24067725054624911</v>
      </c>
      <c r="Z65" s="1219">
        <f t="shared" si="8"/>
        <v>1.5466240131023712E-2</v>
      </c>
    </row>
    <row r="66" spans="1:26" ht="12.75" customHeight="1">
      <c r="A66" s="1223" t="s">
        <v>1828</v>
      </c>
      <c r="B66" s="1219" t="str">
        <f t="shared" si="6"/>
        <v/>
      </c>
      <c r="C66" s="1219" t="str">
        <f t="shared" si="6"/>
        <v>–</v>
      </c>
      <c r="D66" s="1219">
        <f t="shared" si="6"/>
        <v>-0.23622047244094491</v>
      </c>
      <c r="E66" s="1219">
        <f t="shared" si="6"/>
        <v>-0.2989690721649485</v>
      </c>
      <c r="F66" s="1219">
        <f t="shared" si="6"/>
        <v>8.8235294117647189E-2</v>
      </c>
      <c r="G66" s="1219">
        <f t="shared" si="6"/>
        <v>-0.75</v>
      </c>
      <c r="H66" s="1219">
        <f t="shared" si="6"/>
        <v>-0.78378378378378377</v>
      </c>
      <c r="I66" s="1219" t="str">
        <f t="shared" si="6"/>
        <v>–</v>
      </c>
      <c r="J66" s="1219" t="str">
        <f t="shared" si="6"/>
        <v>–</v>
      </c>
      <c r="K66" s="1219" t="str">
        <f t="shared" si="6"/>
        <v>–</v>
      </c>
      <c r="L66" s="1219" t="str">
        <f t="shared" si="7"/>
        <v>–</v>
      </c>
      <c r="M66" s="1219" t="str">
        <f t="shared" si="7"/>
        <v>–</v>
      </c>
      <c r="N66" s="1219" t="str">
        <f t="shared" si="7"/>
        <v>–</v>
      </c>
      <c r="O66" s="1219" t="str">
        <f t="shared" si="7"/>
        <v>–</v>
      </c>
      <c r="P66" s="1219" t="str">
        <f t="shared" si="7"/>
        <v>–</v>
      </c>
      <c r="Q66" s="1219" t="str">
        <f t="shared" si="7"/>
        <v>–</v>
      </c>
      <c r="R66" s="1219" t="str">
        <f t="shared" si="7"/>
        <v>–</v>
      </c>
      <c r="S66" s="1219" t="str">
        <f t="shared" si="7"/>
        <v>–</v>
      </c>
      <c r="T66" s="1219" t="str">
        <f t="shared" si="7"/>
        <v>–</v>
      </c>
      <c r="U66" s="1219" t="str">
        <f t="shared" si="7"/>
        <v>–</v>
      </c>
      <c r="V66" s="1219" t="str">
        <f t="shared" si="7"/>
        <v>–</v>
      </c>
      <c r="W66" s="1219" t="str">
        <f t="shared" si="7"/>
        <v>–</v>
      </c>
      <c r="X66" s="1219" t="str">
        <f t="shared" si="7"/>
        <v>–</v>
      </c>
      <c r="Y66" s="1219" t="str">
        <f t="shared" si="7"/>
        <v>–</v>
      </c>
      <c r="Z66" s="1219" t="str">
        <f t="shared" si="8"/>
        <v>–</v>
      </c>
    </row>
    <row r="67" spans="1:26" ht="12.75" customHeight="1">
      <c r="A67" s="1223" t="s">
        <v>1829</v>
      </c>
      <c r="B67" s="1219" t="str">
        <f t="shared" ref="B67:K76" si="9">IFERROR(IF(OR(SECTOR_AAC=0,SECTOR_AAC=-1),CHAR(150),SECTOR_AAC),IF(COLUMN()&lt;=2,"",CHAR(150)))</f>
        <v/>
      </c>
      <c r="C67" s="1219">
        <f t="shared" si="9"/>
        <v>-4.7619047619047672E-2</v>
      </c>
      <c r="D67" s="1219">
        <f t="shared" si="9"/>
        <v>-7.4999999999999512E-3</v>
      </c>
      <c r="E67" s="1219">
        <f t="shared" si="9"/>
        <v>-0.43324937027707811</v>
      </c>
      <c r="F67" s="1219">
        <f t="shared" si="9"/>
        <v>-0.83555555555555561</v>
      </c>
      <c r="G67" s="1219">
        <f t="shared" si="9"/>
        <v>-0.93513513513513513</v>
      </c>
      <c r="H67" s="1219">
        <f t="shared" si="9"/>
        <v>-0.54166666666666674</v>
      </c>
      <c r="I67" s="1219">
        <f t="shared" si="9"/>
        <v>-9.0909090909090828E-2</v>
      </c>
      <c r="J67" s="1219">
        <f t="shared" si="9"/>
        <v>-0.5</v>
      </c>
      <c r="K67" s="1219">
        <f t="shared" si="9"/>
        <v>-0.34666666666666668</v>
      </c>
      <c r="L67" s="1219">
        <f t="shared" ref="L67:Y76" si="10">IFERROR(IF(OR(SECTOR_AAC=0,SECTOR_AAC=-1),CHAR(150),SECTOR_AAC),IF(COLUMN()&lt;=2,"",CHAR(150)))</f>
        <v>-0.87755102040816324</v>
      </c>
      <c r="M67" s="1219">
        <f t="shared" si="10"/>
        <v>114.00000000000001</v>
      </c>
      <c r="N67" s="1219">
        <f t="shared" si="10"/>
        <v>6.1086956521739122</v>
      </c>
      <c r="O67" s="1219">
        <f t="shared" si="10"/>
        <v>0.72477064220183474</v>
      </c>
      <c r="P67" s="1219">
        <f t="shared" si="10"/>
        <v>0.60283687943262421</v>
      </c>
      <c r="Q67" s="1219">
        <f t="shared" si="10"/>
        <v>2.1648230088495577</v>
      </c>
      <c r="R67" s="1219">
        <f t="shared" si="10"/>
        <v>0.17196784341139471</v>
      </c>
      <c r="S67" s="1219">
        <f t="shared" si="10"/>
        <v>0.3957649865791828</v>
      </c>
      <c r="T67" s="1219">
        <f t="shared" si="10"/>
        <v>-0.40527065527065531</v>
      </c>
      <c r="U67" s="1219">
        <f t="shared" si="10"/>
        <v>-0.45992814371257484</v>
      </c>
      <c r="V67" s="1219">
        <f t="shared" si="10"/>
        <v>1.0389835018626932</v>
      </c>
      <c r="W67" s="1219">
        <f t="shared" si="10"/>
        <v>0.84469820554649266</v>
      </c>
      <c r="X67" s="1219">
        <f t="shared" si="10"/>
        <v>0.21878316236292905</v>
      </c>
      <c r="Y67" s="1219">
        <f t="shared" si="10"/>
        <v>-0.65079862622744644</v>
      </c>
      <c r="Z67" s="1219">
        <f t="shared" si="8"/>
        <v>-2.3925435198745015E-2</v>
      </c>
    </row>
    <row r="68" spans="1:26" ht="12.75" customHeight="1">
      <c r="A68" s="1223" t="s">
        <v>1830</v>
      </c>
      <c r="B68" s="1219" t="str">
        <f t="shared" si="9"/>
        <v/>
      </c>
      <c r="C68" s="1219" t="str">
        <f t="shared" si="9"/>
        <v>–</v>
      </c>
      <c r="D68" s="1219" t="str">
        <f t="shared" si="9"/>
        <v>–</v>
      </c>
      <c r="E68" s="1219" t="str">
        <f t="shared" si="9"/>
        <v>–</v>
      </c>
      <c r="F68" s="1219" t="str">
        <f t="shared" si="9"/>
        <v>–</v>
      </c>
      <c r="G68" s="1219" t="str">
        <f t="shared" si="9"/>
        <v>–</v>
      </c>
      <c r="H68" s="1219" t="str">
        <f t="shared" si="9"/>
        <v>–</v>
      </c>
      <c r="I68" s="1219" t="str">
        <f t="shared" si="9"/>
        <v>–</v>
      </c>
      <c r="J68" s="1219" t="str">
        <f t="shared" si="9"/>
        <v>–</v>
      </c>
      <c r="K68" s="1219" t="str">
        <f t="shared" si="9"/>
        <v>–</v>
      </c>
      <c r="L68" s="1219" t="str">
        <f t="shared" si="10"/>
        <v>–</v>
      </c>
      <c r="M68" s="1219" t="str">
        <f t="shared" si="10"/>
        <v>–</v>
      </c>
      <c r="N68" s="1219" t="str">
        <f t="shared" si="10"/>
        <v>–</v>
      </c>
      <c r="O68" s="1219" t="str">
        <f t="shared" si="10"/>
        <v>–</v>
      </c>
      <c r="P68" s="1219" t="str">
        <f t="shared" si="10"/>
        <v>–</v>
      </c>
      <c r="Q68" s="1219" t="str">
        <f t="shared" si="10"/>
        <v>–</v>
      </c>
      <c r="R68" s="1219" t="str">
        <f t="shared" si="10"/>
        <v>–</v>
      </c>
      <c r="S68" s="1219" t="str">
        <f t="shared" si="10"/>
        <v>–</v>
      </c>
      <c r="T68" s="1219" t="str">
        <f t="shared" si="10"/>
        <v>–</v>
      </c>
      <c r="U68" s="1219" t="str">
        <f t="shared" si="10"/>
        <v>–</v>
      </c>
      <c r="V68" s="1219" t="str">
        <f t="shared" si="10"/>
        <v>–</v>
      </c>
      <c r="W68" s="1219" t="str">
        <f t="shared" si="10"/>
        <v>–</v>
      </c>
      <c r="X68" s="1219" t="str">
        <f t="shared" si="10"/>
        <v>–</v>
      </c>
      <c r="Y68" s="1219" t="str">
        <f t="shared" si="10"/>
        <v>–</v>
      </c>
      <c r="Z68" s="1219" t="str">
        <f t="shared" si="8"/>
        <v>–</v>
      </c>
    </row>
    <row r="69" spans="1:26" ht="12.75" customHeight="1">
      <c r="A69" s="1223" t="s">
        <v>1831</v>
      </c>
      <c r="B69" s="1219" t="str">
        <f t="shared" si="9"/>
        <v/>
      </c>
      <c r="C69" s="1219" t="str">
        <f t="shared" si="9"/>
        <v>–</v>
      </c>
      <c r="D69" s="1219" t="str">
        <f t="shared" si="9"/>
        <v>–</v>
      </c>
      <c r="E69" s="1219" t="str">
        <f t="shared" si="9"/>
        <v>–</v>
      </c>
      <c r="F69" s="1219" t="str">
        <f t="shared" si="9"/>
        <v>–</v>
      </c>
      <c r="G69" s="1219" t="str">
        <f t="shared" si="9"/>
        <v>–</v>
      </c>
      <c r="H69" s="1219" t="str">
        <f t="shared" si="9"/>
        <v>–</v>
      </c>
      <c r="I69" s="1219" t="str">
        <f t="shared" si="9"/>
        <v>–</v>
      </c>
      <c r="J69" s="1219" t="str">
        <f t="shared" si="9"/>
        <v>–</v>
      </c>
      <c r="K69" s="1219" t="str">
        <f t="shared" si="9"/>
        <v>–</v>
      </c>
      <c r="L69" s="1219" t="str">
        <f t="shared" si="10"/>
        <v>–</v>
      </c>
      <c r="M69" s="1219" t="str">
        <f t="shared" si="10"/>
        <v>–</v>
      </c>
      <c r="N69" s="1219" t="str">
        <f t="shared" si="10"/>
        <v>–</v>
      </c>
      <c r="O69" s="1219" t="str">
        <f t="shared" si="10"/>
        <v>–</v>
      </c>
      <c r="P69" s="1219" t="str">
        <f t="shared" si="10"/>
        <v>–</v>
      </c>
      <c r="Q69" s="1219" t="str">
        <f t="shared" si="10"/>
        <v>–</v>
      </c>
      <c r="R69" s="1219" t="str">
        <f t="shared" si="10"/>
        <v>–</v>
      </c>
      <c r="S69" s="1219" t="str">
        <f t="shared" si="10"/>
        <v>–</v>
      </c>
      <c r="T69" s="1219" t="str">
        <f t="shared" si="10"/>
        <v>–</v>
      </c>
      <c r="U69" s="1219" t="str">
        <f t="shared" si="10"/>
        <v>–</v>
      </c>
      <c r="V69" s="1219" t="str">
        <f t="shared" si="10"/>
        <v>–</v>
      </c>
      <c r="W69" s="1219" t="str">
        <f t="shared" si="10"/>
        <v>–</v>
      </c>
      <c r="X69" s="1219" t="str">
        <f t="shared" si="10"/>
        <v>–</v>
      </c>
      <c r="Y69" s="1219" t="str">
        <f t="shared" si="10"/>
        <v>–</v>
      </c>
      <c r="Z69" s="1219" t="str">
        <f t="shared" si="8"/>
        <v>–</v>
      </c>
    </row>
    <row r="70" spans="1:26" ht="12.75" customHeight="1">
      <c r="A70" s="1223" t="s">
        <v>1832</v>
      </c>
      <c r="B70" s="1219" t="str">
        <f t="shared" si="9"/>
        <v/>
      </c>
      <c r="C70" s="1219" t="str">
        <f t="shared" si="9"/>
        <v>–</v>
      </c>
      <c r="D70" s="1219" t="str">
        <f t="shared" si="9"/>
        <v>–</v>
      </c>
      <c r="E70" s="1219" t="str">
        <f t="shared" si="9"/>
        <v>–</v>
      </c>
      <c r="F70" s="1219" t="str">
        <f t="shared" si="9"/>
        <v>–</v>
      </c>
      <c r="G70" s="1219" t="str">
        <f t="shared" si="9"/>
        <v>–</v>
      </c>
      <c r="H70" s="1219" t="str">
        <f t="shared" si="9"/>
        <v>–</v>
      </c>
      <c r="I70" s="1219" t="str">
        <f t="shared" si="9"/>
        <v>–</v>
      </c>
      <c r="J70" s="1219" t="str">
        <f t="shared" si="9"/>
        <v>–</v>
      </c>
      <c r="K70" s="1219" t="str">
        <f t="shared" si="9"/>
        <v>–</v>
      </c>
      <c r="L70" s="1219" t="str">
        <f t="shared" si="10"/>
        <v>–</v>
      </c>
      <c r="M70" s="1219" t="str">
        <f t="shared" si="10"/>
        <v>–</v>
      </c>
      <c r="N70" s="1219" t="str">
        <f t="shared" si="10"/>
        <v>–</v>
      </c>
      <c r="O70" s="1219" t="str">
        <f t="shared" si="10"/>
        <v>–</v>
      </c>
      <c r="P70" s="1219" t="str">
        <f t="shared" si="10"/>
        <v>–</v>
      </c>
      <c r="Q70" s="1219" t="str">
        <f t="shared" si="10"/>
        <v>–</v>
      </c>
      <c r="R70" s="1219" t="str">
        <f t="shared" si="10"/>
        <v>–</v>
      </c>
      <c r="S70" s="1219" t="str">
        <f t="shared" si="10"/>
        <v>–</v>
      </c>
      <c r="T70" s="1219" t="str">
        <f t="shared" si="10"/>
        <v>–</v>
      </c>
      <c r="U70" s="1219" t="str">
        <f t="shared" si="10"/>
        <v>–</v>
      </c>
      <c r="V70" s="1219" t="str">
        <f t="shared" si="10"/>
        <v>–</v>
      </c>
      <c r="W70" s="1219" t="str">
        <f t="shared" si="10"/>
        <v>–</v>
      </c>
      <c r="X70" s="1219" t="str">
        <f t="shared" si="10"/>
        <v>–</v>
      </c>
      <c r="Y70" s="1219" t="str">
        <f t="shared" si="10"/>
        <v>–</v>
      </c>
      <c r="Z70" s="1219" t="str">
        <f t="shared" si="8"/>
        <v>–</v>
      </c>
    </row>
    <row r="71" spans="1:26" ht="12.75" customHeight="1">
      <c r="A71" s="1223" t="s">
        <v>1833</v>
      </c>
      <c r="B71" s="1219" t="str">
        <f t="shared" si="9"/>
        <v/>
      </c>
      <c r="C71" s="1219" t="str">
        <f t="shared" si="9"/>
        <v>–</v>
      </c>
      <c r="D71" s="1219" t="str">
        <f t="shared" si="9"/>
        <v>–</v>
      </c>
      <c r="E71" s="1219" t="str">
        <f t="shared" si="9"/>
        <v>–</v>
      </c>
      <c r="F71" s="1219" t="str">
        <f t="shared" si="9"/>
        <v>–</v>
      </c>
      <c r="G71" s="1219" t="str">
        <f t="shared" si="9"/>
        <v>–</v>
      </c>
      <c r="H71" s="1219" t="str">
        <f t="shared" si="9"/>
        <v>–</v>
      </c>
      <c r="I71" s="1219" t="str">
        <f t="shared" si="9"/>
        <v>–</v>
      </c>
      <c r="J71" s="1219" t="str">
        <f t="shared" si="9"/>
        <v>–</v>
      </c>
      <c r="K71" s="1219" t="str">
        <f t="shared" si="9"/>
        <v>–</v>
      </c>
      <c r="L71" s="1219" t="str">
        <f t="shared" si="10"/>
        <v>–</v>
      </c>
      <c r="M71" s="1219" t="str">
        <f t="shared" si="10"/>
        <v>–</v>
      </c>
      <c r="N71" s="1219" t="str">
        <f t="shared" si="10"/>
        <v>–</v>
      </c>
      <c r="O71" s="1219" t="str">
        <f t="shared" si="10"/>
        <v>–</v>
      </c>
      <c r="P71" s="1219" t="str">
        <f t="shared" si="10"/>
        <v>–</v>
      </c>
      <c r="Q71" s="1219" t="str">
        <f t="shared" si="10"/>
        <v>–</v>
      </c>
      <c r="R71" s="1219" t="str">
        <f t="shared" si="10"/>
        <v>–</v>
      </c>
      <c r="S71" s="1219" t="str">
        <f t="shared" si="10"/>
        <v>–</v>
      </c>
      <c r="T71" s="1219" t="str">
        <f t="shared" si="10"/>
        <v>–</v>
      </c>
      <c r="U71" s="1219" t="str">
        <f t="shared" si="10"/>
        <v>–</v>
      </c>
      <c r="V71" s="1219" t="str">
        <f t="shared" si="10"/>
        <v>–</v>
      </c>
      <c r="W71" s="1219" t="str">
        <f t="shared" si="10"/>
        <v>–</v>
      </c>
      <c r="X71" s="1219" t="str">
        <f t="shared" si="10"/>
        <v>–</v>
      </c>
      <c r="Y71" s="1219" t="str">
        <f t="shared" si="10"/>
        <v>–</v>
      </c>
      <c r="Z71" s="1219" t="str">
        <f t="shared" si="8"/>
        <v>–</v>
      </c>
    </row>
    <row r="72" spans="1:26" ht="12.75" customHeight="1">
      <c r="A72" s="1217" t="s">
        <v>1835</v>
      </c>
      <c r="B72" s="1219" t="str">
        <f t="shared" si="9"/>
        <v/>
      </c>
      <c r="C72" s="1219" t="str">
        <f t="shared" si="9"/>
        <v>–</v>
      </c>
      <c r="D72" s="1219" t="str">
        <f t="shared" si="9"/>
        <v>–</v>
      </c>
      <c r="E72" s="1219" t="str">
        <f t="shared" si="9"/>
        <v>–</v>
      </c>
      <c r="F72" s="1219" t="str">
        <f t="shared" si="9"/>
        <v>–</v>
      </c>
      <c r="G72" s="1219" t="str">
        <f t="shared" si="9"/>
        <v>–</v>
      </c>
      <c r="H72" s="1219" t="str">
        <f t="shared" si="9"/>
        <v>–</v>
      </c>
      <c r="I72" s="1219" t="str">
        <f t="shared" si="9"/>
        <v>–</v>
      </c>
      <c r="J72" s="1219" t="str">
        <f t="shared" si="9"/>
        <v>–</v>
      </c>
      <c r="K72" s="1219" t="str">
        <f t="shared" si="9"/>
        <v>–</v>
      </c>
      <c r="L72" s="1219" t="str">
        <f t="shared" si="10"/>
        <v>–</v>
      </c>
      <c r="M72" s="1219" t="str">
        <f t="shared" si="10"/>
        <v>–</v>
      </c>
      <c r="N72" s="1219" t="str">
        <f t="shared" si="10"/>
        <v>–</v>
      </c>
      <c r="O72" s="1219" t="str">
        <f t="shared" si="10"/>
        <v>–</v>
      </c>
      <c r="P72" s="1219" t="str">
        <f t="shared" si="10"/>
        <v>–</v>
      </c>
      <c r="Q72" s="1219" t="str">
        <f t="shared" si="10"/>
        <v>–</v>
      </c>
      <c r="R72" s="1219" t="str">
        <f t="shared" si="10"/>
        <v>–</v>
      </c>
      <c r="S72" s="1219" t="str">
        <f t="shared" si="10"/>
        <v>–</v>
      </c>
      <c r="T72" s="1219" t="str">
        <f t="shared" si="10"/>
        <v>–</v>
      </c>
      <c r="U72" s="1219" t="str">
        <f t="shared" si="10"/>
        <v>–</v>
      </c>
      <c r="V72" s="1219" t="str">
        <f t="shared" si="10"/>
        <v>–</v>
      </c>
      <c r="W72" s="1219" t="str">
        <f t="shared" si="10"/>
        <v>–</v>
      </c>
      <c r="X72" s="1219" t="str">
        <f t="shared" si="10"/>
        <v>–</v>
      </c>
      <c r="Y72" s="1219" t="str">
        <f t="shared" si="10"/>
        <v>–</v>
      </c>
      <c r="Z72" s="1219" t="str">
        <f t="shared" si="8"/>
        <v>–</v>
      </c>
    </row>
    <row r="73" spans="1:26" ht="12.75" customHeight="1">
      <c r="A73" s="1217" t="s">
        <v>1836</v>
      </c>
      <c r="B73" s="1219" t="str">
        <f t="shared" si="9"/>
        <v/>
      </c>
      <c r="C73" s="1219">
        <f t="shared" si="9"/>
        <v>-0.28199915357773109</v>
      </c>
      <c r="D73" s="1219">
        <f t="shared" si="9"/>
        <v>2.127730561604313E-2</v>
      </c>
      <c r="E73" s="1219">
        <f t="shared" si="9"/>
        <v>-8.4766951321237127E-2</v>
      </c>
      <c r="F73" s="1219">
        <f t="shared" si="9"/>
        <v>-0.11671172114451056</v>
      </c>
      <c r="G73" s="1219">
        <f t="shared" si="9"/>
        <v>-2.1654911553776302E-2</v>
      </c>
      <c r="H73" s="1219">
        <f t="shared" si="9"/>
        <v>4.0801546476918471E-2</v>
      </c>
      <c r="I73" s="1219">
        <f t="shared" si="9"/>
        <v>8.473271334647392E-2</v>
      </c>
      <c r="J73" s="1219">
        <f t="shared" si="9"/>
        <v>7.9011490496132986E-2</v>
      </c>
      <c r="K73" s="1219">
        <f t="shared" si="9"/>
        <v>0.15837788351775028</v>
      </c>
      <c r="L73" s="1219">
        <f t="shared" si="10"/>
        <v>4.9325884136762976E-2</v>
      </c>
      <c r="M73" s="1219">
        <f t="shared" si="10"/>
        <v>4.2346845791350951E-2</v>
      </c>
      <c r="N73" s="1219">
        <f t="shared" si="10"/>
        <v>5.2053802250502601E-2</v>
      </c>
      <c r="O73" s="1219">
        <f t="shared" si="10"/>
        <v>3.0325281978316854E-2</v>
      </c>
      <c r="P73" s="1219">
        <f t="shared" si="10"/>
        <v>3.4240521434273363E-2</v>
      </c>
      <c r="Q73" s="1219">
        <f t="shared" si="10"/>
        <v>2.9581862568790473E-2</v>
      </c>
      <c r="R73" s="1219">
        <f t="shared" si="10"/>
        <v>3.3931734642458578E-2</v>
      </c>
      <c r="S73" s="1219">
        <f t="shared" si="10"/>
        <v>4.6960822128336632E-2</v>
      </c>
      <c r="T73" s="1219">
        <f t="shared" si="10"/>
        <v>2.4574831146206622E-2</v>
      </c>
      <c r="U73" s="1219">
        <f t="shared" si="10"/>
        <v>1.2589196119968671E-2</v>
      </c>
      <c r="V73" s="1219">
        <f t="shared" si="10"/>
        <v>-2.9977166153053458E-3</v>
      </c>
      <c r="W73" s="1219">
        <f t="shared" si="10"/>
        <v>-2.0095944779982666E-2</v>
      </c>
      <c r="X73" s="1219">
        <f t="shared" si="10"/>
        <v>-9.2108117855562721E-3</v>
      </c>
      <c r="Y73" s="1219">
        <f t="shared" si="10"/>
        <v>-4.8143744881128492E-2</v>
      </c>
      <c r="Z73" s="1219">
        <f t="shared" si="8"/>
        <v>2.9085670355102344E-3</v>
      </c>
    </row>
    <row r="74" spans="1:26" ht="12.75" customHeight="1">
      <c r="A74" s="1223" t="s">
        <v>1837</v>
      </c>
      <c r="B74" s="1219" t="str">
        <f t="shared" si="9"/>
        <v/>
      </c>
      <c r="C74" s="1219">
        <f t="shared" si="9"/>
        <v>-7.3491267508213332E-3</v>
      </c>
      <c r="D74" s="1219">
        <f t="shared" si="9"/>
        <v>-3.849838864210442E-2</v>
      </c>
      <c r="E74" s="1219">
        <f t="shared" si="9"/>
        <v>1.8661110607844922E-2</v>
      </c>
      <c r="F74" s="1219">
        <f t="shared" si="9"/>
        <v>-9.035126722987985E-2</v>
      </c>
      <c r="G74" s="1219">
        <f t="shared" si="9"/>
        <v>2.1116433668980195E-2</v>
      </c>
      <c r="H74" s="1219">
        <f t="shared" si="9"/>
        <v>5.1603638104356087E-2</v>
      </c>
      <c r="I74" s="1219">
        <f t="shared" si="9"/>
        <v>4.6795338674435527E-2</v>
      </c>
      <c r="J74" s="1219">
        <f t="shared" si="9"/>
        <v>4.0615759262480511E-2</v>
      </c>
      <c r="K74" s="1219">
        <f t="shared" si="9"/>
        <v>2.749686585875466E-2</v>
      </c>
      <c r="L74" s="1219">
        <f t="shared" si="10"/>
        <v>5.0268423621278702E-2</v>
      </c>
      <c r="M74" s="1219">
        <f t="shared" si="10"/>
        <v>4.7010532837670205E-2</v>
      </c>
      <c r="N74" s="1219">
        <f t="shared" si="10"/>
        <v>4.4381980915748187E-2</v>
      </c>
      <c r="O74" s="1219">
        <f t="shared" si="10"/>
        <v>3.1871945605212781E-2</v>
      </c>
      <c r="P74" s="1219">
        <f t="shared" si="10"/>
        <v>3.1779806438327896E-2</v>
      </c>
      <c r="Q74" s="1219">
        <f t="shared" si="10"/>
        <v>2.2352315061202832E-2</v>
      </c>
      <c r="R74" s="1219">
        <f t="shared" si="10"/>
        <v>6.0320145757417842E-2</v>
      </c>
      <c r="S74" s="1219">
        <f t="shared" si="10"/>
        <v>2.7247621969929581E-2</v>
      </c>
      <c r="T74" s="1219">
        <f t="shared" si="10"/>
        <v>5.4901726506959792E-2</v>
      </c>
      <c r="U74" s="1219">
        <f t="shared" si="10"/>
        <v>-1.4667572771548287E-2</v>
      </c>
      <c r="V74" s="1219">
        <f t="shared" si="10"/>
        <v>8.1039140180469982E-3</v>
      </c>
      <c r="W74" s="1219">
        <f t="shared" si="10"/>
        <v>-2.7366020524515422E-2</v>
      </c>
      <c r="X74" s="1219">
        <f t="shared" si="10"/>
        <v>-2.6670574443141803E-2</v>
      </c>
      <c r="Y74" s="1219">
        <f t="shared" si="10"/>
        <v>6.4790725685034634E-2</v>
      </c>
      <c r="Z74" s="1219">
        <f t="shared" si="8"/>
        <v>1.8624015216023748E-2</v>
      </c>
    </row>
    <row r="75" spans="1:26" ht="12.75" customHeight="1">
      <c r="A75" s="1223" t="s">
        <v>1838</v>
      </c>
      <c r="B75" s="1219" t="str">
        <f t="shared" si="9"/>
        <v/>
      </c>
      <c r="C75" s="1219">
        <f t="shared" si="9"/>
        <v>-1.9941619296358959E-2</v>
      </c>
      <c r="D75" s="1219">
        <f t="shared" si="9"/>
        <v>-3.2778404815650863E-2</v>
      </c>
      <c r="E75" s="1219">
        <f t="shared" si="9"/>
        <v>-0.1297709923664121</v>
      </c>
      <c r="F75" s="1219">
        <f t="shared" si="9"/>
        <v>-7.6507617238425252E-2</v>
      </c>
      <c r="G75" s="1219">
        <f t="shared" si="9"/>
        <v>-1.3148872665671885E-2</v>
      </c>
      <c r="H75" s="1219">
        <f t="shared" si="9"/>
        <v>4.3998038173866938E-2</v>
      </c>
      <c r="I75" s="1219">
        <f t="shared" si="9"/>
        <v>0.10231565760369565</v>
      </c>
      <c r="J75" s="1219">
        <f t="shared" si="9"/>
        <v>9.3191746279788434E-2</v>
      </c>
      <c r="K75" s="1219">
        <f t="shared" si="9"/>
        <v>0.44405639842760136</v>
      </c>
      <c r="L75" s="1219">
        <f t="shared" si="10"/>
        <v>2.4634697803124883E-2</v>
      </c>
      <c r="M75" s="1219">
        <f t="shared" si="10"/>
        <v>2.9520578774605122E-2</v>
      </c>
      <c r="N75" s="1219">
        <f t="shared" si="10"/>
        <v>3.1979782038431104E-2</v>
      </c>
      <c r="O75" s="1219">
        <f t="shared" si="10"/>
        <v>2.2412350041848939E-2</v>
      </c>
      <c r="P75" s="1219">
        <f t="shared" si="10"/>
        <v>2.946051381561654E-2</v>
      </c>
      <c r="Q75" s="1219">
        <f t="shared" si="10"/>
        <v>1.9025927489421779E-2</v>
      </c>
      <c r="R75" s="1219">
        <f t="shared" si="10"/>
        <v>1.4672588367903305E-2</v>
      </c>
      <c r="S75" s="1219">
        <f t="shared" si="10"/>
        <v>2.2939177000057098E-2</v>
      </c>
      <c r="T75" s="1219">
        <f t="shared" si="10"/>
        <v>4.2594070801388328E-2</v>
      </c>
      <c r="U75" s="1219">
        <f t="shared" si="10"/>
        <v>-1.687038735121571E-2</v>
      </c>
      <c r="V75" s="1219">
        <f t="shared" si="10"/>
        <v>6.9907273254130597E-3</v>
      </c>
      <c r="W75" s="1219">
        <f t="shared" si="10"/>
        <v>-6.0519405776771062E-3</v>
      </c>
      <c r="X75" s="1219">
        <f t="shared" si="10"/>
        <v>-7.6666274619789809E-2</v>
      </c>
      <c r="Y75" s="1219">
        <f t="shared" si="10"/>
        <v>1.1229391418520862E-2</v>
      </c>
      <c r="Z75" s="1219">
        <f t="shared" si="8"/>
        <v>2.0242475507781466E-2</v>
      </c>
    </row>
    <row r="76" spans="1:26" ht="12.75" customHeight="1">
      <c r="A76" s="1223" t="s">
        <v>1839</v>
      </c>
      <c r="B76" s="1219" t="str">
        <f t="shared" si="9"/>
        <v/>
      </c>
      <c r="C76" s="1219">
        <f t="shared" si="9"/>
        <v>1</v>
      </c>
      <c r="D76" s="1219">
        <f t="shared" si="9"/>
        <v>-0.10000000000000009</v>
      </c>
      <c r="E76" s="1219">
        <f t="shared" si="9"/>
        <v>0.33333333333333348</v>
      </c>
      <c r="F76" s="1219">
        <f t="shared" si="9"/>
        <v>-0.16666666666666663</v>
      </c>
      <c r="G76" s="1219">
        <f t="shared" si="9"/>
        <v>1</v>
      </c>
      <c r="H76" s="1219">
        <f t="shared" si="9"/>
        <v>0.19999999999999996</v>
      </c>
      <c r="I76" s="1219">
        <f t="shared" si="9"/>
        <v>4.1666666666666741E-2</v>
      </c>
      <c r="J76" s="1219" t="str">
        <f t="shared" si="9"/>
        <v>–</v>
      </c>
      <c r="K76" s="1219">
        <f t="shared" si="9"/>
        <v>0.43999999999999995</v>
      </c>
      <c r="L76" s="1219">
        <f t="shared" si="10"/>
        <v>0.25</v>
      </c>
      <c r="M76" s="1219">
        <f t="shared" si="10"/>
        <v>-0.15555555555555545</v>
      </c>
      <c r="N76" s="1219">
        <f t="shared" si="10"/>
        <v>-5.2631578947368474E-2</v>
      </c>
      <c r="O76" s="1219">
        <f t="shared" si="10"/>
        <v>-8.333333333333337E-2</v>
      </c>
      <c r="P76" s="1219">
        <f t="shared" si="10"/>
        <v>-0.21212121212121204</v>
      </c>
      <c r="Q76" s="1219">
        <f t="shared" si="10"/>
        <v>-0.11538461538461542</v>
      </c>
      <c r="R76" s="1219">
        <f t="shared" si="10"/>
        <v>-0.47826086956521741</v>
      </c>
      <c r="S76" s="1219">
        <f t="shared" si="10"/>
        <v>-8.333333333333337E-2</v>
      </c>
      <c r="T76" s="1219">
        <f t="shared" si="10"/>
        <v>0.18181818181818188</v>
      </c>
      <c r="U76" s="1219">
        <f t="shared" si="10"/>
        <v>0.30769230769230771</v>
      </c>
      <c r="V76" s="1219">
        <f t="shared" si="10"/>
        <v>-5.8823529411764719E-2</v>
      </c>
      <c r="W76" s="1219" t="str">
        <f t="shared" si="10"/>
        <v>–</v>
      </c>
      <c r="X76" s="1219" t="str">
        <f t="shared" si="10"/>
        <v>–</v>
      </c>
      <c r="Y76" s="1219">
        <f t="shared" si="10"/>
        <v>3.6648187500000002</v>
      </c>
      <c r="Z76" s="1219">
        <f t="shared" si="8"/>
        <v>0.12471584964559757</v>
      </c>
    </row>
    <row r="77" spans="1:26" ht="12.75" customHeight="1">
      <c r="A77" s="1223" t="s">
        <v>1840</v>
      </c>
      <c r="B77" s="1219" t="str">
        <f t="shared" ref="B77:K86" si="11">IFERROR(IF(OR(SECTOR_AAC=0,SECTOR_AAC=-1),CHAR(150),SECTOR_AAC),IF(COLUMN()&lt;=2,"",CHAR(150)))</f>
        <v/>
      </c>
      <c r="C77" s="1219">
        <f t="shared" si="11"/>
        <v>-0.55226824457593682</v>
      </c>
      <c r="D77" s="1219">
        <f t="shared" si="11"/>
        <v>0.15859030837004395</v>
      </c>
      <c r="E77" s="1219">
        <f t="shared" si="11"/>
        <v>-0.21292775665399233</v>
      </c>
      <c r="F77" s="1219">
        <f t="shared" si="11"/>
        <v>-0.18357487922705318</v>
      </c>
      <c r="G77" s="1219">
        <f t="shared" si="11"/>
        <v>-0.11538461538461542</v>
      </c>
      <c r="H77" s="1219">
        <f t="shared" si="11"/>
        <v>1.3377926421404673E-2</v>
      </c>
      <c r="I77" s="1219">
        <f t="shared" si="11"/>
        <v>0.17821782178217838</v>
      </c>
      <c r="J77" s="1219">
        <f t="shared" si="11"/>
        <v>0.1568627450980391</v>
      </c>
      <c r="K77" s="1219">
        <f t="shared" si="11"/>
        <v>0.27845036319612593</v>
      </c>
      <c r="L77" s="1219">
        <f t="shared" ref="L77:Y86" si="12">IFERROR(IF(OR(SECTOR_AAC=0,SECTOR_AAC=-1),CHAR(150),SECTOR_AAC),IF(COLUMN()&lt;=2,"",CHAR(150)))</f>
        <v>6.0606060606060552E-2</v>
      </c>
      <c r="M77" s="1219">
        <f t="shared" si="12"/>
        <v>4.2857142857142927E-2</v>
      </c>
      <c r="N77" s="1219">
        <f t="shared" si="12"/>
        <v>7.5342465753424515E-2</v>
      </c>
      <c r="O77" s="1219">
        <f t="shared" si="12"/>
        <v>3.1847133757961776E-2</v>
      </c>
      <c r="P77" s="1219">
        <f t="shared" si="12"/>
        <v>4.0123456790123635E-2</v>
      </c>
      <c r="Q77" s="1219">
        <f t="shared" si="12"/>
        <v>4.4510385756676651E-2</v>
      </c>
      <c r="R77" s="1219">
        <f t="shared" si="12"/>
        <v>1.1817265395894339E-2</v>
      </c>
      <c r="S77" s="1219">
        <f t="shared" si="12"/>
        <v>8.5187415937940214E-2</v>
      </c>
      <c r="T77" s="1219">
        <f t="shared" si="12"/>
        <v>-2.7166882276843607E-2</v>
      </c>
      <c r="U77" s="1219">
        <f t="shared" si="12"/>
        <v>7.1808510638297962E-2</v>
      </c>
      <c r="V77" s="1219">
        <f t="shared" si="12"/>
        <v>-2.4813895781637729E-2</v>
      </c>
      <c r="W77" s="1219">
        <f t="shared" si="12"/>
        <v>-1.5267175572518998E-2</v>
      </c>
      <c r="X77" s="1219">
        <f t="shared" si="12"/>
        <v>4.7803617571059442E-2</v>
      </c>
      <c r="Y77" s="1219">
        <f t="shared" si="12"/>
        <v>-0.23092478421701601</v>
      </c>
      <c r="Z77" s="1219">
        <f t="shared" si="8"/>
        <v>-2.0906905275321352E-2</v>
      </c>
    </row>
    <row r="78" spans="1:26" ht="12.75" customHeight="1">
      <c r="A78" s="1223" t="s">
        <v>1841</v>
      </c>
      <c r="B78" s="1219" t="str">
        <f t="shared" si="11"/>
        <v/>
      </c>
      <c r="C78" s="1219" t="str">
        <f t="shared" si="11"/>
        <v>–</v>
      </c>
      <c r="D78" s="1219" t="str">
        <f t="shared" si="11"/>
        <v>–</v>
      </c>
      <c r="E78" s="1219" t="str">
        <f t="shared" si="11"/>
        <v>–</v>
      </c>
      <c r="F78" s="1219" t="str">
        <f t="shared" si="11"/>
        <v>–</v>
      </c>
      <c r="G78" s="1219" t="str">
        <f t="shared" si="11"/>
        <v>–</v>
      </c>
      <c r="H78" s="1219" t="str">
        <f t="shared" si="11"/>
        <v>–</v>
      </c>
      <c r="I78" s="1219" t="str">
        <f t="shared" si="11"/>
        <v>–</v>
      </c>
      <c r="J78" s="1219" t="str">
        <f t="shared" si="11"/>
        <v>–</v>
      </c>
      <c r="K78" s="1219" t="str">
        <f t="shared" si="11"/>
        <v>–</v>
      </c>
      <c r="L78" s="1219" t="str">
        <f t="shared" si="12"/>
        <v>–</v>
      </c>
      <c r="M78" s="1219" t="str">
        <f t="shared" si="12"/>
        <v>–</v>
      </c>
      <c r="N78" s="1219" t="str">
        <f t="shared" si="12"/>
        <v>–</v>
      </c>
      <c r="O78" s="1219" t="str">
        <f t="shared" si="12"/>
        <v>–</v>
      </c>
      <c r="P78" s="1219" t="str">
        <f t="shared" si="12"/>
        <v>–</v>
      </c>
      <c r="Q78" s="1219" t="str">
        <f t="shared" si="12"/>
        <v>–</v>
      </c>
      <c r="R78" s="1219" t="str">
        <f t="shared" si="12"/>
        <v>–</v>
      </c>
      <c r="S78" s="1219" t="str">
        <f t="shared" si="12"/>
        <v>–</v>
      </c>
      <c r="T78" s="1219" t="str">
        <f t="shared" si="12"/>
        <v>–</v>
      </c>
      <c r="U78" s="1219" t="str">
        <f t="shared" si="12"/>
        <v>–</v>
      </c>
      <c r="V78" s="1219" t="str">
        <f t="shared" si="12"/>
        <v>–</v>
      </c>
      <c r="W78" s="1219" t="str">
        <f t="shared" si="12"/>
        <v>–</v>
      </c>
      <c r="X78" s="1219" t="str">
        <f t="shared" si="12"/>
        <v>–</v>
      </c>
      <c r="Y78" s="1219" t="str">
        <f t="shared" si="12"/>
        <v>–</v>
      </c>
      <c r="Z78" s="1219" t="str">
        <f t="shared" si="8"/>
        <v>–</v>
      </c>
    </row>
    <row r="79" spans="1:26" ht="12.75" customHeight="1">
      <c r="A79" s="1223" t="s">
        <v>1842</v>
      </c>
      <c r="B79" s="1219" t="str">
        <f t="shared" si="11"/>
        <v/>
      </c>
      <c r="C79" s="1219" t="str">
        <f t="shared" si="11"/>
        <v>–</v>
      </c>
      <c r="D79" s="1219">
        <f t="shared" si="11"/>
        <v>-0.37313432835820892</v>
      </c>
      <c r="E79" s="1219">
        <f t="shared" si="11"/>
        <v>-0.15476190476190477</v>
      </c>
      <c r="F79" s="1219" t="str">
        <f t="shared" si="11"/>
        <v>–</v>
      </c>
      <c r="G79" s="1219">
        <f t="shared" si="11"/>
        <v>-2.8169014084507005E-2</v>
      </c>
      <c r="H79" s="1219">
        <f t="shared" si="11"/>
        <v>1.4492753623188248E-2</v>
      </c>
      <c r="I79" s="1219">
        <f t="shared" si="11"/>
        <v>-0.51428571428571423</v>
      </c>
      <c r="J79" s="1219">
        <f t="shared" si="11"/>
        <v>-2.9411764705882359E-2</v>
      </c>
      <c r="K79" s="1219">
        <f t="shared" si="11"/>
        <v>-9.0909090909090939E-2</v>
      </c>
      <c r="L79" s="1219" t="str">
        <f t="shared" si="12"/>
        <v>–</v>
      </c>
      <c r="M79" s="1219">
        <f t="shared" si="12"/>
        <v>6.6666666666666652E-2</v>
      </c>
      <c r="N79" s="1219">
        <f t="shared" si="12"/>
        <v>-3.125E-2</v>
      </c>
      <c r="O79" s="1219">
        <f t="shared" si="12"/>
        <v>0.19354838709677424</v>
      </c>
      <c r="P79" s="1219">
        <f t="shared" si="12"/>
        <v>0.32432432432432434</v>
      </c>
      <c r="Q79" s="1219">
        <f t="shared" si="12"/>
        <v>0.34693877551020424</v>
      </c>
      <c r="R79" s="1219" t="str">
        <f t="shared" si="12"/>
        <v>–</v>
      </c>
      <c r="S79" s="1219" t="str">
        <f t="shared" si="12"/>
        <v>–</v>
      </c>
      <c r="T79" s="1219">
        <f t="shared" si="12"/>
        <v>-0.23809523809523814</v>
      </c>
      <c r="U79" s="1219">
        <f t="shared" si="12"/>
        <v>-0.21875</v>
      </c>
      <c r="V79" s="1219" t="str">
        <f t="shared" si="12"/>
        <v>–</v>
      </c>
      <c r="W79" s="1219">
        <f t="shared" si="12"/>
        <v>-0.15999999999999992</v>
      </c>
      <c r="X79" s="1219">
        <f t="shared" si="12"/>
        <v>4.7619047619047672E-2</v>
      </c>
      <c r="Y79" s="1219" t="str">
        <f t="shared" si="12"/>
        <v>–</v>
      </c>
      <c r="Z79" s="1219" t="str">
        <f t="shared" si="8"/>
        <v>–</v>
      </c>
    </row>
    <row r="80" spans="1:26" ht="12.75" customHeight="1">
      <c r="A80" s="1223" t="s">
        <v>1843</v>
      </c>
      <c r="B80" s="1219" t="str">
        <f t="shared" si="11"/>
        <v/>
      </c>
      <c r="C80" s="1219" t="str">
        <f t="shared" si="11"/>
        <v>–</v>
      </c>
      <c r="D80" s="1219">
        <f t="shared" si="11"/>
        <v>-0.33333333333333337</v>
      </c>
      <c r="E80" s="1219">
        <f t="shared" si="11"/>
        <v>-0.5</v>
      </c>
      <c r="F80" s="1219" t="str">
        <f t="shared" si="11"/>
        <v>–</v>
      </c>
      <c r="G80" s="1219" t="str">
        <f t="shared" si="11"/>
        <v>–</v>
      </c>
      <c r="H80" s="1219" t="str">
        <f t="shared" si="11"/>
        <v>–</v>
      </c>
      <c r="I80" s="1219" t="str">
        <f t="shared" si="11"/>
        <v>–</v>
      </c>
      <c r="J80" s="1219" t="str">
        <f t="shared" si="11"/>
        <v>–</v>
      </c>
      <c r="K80" s="1219" t="str">
        <f t="shared" si="11"/>
        <v>–</v>
      </c>
      <c r="L80" s="1219" t="str">
        <f t="shared" si="12"/>
        <v>–</v>
      </c>
      <c r="M80" s="1219" t="str">
        <f t="shared" si="12"/>
        <v>–</v>
      </c>
      <c r="N80" s="1219" t="str">
        <f t="shared" si="12"/>
        <v>–</v>
      </c>
      <c r="O80" s="1219" t="str">
        <f t="shared" si="12"/>
        <v>–</v>
      </c>
      <c r="P80" s="1219" t="str">
        <f t="shared" si="12"/>
        <v>–</v>
      </c>
      <c r="Q80" s="1219" t="str">
        <f t="shared" si="12"/>
        <v>–</v>
      </c>
      <c r="R80" s="1219" t="str">
        <f t="shared" si="12"/>
        <v>–</v>
      </c>
      <c r="S80" s="1219" t="str">
        <f t="shared" si="12"/>
        <v>–</v>
      </c>
      <c r="T80" s="1219" t="str">
        <f t="shared" si="12"/>
        <v>–</v>
      </c>
      <c r="U80" s="1219" t="str">
        <f t="shared" si="12"/>
        <v>–</v>
      </c>
      <c r="V80" s="1219" t="str">
        <f t="shared" si="12"/>
        <v>–</v>
      </c>
      <c r="W80" s="1219" t="str">
        <f t="shared" si="12"/>
        <v>–</v>
      </c>
      <c r="X80" s="1219" t="str">
        <f t="shared" si="12"/>
        <v>–</v>
      </c>
      <c r="Y80" s="1219" t="str">
        <f t="shared" si="12"/>
        <v>–</v>
      </c>
      <c r="Z80" s="1219" t="str">
        <f t="shared" si="8"/>
        <v>–</v>
      </c>
    </row>
    <row r="81" spans="1:26" ht="12.75" customHeight="1">
      <c r="A81" s="1217" t="s">
        <v>1844</v>
      </c>
      <c r="B81" s="1219" t="str">
        <f t="shared" si="11"/>
        <v/>
      </c>
      <c r="C81" s="1219">
        <f t="shared" si="11"/>
        <v>-1.0840108401083959E-2</v>
      </c>
      <c r="D81" s="1219">
        <f t="shared" si="11"/>
        <v>-7.9452054794520999E-3</v>
      </c>
      <c r="E81" s="1219">
        <f t="shared" si="11"/>
        <v>-8.2850041425019949E-4</v>
      </c>
      <c r="F81" s="1219">
        <f t="shared" si="11"/>
        <v>2.6810392482034207E-2</v>
      </c>
      <c r="G81" s="1219">
        <f t="shared" si="11"/>
        <v>2.0188425302826385E-2</v>
      </c>
      <c r="H81" s="1219">
        <f t="shared" si="11"/>
        <v>1.715039577836408E-2</v>
      </c>
      <c r="I81" s="1219">
        <f t="shared" si="11"/>
        <v>5.5252918287937769E-2</v>
      </c>
      <c r="J81" s="1219">
        <f t="shared" si="11"/>
        <v>0.11996066863323507</v>
      </c>
      <c r="K81" s="1219">
        <f t="shared" si="11"/>
        <v>1.3608428446005183E-2</v>
      </c>
      <c r="L81" s="1219">
        <f t="shared" si="12"/>
        <v>5.4569077522737208E-2</v>
      </c>
      <c r="M81" s="1219">
        <f t="shared" si="12"/>
        <v>4.7227926078028393E-3</v>
      </c>
      <c r="N81" s="1219">
        <f t="shared" si="12"/>
        <v>4.0057224606580899E-2</v>
      </c>
      <c r="O81" s="1219">
        <f t="shared" si="12"/>
        <v>2.6724307329534236E-2</v>
      </c>
      <c r="P81" s="1219">
        <f t="shared" si="12"/>
        <v>9.7607655502391921E-3</v>
      </c>
      <c r="Q81" s="1219">
        <f t="shared" si="12"/>
        <v>1.3836239575435894E-2</v>
      </c>
      <c r="R81" s="1219">
        <f t="shared" si="12"/>
        <v>7.478033277248386E-4</v>
      </c>
      <c r="S81" s="1219">
        <f t="shared" si="12"/>
        <v>1.5878946385204484E-2</v>
      </c>
      <c r="T81" s="1219">
        <f t="shared" si="12"/>
        <v>-1.0114012504597314E-2</v>
      </c>
      <c r="U81" s="1219">
        <f t="shared" si="12"/>
        <v>-4.2727103845439096E-3</v>
      </c>
      <c r="V81" s="1219">
        <f t="shared" si="12"/>
        <v>9.3283582089551675E-3</v>
      </c>
      <c r="W81" s="1219">
        <f t="shared" si="12"/>
        <v>4.6210720887245316E-3</v>
      </c>
      <c r="X81" s="1219">
        <f t="shared" si="12"/>
        <v>1.2879484820607079E-3</v>
      </c>
      <c r="Y81" s="1219">
        <f t="shared" si="12"/>
        <v>0.13894077085630285</v>
      </c>
      <c r="Z81" s="1219">
        <f t="shared" si="8"/>
        <v>2.2804788601380466E-2</v>
      </c>
    </row>
    <row r="82" spans="1:26" ht="12.75" customHeight="1">
      <c r="A82" s="1223" t="s">
        <v>1845</v>
      </c>
      <c r="B82" s="1219" t="str">
        <f t="shared" si="11"/>
        <v/>
      </c>
      <c r="C82" s="1219" t="str">
        <f t="shared" si="11"/>
        <v>–</v>
      </c>
      <c r="D82" s="1219" t="str">
        <f t="shared" si="11"/>
        <v>–</v>
      </c>
      <c r="E82" s="1219" t="str">
        <f t="shared" si="11"/>
        <v>–</v>
      </c>
      <c r="F82" s="1219" t="str">
        <f t="shared" si="11"/>
        <v>–</v>
      </c>
      <c r="G82" s="1219" t="str">
        <f t="shared" si="11"/>
        <v>–</v>
      </c>
      <c r="H82" s="1219" t="str">
        <f t="shared" si="11"/>
        <v>–</v>
      </c>
      <c r="I82" s="1219" t="str">
        <f t="shared" si="11"/>
        <v>–</v>
      </c>
      <c r="J82" s="1219" t="str">
        <f t="shared" si="11"/>
        <v>–</v>
      </c>
      <c r="K82" s="1219" t="str">
        <f t="shared" si="11"/>
        <v>–</v>
      </c>
      <c r="L82" s="1219" t="str">
        <f t="shared" si="12"/>
        <v>–</v>
      </c>
      <c r="M82" s="1219" t="str">
        <f t="shared" si="12"/>
        <v>–</v>
      </c>
      <c r="N82" s="1219" t="str">
        <f t="shared" si="12"/>
        <v>–</v>
      </c>
      <c r="O82" s="1219" t="str">
        <f t="shared" si="12"/>
        <v>–</v>
      </c>
      <c r="P82" s="1219" t="str">
        <f t="shared" si="12"/>
        <v>–</v>
      </c>
      <c r="Q82" s="1219" t="str">
        <f t="shared" si="12"/>
        <v>–</v>
      </c>
      <c r="R82" s="1219">
        <f t="shared" si="12"/>
        <v>7.478033277248386E-4</v>
      </c>
      <c r="S82" s="1219">
        <f t="shared" si="12"/>
        <v>1.5878946385204484E-2</v>
      </c>
      <c r="T82" s="1219">
        <f t="shared" si="12"/>
        <v>-1.0114012504597314E-2</v>
      </c>
      <c r="U82" s="1219">
        <f t="shared" si="12"/>
        <v>-4.2727103845439096E-3</v>
      </c>
      <c r="V82" s="1219">
        <f t="shared" si="12"/>
        <v>9.3283582089551675E-3</v>
      </c>
      <c r="W82" s="1219">
        <f t="shared" si="12"/>
        <v>4.6210720887245316E-3</v>
      </c>
      <c r="X82" s="1219">
        <f t="shared" si="12"/>
        <v>1.2879484820607079E-3</v>
      </c>
      <c r="Y82" s="1219">
        <f t="shared" si="12"/>
        <v>0.14819518559353173</v>
      </c>
      <c r="Z82" s="1219">
        <f t="shared" si="8"/>
        <v>2.3164729059965694E-2</v>
      </c>
    </row>
    <row r="83" spans="1:26" ht="12.75" customHeight="1">
      <c r="A83" s="1223" t="s">
        <v>1846</v>
      </c>
      <c r="B83" s="1219" t="str">
        <f t="shared" si="11"/>
        <v/>
      </c>
      <c r="C83" s="1219" t="str">
        <f t="shared" si="11"/>
        <v>–</v>
      </c>
      <c r="D83" s="1219" t="str">
        <f t="shared" si="11"/>
        <v>–</v>
      </c>
      <c r="E83" s="1219" t="str">
        <f t="shared" si="11"/>
        <v>–</v>
      </c>
      <c r="F83" s="1219" t="str">
        <f t="shared" si="11"/>
        <v>–</v>
      </c>
      <c r="G83" s="1219" t="str">
        <f t="shared" si="11"/>
        <v>–</v>
      </c>
      <c r="H83" s="1219" t="str">
        <f t="shared" si="11"/>
        <v>–</v>
      </c>
      <c r="I83" s="1219" t="str">
        <f t="shared" si="11"/>
        <v>–</v>
      </c>
      <c r="J83" s="1219" t="str">
        <f t="shared" si="11"/>
        <v>–</v>
      </c>
      <c r="K83" s="1219" t="str">
        <f t="shared" si="11"/>
        <v>–</v>
      </c>
      <c r="L83" s="1219" t="str">
        <f t="shared" si="12"/>
        <v>–</v>
      </c>
      <c r="M83" s="1219" t="str">
        <f t="shared" si="12"/>
        <v>–</v>
      </c>
      <c r="N83" s="1219" t="str">
        <f t="shared" si="12"/>
        <v>–</v>
      </c>
      <c r="O83" s="1219" t="str">
        <f t="shared" si="12"/>
        <v>–</v>
      </c>
      <c r="P83" s="1219" t="str">
        <f t="shared" si="12"/>
        <v>–</v>
      </c>
      <c r="Q83" s="1219" t="str">
        <f t="shared" si="12"/>
        <v>–</v>
      </c>
      <c r="R83" s="1219" t="str">
        <f t="shared" si="12"/>
        <v>–</v>
      </c>
      <c r="S83" s="1219" t="str">
        <f t="shared" si="12"/>
        <v>–</v>
      </c>
      <c r="T83" s="1219" t="str">
        <f t="shared" si="12"/>
        <v>–</v>
      </c>
      <c r="U83" s="1219" t="str">
        <f t="shared" si="12"/>
        <v>–</v>
      </c>
      <c r="V83" s="1219" t="str">
        <f t="shared" si="12"/>
        <v>–</v>
      </c>
      <c r="W83" s="1219" t="str">
        <f t="shared" si="12"/>
        <v>–</v>
      </c>
      <c r="X83" s="1219" t="str">
        <f t="shared" si="12"/>
        <v>–</v>
      </c>
      <c r="Y83" s="1219" t="str">
        <f t="shared" si="12"/>
        <v>–</v>
      </c>
      <c r="Z83" s="1219" t="str">
        <f t="shared" si="8"/>
        <v>–</v>
      </c>
    </row>
    <row r="84" spans="1:26" ht="12.75" customHeight="1">
      <c r="A84" s="1223" t="s">
        <v>1847</v>
      </c>
      <c r="B84" s="1219" t="str">
        <f t="shared" si="11"/>
        <v/>
      </c>
      <c r="C84" s="1219" t="str">
        <f t="shared" si="11"/>
        <v>–</v>
      </c>
      <c r="D84" s="1219" t="str">
        <f t="shared" si="11"/>
        <v>–</v>
      </c>
      <c r="E84" s="1219" t="str">
        <f t="shared" si="11"/>
        <v>–</v>
      </c>
      <c r="F84" s="1219" t="str">
        <f t="shared" si="11"/>
        <v>–</v>
      </c>
      <c r="G84" s="1219" t="str">
        <f t="shared" si="11"/>
        <v>–</v>
      </c>
      <c r="H84" s="1219" t="str">
        <f t="shared" si="11"/>
        <v>–</v>
      </c>
      <c r="I84" s="1219" t="str">
        <f t="shared" si="11"/>
        <v>–</v>
      </c>
      <c r="J84" s="1219" t="str">
        <f t="shared" si="11"/>
        <v>–</v>
      </c>
      <c r="K84" s="1219" t="str">
        <f t="shared" si="11"/>
        <v>–</v>
      </c>
      <c r="L84" s="1219" t="str">
        <f t="shared" si="12"/>
        <v>–</v>
      </c>
      <c r="M84" s="1219" t="str">
        <f t="shared" si="12"/>
        <v>–</v>
      </c>
      <c r="N84" s="1219" t="str">
        <f t="shared" si="12"/>
        <v>–</v>
      </c>
      <c r="O84" s="1219" t="str">
        <f t="shared" si="12"/>
        <v>–</v>
      </c>
      <c r="P84" s="1219" t="str">
        <f t="shared" si="12"/>
        <v>–</v>
      </c>
      <c r="Q84" s="1219" t="str">
        <f t="shared" si="12"/>
        <v>–</v>
      </c>
      <c r="R84" s="1219" t="str">
        <f t="shared" si="12"/>
        <v>–</v>
      </c>
      <c r="S84" s="1219" t="str">
        <f t="shared" si="12"/>
        <v>–</v>
      </c>
      <c r="T84" s="1219" t="str">
        <f t="shared" si="12"/>
        <v>–</v>
      </c>
      <c r="U84" s="1219" t="str">
        <f t="shared" si="12"/>
        <v>–</v>
      </c>
      <c r="V84" s="1219" t="str">
        <f t="shared" si="12"/>
        <v>–</v>
      </c>
      <c r="W84" s="1219" t="str">
        <f t="shared" si="12"/>
        <v>–</v>
      </c>
      <c r="X84" s="1219" t="str">
        <f t="shared" si="12"/>
        <v>–</v>
      </c>
      <c r="Y84" s="1219" t="str">
        <f t="shared" si="12"/>
        <v>–</v>
      </c>
      <c r="Z84" s="1219" t="str">
        <f t="shared" si="8"/>
        <v>–</v>
      </c>
    </row>
    <row r="85" spans="1:26" ht="12.75" customHeight="1">
      <c r="A85" s="1223" t="s">
        <v>1848</v>
      </c>
      <c r="B85" s="1219" t="str">
        <f t="shared" si="11"/>
        <v/>
      </c>
      <c r="C85" s="1219" t="str">
        <f t="shared" si="11"/>
        <v>–</v>
      </c>
      <c r="D85" s="1219" t="str">
        <f t="shared" si="11"/>
        <v>–</v>
      </c>
      <c r="E85" s="1219" t="str">
        <f t="shared" si="11"/>
        <v>–</v>
      </c>
      <c r="F85" s="1219" t="str">
        <f t="shared" si="11"/>
        <v>–</v>
      </c>
      <c r="G85" s="1219" t="str">
        <f t="shared" si="11"/>
        <v>–</v>
      </c>
      <c r="H85" s="1219" t="str">
        <f t="shared" si="11"/>
        <v>–</v>
      </c>
      <c r="I85" s="1219" t="str">
        <f t="shared" si="11"/>
        <v>–</v>
      </c>
      <c r="J85" s="1219" t="str">
        <f t="shared" si="11"/>
        <v>–</v>
      </c>
      <c r="K85" s="1219" t="str">
        <f t="shared" si="11"/>
        <v>–</v>
      </c>
      <c r="L85" s="1219" t="str">
        <f t="shared" si="12"/>
        <v>–</v>
      </c>
      <c r="M85" s="1219" t="str">
        <f t="shared" si="12"/>
        <v>–</v>
      </c>
      <c r="N85" s="1219" t="str">
        <f t="shared" si="12"/>
        <v>–</v>
      </c>
      <c r="O85" s="1219" t="str">
        <f t="shared" si="12"/>
        <v>–</v>
      </c>
      <c r="P85" s="1219" t="str">
        <f t="shared" si="12"/>
        <v>–</v>
      </c>
      <c r="Q85" s="1219" t="str">
        <f t="shared" si="12"/>
        <v>–</v>
      </c>
      <c r="R85" s="1219" t="str">
        <f t="shared" si="12"/>
        <v>–</v>
      </c>
      <c r="S85" s="1219" t="str">
        <f t="shared" si="12"/>
        <v>–</v>
      </c>
      <c r="T85" s="1219" t="str">
        <f t="shared" si="12"/>
        <v>–</v>
      </c>
      <c r="U85" s="1219" t="str">
        <f t="shared" si="12"/>
        <v>–</v>
      </c>
      <c r="V85" s="1219" t="str">
        <f t="shared" si="12"/>
        <v>–</v>
      </c>
      <c r="W85" s="1219" t="str">
        <f t="shared" si="12"/>
        <v>–</v>
      </c>
      <c r="X85" s="1219" t="str">
        <f t="shared" si="12"/>
        <v>–</v>
      </c>
      <c r="Y85" s="1219" t="str">
        <f t="shared" si="12"/>
        <v>–</v>
      </c>
      <c r="Z85" s="1219" t="str">
        <f t="shared" si="8"/>
        <v>–</v>
      </c>
    </row>
    <row r="86" spans="1:26" ht="12.75" customHeight="1">
      <c r="A86" s="1223" t="s">
        <v>1849</v>
      </c>
      <c r="B86" s="1219" t="str">
        <f t="shared" si="11"/>
        <v/>
      </c>
      <c r="C86" s="1219" t="str">
        <f t="shared" si="11"/>
        <v>–</v>
      </c>
      <c r="D86" s="1219" t="str">
        <f t="shared" si="11"/>
        <v>–</v>
      </c>
      <c r="E86" s="1219" t="str">
        <f t="shared" si="11"/>
        <v>–</v>
      </c>
      <c r="F86" s="1219" t="str">
        <f t="shared" si="11"/>
        <v>–</v>
      </c>
      <c r="G86" s="1219" t="str">
        <f t="shared" si="11"/>
        <v>–</v>
      </c>
      <c r="H86" s="1219" t="str">
        <f t="shared" si="11"/>
        <v>–</v>
      </c>
      <c r="I86" s="1219" t="str">
        <f t="shared" si="11"/>
        <v>–</v>
      </c>
      <c r="J86" s="1219" t="str">
        <f t="shared" si="11"/>
        <v>–</v>
      </c>
      <c r="K86" s="1219" t="str">
        <f t="shared" si="11"/>
        <v>–</v>
      </c>
      <c r="L86" s="1219" t="str">
        <f t="shared" si="12"/>
        <v>–</v>
      </c>
      <c r="M86" s="1219" t="str">
        <f t="shared" si="12"/>
        <v>–</v>
      </c>
      <c r="N86" s="1219" t="str">
        <f t="shared" si="12"/>
        <v>–</v>
      </c>
      <c r="O86" s="1219" t="str">
        <f t="shared" si="12"/>
        <v>–</v>
      </c>
      <c r="P86" s="1219" t="str">
        <f t="shared" si="12"/>
        <v>–</v>
      </c>
      <c r="Q86" s="1219" t="str">
        <f t="shared" si="12"/>
        <v>–</v>
      </c>
      <c r="R86" s="1219" t="str">
        <f t="shared" si="12"/>
        <v>–</v>
      </c>
      <c r="S86" s="1219" t="str">
        <f t="shared" si="12"/>
        <v>–</v>
      </c>
      <c r="T86" s="1219" t="str">
        <f t="shared" si="12"/>
        <v>–</v>
      </c>
      <c r="U86" s="1219" t="str">
        <f t="shared" si="12"/>
        <v>–</v>
      </c>
      <c r="V86" s="1219" t="str">
        <f t="shared" si="12"/>
        <v>–</v>
      </c>
      <c r="W86" s="1219" t="str">
        <f t="shared" si="12"/>
        <v>–</v>
      </c>
      <c r="X86" s="1219" t="str">
        <f t="shared" si="12"/>
        <v>–</v>
      </c>
      <c r="Y86" s="1219" t="str">
        <f t="shared" si="12"/>
        <v>–</v>
      </c>
      <c r="Z86" s="1219" t="str">
        <f t="shared" si="8"/>
        <v>–</v>
      </c>
    </row>
    <row r="87" spans="1:26" ht="12.75" customHeight="1">
      <c r="A87" s="1224" t="s">
        <v>1850</v>
      </c>
      <c r="B87" s="1219" t="str">
        <f t="shared" ref="B87:K92" si="13">IFERROR(IF(OR(SECTOR_AAC=0,SECTOR_AAC=-1),CHAR(150),SECTOR_AAC),IF(COLUMN()&lt;=2,"",CHAR(150)))</f>
        <v/>
      </c>
      <c r="C87" s="1219">
        <f t="shared" si="13"/>
        <v>-8.2199546485260733E-2</v>
      </c>
      <c r="D87" s="1219">
        <f t="shared" si="13"/>
        <v>6.1766522544781655E-3</v>
      </c>
      <c r="E87" s="1219">
        <f t="shared" si="13"/>
        <v>1.0804174340085959E-2</v>
      </c>
      <c r="F87" s="1219">
        <f t="shared" si="13"/>
        <v>8.4734488961379917E-3</v>
      </c>
      <c r="G87" s="1219">
        <f t="shared" si="13"/>
        <v>1.2164626802326328E-2</v>
      </c>
      <c r="H87" s="1219">
        <f t="shared" si="13"/>
        <v>8.0916142997182749E-3</v>
      </c>
      <c r="I87" s="1219">
        <f t="shared" si="13"/>
        <v>5.9019600128156213E-3</v>
      </c>
      <c r="J87" s="1219">
        <f t="shared" si="13"/>
        <v>2.5816257536728227E-3</v>
      </c>
      <c r="K87" s="1219">
        <f t="shared" si="13"/>
        <v>2.9261115043557329E-3</v>
      </c>
      <c r="L87" s="1219">
        <f t="shared" ref="L87:Y92" si="14">IFERROR(IF(OR(SECTOR_AAC=0,SECTOR_AAC=-1),CHAR(150),SECTOR_AAC),IF(COLUMN()&lt;=2,"",CHAR(150)))</f>
        <v>-2.5808029164628987E-2</v>
      </c>
      <c r="M87" s="1219">
        <f t="shared" si="14"/>
        <v>6.0490587564175691E-2</v>
      </c>
      <c r="N87" s="1219">
        <f t="shared" si="14"/>
        <v>1.3867372407263989E-2</v>
      </c>
      <c r="O87" s="1219">
        <f t="shared" si="14"/>
        <v>1.3481393448711243E-2</v>
      </c>
      <c r="P87" s="1219">
        <f t="shared" si="14"/>
        <v>3.1305130795768132E-2</v>
      </c>
      <c r="Q87" s="1219">
        <f t="shared" si="14"/>
        <v>-2.7933584767744657E-2</v>
      </c>
      <c r="R87" s="1219">
        <f t="shared" si="14"/>
        <v>2.9765013054830369E-2</v>
      </c>
      <c r="S87" s="1219">
        <f t="shared" si="14"/>
        <v>2.3833671399594358E-2</v>
      </c>
      <c r="T87" s="1219">
        <f t="shared" si="14"/>
        <v>2.2783556215948408E-2</v>
      </c>
      <c r="U87" s="1219">
        <f t="shared" si="14"/>
        <v>6.2953995157384313E-3</v>
      </c>
      <c r="V87" s="1219">
        <f t="shared" si="14"/>
        <v>2.9355149181905738E-2</v>
      </c>
      <c r="W87" s="1219">
        <f t="shared" si="14"/>
        <v>1.0285179990649818E-2</v>
      </c>
      <c r="X87" s="1219">
        <f t="shared" si="14"/>
        <v>0.14548819990745021</v>
      </c>
      <c r="Y87" s="1219">
        <f t="shared" si="14"/>
        <v>-0.68942964009857</v>
      </c>
      <c r="Z87" s="1219">
        <f t="shared" si="8"/>
        <v>-3.7509584322547251E-2</v>
      </c>
    </row>
    <row r="88" spans="1:26" ht="12.75" customHeight="1">
      <c r="A88" s="1225" t="s">
        <v>1851</v>
      </c>
      <c r="B88" s="1219" t="str">
        <f t="shared" si="13"/>
        <v/>
      </c>
      <c r="C88" s="1219" t="str">
        <f t="shared" si="13"/>
        <v>–</v>
      </c>
      <c r="D88" s="1219">
        <f t="shared" si="13"/>
        <v>6.3232572486118244E-3</v>
      </c>
      <c r="E88" s="1219">
        <f t="shared" si="13"/>
        <v>1.1340996168582418E-2</v>
      </c>
      <c r="F88" s="1219">
        <f t="shared" si="13"/>
        <v>5.9099863615699189E-3</v>
      </c>
      <c r="G88" s="1219">
        <f t="shared" si="13"/>
        <v>1.3708948478457383E-2</v>
      </c>
      <c r="H88" s="1219">
        <f t="shared" si="13"/>
        <v>7.1333036112350978E-3</v>
      </c>
      <c r="I88" s="1219">
        <f t="shared" si="13"/>
        <v>5.7547587428063984E-3</v>
      </c>
      <c r="J88" s="1219">
        <f t="shared" si="13"/>
        <v>1.0269953051642577E-3</v>
      </c>
      <c r="K88" s="1219">
        <f t="shared" si="13"/>
        <v>5.862523816504428E-4</v>
      </c>
      <c r="L88" s="1219" t="str">
        <f t="shared" si="14"/>
        <v>–</v>
      </c>
      <c r="M88" s="1219" t="str">
        <f t="shared" si="14"/>
        <v>–</v>
      </c>
      <c r="N88" s="1219">
        <f t="shared" si="14"/>
        <v>1.047345767575325E-2</v>
      </c>
      <c r="O88" s="1219">
        <f t="shared" si="14"/>
        <v>1.0648871219650635E-2</v>
      </c>
      <c r="P88" s="1219">
        <f t="shared" si="14"/>
        <v>2.8519246979488599E-2</v>
      </c>
      <c r="Q88" s="1219" t="str">
        <f t="shared" si="14"/>
        <v>–</v>
      </c>
      <c r="R88" s="1219" t="str">
        <f t="shared" si="14"/>
        <v>–</v>
      </c>
      <c r="S88" s="1219" t="str">
        <f t="shared" si="14"/>
        <v>–</v>
      </c>
      <c r="T88" s="1219" t="str">
        <f t="shared" si="14"/>
        <v>–</v>
      </c>
      <c r="U88" s="1219" t="str">
        <f t="shared" si="14"/>
        <v>–</v>
      </c>
      <c r="V88" s="1219" t="str">
        <f t="shared" si="14"/>
        <v>–</v>
      </c>
      <c r="W88" s="1219" t="str">
        <f t="shared" si="14"/>
        <v>–</v>
      </c>
      <c r="X88" s="1219" t="str">
        <f t="shared" si="14"/>
        <v>–</v>
      </c>
      <c r="Y88" s="1219" t="str">
        <f t="shared" si="14"/>
        <v>–</v>
      </c>
      <c r="Z88" s="1219" t="str">
        <f t="shared" si="8"/>
        <v>–</v>
      </c>
    </row>
    <row r="89" spans="1:26" ht="12.75" customHeight="1">
      <c r="A89" s="1225" t="s">
        <v>1852</v>
      </c>
      <c r="B89" s="1219" t="str">
        <f t="shared" si="13"/>
        <v/>
      </c>
      <c r="C89" s="1219">
        <f t="shared" si="13"/>
        <v>0.51572580645161303</v>
      </c>
      <c r="D89" s="1219">
        <f t="shared" si="13"/>
        <v>5.5865921787709993E-3</v>
      </c>
      <c r="E89" s="1219">
        <f t="shared" si="13"/>
        <v>8.6419753086419693E-3</v>
      </c>
      <c r="F89" s="1219">
        <f t="shared" si="13"/>
        <v>1.8826135105205033E-2</v>
      </c>
      <c r="G89" s="1219">
        <f t="shared" si="13"/>
        <v>6.0068649885582914E-3</v>
      </c>
      <c r="H89" s="1219">
        <f t="shared" si="13"/>
        <v>1.1941996019334544E-2</v>
      </c>
      <c r="I89" s="1219">
        <f t="shared" si="13"/>
        <v>6.4905872436078482E-3</v>
      </c>
      <c r="J89" s="1219">
        <f t="shared" si="13"/>
        <v>8.7937243516373886E-3</v>
      </c>
      <c r="K89" s="1219">
        <f t="shared" si="13"/>
        <v>1.2203896391410174E-2</v>
      </c>
      <c r="L89" s="1219" t="str">
        <f t="shared" si="14"/>
        <v>–</v>
      </c>
      <c r="M89" s="1219" t="str">
        <f t="shared" si="14"/>
        <v>–</v>
      </c>
      <c r="N89" s="1219">
        <f t="shared" si="14"/>
        <v>2.3584905660377409E-2</v>
      </c>
      <c r="O89" s="1219">
        <f t="shared" si="14"/>
        <v>3.0283080974325083E-2</v>
      </c>
      <c r="P89" s="1219">
        <f t="shared" si="14"/>
        <v>4.2811501597444179E-2</v>
      </c>
      <c r="Q89" s="1219" t="str">
        <f t="shared" si="14"/>
        <v>–</v>
      </c>
      <c r="R89" s="1219" t="str">
        <f t="shared" si="14"/>
        <v>–</v>
      </c>
      <c r="S89" s="1219" t="str">
        <f t="shared" si="14"/>
        <v>–</v>
      </c>
      <c r="T89" s="1219" t="str">
        <f t="shared" si="14"/>
        <v>–</v>
      </c>
      <c r="U89" s="1219" t="str">
        <f t="shared" si="14"/>
        <v>–</v>
      </c>
      <c r="V89" s="1219" t="str">
        <f t="shared" si="14"/>
        <v>–</v>
      </c>
      <c r="W89" s="1219" t="str">
        <f t="shared" si="14"/>
        <v>–</v>
      </c>
      <c r="X89" s="1219" t="str">
        <f t="shared" si="14"/>
        <v>–</v>
      </c>
      <c r="Y89" s="1219">
        <f t="shared" si="14"/>
        <v>-0.81087877831159916</v>
      </c>
      <c r="Z89" s="1219">
        <f t="shared" si="8"/>
        <v>-5.9002422685154987E-2</v>
      </c>
    </row>
    <row r="90" spans="1:26" ht="12.75" customHeight="1">
      <c r="A90" s="1225" t="s">
        <v>1853</v>
      </c>
      <c r="B90" s="1219" t="str">
        <f t="shared" si="13"/>
        <v/>
      </c>
      <c r="C90" s="1219" t="str">
        <f t="shared" si="13"/>
        <v>–</v>
      </c>
      <c r="D90" s="1219" t="str">
        <f t="shared" si="13"/>
        <v>–</v>
      </c>
      <c r="E90" s="1219" t="str">
        <f t="shared" si="13"/>
        <v>–</v>
      </c>
      <c r="F90" s="1219" t="str">
        <f t="shared" si="13"/>
        <v>–</v>
      </c>
      <c r="G90" s="1219" t="str">
        <f t="shared" si="13"/>
        <v>–</v>
      </c>
      <c r="H90" s="1219" t="str">
        <f t="shared" si="13"/>
        <v>–</v>
      </c>
      <c r="I90" s="1219" t="str">
        <f t="shared" si="13"/>
        <v>–</v>
      </c>
      <c r="J90" s="1219" t="str">
        <f t="shared" si="13"/>
        <v>–</v>
      </c>
      <c r="K90" s="1219" t="str">
        <f t="shared" si="13"/>
        <v>–</v>
      </c>
      <c r="L90" s="1219" t="str">
        <f t="shared" si="14"/>
        <v>–</v>
      </c>
      <c r="M90" s="1219" t="str">
        <f t="shared" si="14"/>
        <v>–</v>
      </c>
      <c r="N90" s="1219">
        <f t="shared" si="14"/>
        <v>3.7037037037036979E-2</v>
      </c>
      <c r="O90" s="1219" t="str">
        <f t="shared" si="14"/>
        <v>–</v>
      </c>
      <c r="P90" s="1219">
        <f t="shared" si="14"/>
        <v>3.5714285714285809E-2</v>
      </c>
      <c r="Q90" s="1219" t="str">
        <f t="shared" si="14"/>
        <v>–</v>
      </c>
      <c r="R90" s="1219" t="str">
        <f t="shared" si="14"/>
        <v>–</v>
      </c>
      <c r="S90" s="1219" t="str">
        <f t="shared" si="14"/>
        <v>–</v>
      </c>
      <c r="T90" s="1219" t="str">
        <f t="shared" si="14"/>
        <v>–</v>
      </c>
      <c r="U90" s="1219" t="str">
        <f t="shared" si="14"/>
        <v>–</v>
      </c>
      <c r="V90" s="1219" t="str">
        <f t="shared" si="14"/>
        <v>–</v>
      </c>
      <c r="W90" s="1219" t="str">
        <f t="shared" si="14"/>
        <v>–</v>
      </c>
      <c r="X90" s="1219" t="str">
        <f t="shared" si="14"/>
        <v>–</v>
      </c>
      <c r="Y90" s="1219" t="str">
        <f t="shared" si="14"/>
        <v>–</v>
      </c>
      <c r="Z90" s="1219" t="str">
        <f t="shared" si="8"/>
        <v>–</v>
      </c>
    </row>
    <row r="91" spans="1:26" ht="12.75" customHeight="1">
      <c r="A91" s="1225" t="s">
        <v>1854</v>
      </c>
      <c r="B91" s="1219" t="str">
        <f t="shared" si="13"/>
        <v/>
      </c>
      <c r="C91" s="1219" t="str">
        <f t="shared" si="13"/>
        <v>–</v>
      </c>
      <c r="D91" s="1219" t="str">
        <f t="shared" si="13"/>
        <v>–</v>
      </c>
      <c r="E91" s="1219" t="str">
        <f t="shared" si="13"/>
        <v>–</v>
      </c>
      <c r="F91" s="1219" t="str">
        <f t="shared" si="13"/>
        <v>–</v>
      </c>
      <c r="G91" s="1219" t="str">
        <f t="shared" si="13"/>
        <v>–</v>
      </c>
      <c r="H91" s="1219" t="str">
        <f t="shared" si="13"/>
        <v>–</v>
      </c>
      <c r="I91" s="1219" t="str">
        <f t="shared" si="13"/>
        <v>–</v>
      </c>
      <c r="J91" s="1219" t="str">
        <f t="shared" si="13"/>
        <v>–</v>
      </c>
      <c r="K91" s="1219" t="str">
        <f t="shared" si="13"/>
        <v>–</v>
      </c>
      <c r="L91" s="1219" t="str">
        <f t="shared" si="14"/>
        <v>–</v>
      </c>
      <c r="M91" s="1219" t="str">
        <f t="shared" si="14"/>
        <v>–</v>
      </c>
      <c r="N91" s="1219" t="str">
        <f t="shared" si="14"/>
        <v>–</v>
      </c>
      <c r="O91" s="1219" t="str">
        <f t="shared" si="14"/>
        <v>–</v>
      </c>
      <c r="P91" s="1219" t="str">
        <f t="shared" si="14"/>
        <v>–</v>
      </c>
      <c r="Q91" s="1219" t="str">
        <f t="shared" si="14"/>
        <v>–</v>
      </c>
      <c r="R91" s="1219" t="str">
        <f t="shared" si="14"/>
        <v>–</v>
      </c>
      <c r="S91" s="1219" t="str">
        <f t="shared" si="14"/>
        <v>–</v>
      </c>
      <c r="T91" s="1219" t="str">
        <f t="shared" si="14"/>
        <v>–</v>
      </c>
      <c r="U91" s="1219" t="str">
        <f t="shared" si="14"/>
        <v>–</v>
      </c>
      <c r="V91" s="1219" t="str">
        <f t="shared" si="14"/>
        <v>–</v>
      </c>
      <c r="W91" s="1219" t="str">
        <f t="shared" si="14"/>
        <v>–</v>
      </c>
      <c r="X91" s="1219" t="str">
        <f t="shared" si="14"/>
        <v>–</v>
      </c>
      <c r="Y91" s="1219" t="str">
        <f t="shared" si="14"/>
        <v>–</v>
      </c>
      <c r="Z91" s="1219" t="str">
        <f t="shared" si="8"/>
        <v>–</v>
      </c>
    </row>
    <row r="92" spans="1:26" ht="12.75" customHeight="1">
      <c r="A92" s="1224" t="s">
        <v>1855</v>
      </c>
      <c r="B92" s="1219" t="str">
        <f t="shared" si="13"/>
        <v/>
      </c>
      <c r="C92" s="1219" t="str">
        <f t="shared" si="13"/>
        <v>–</v>
      </c>
      <c r="D92" s="1219" t="str">
        <f t="shared" si="13"/>
        <v>–</v>
      </c>
      <c r="E92" s="1219" t="str">
        <f t="shared" si="13"/>
        <v>–</v>
      </c>
      <c r="F92" s="1219" t="str">
        <f t="shared" si="13"/>
        <v>–</v>
      </c>
      <c r="G92" s="1219" t="str">
        <f t="shared" si="13"/>
        <v>–</v>
      </c>
      <c r="H92" s="1219" t="str">
        <f t="shared" si="13"/>
        <v>–</v>
      </c>
      <c r="I92" s="1219" t="str">
        <f t="shared" si="13"/>
        <v>–</v>
      </c>
      <c r="J92" s="1219" t="str">
        <f t="shared" si="13"/>
        <v>–</v>
      </c>
      <c r="K92" s="1219" t="str">
        <f t="shared" si="13"/>
        <v>–</v>
      </c>
      <c r="L92" s="1219" t="str">
        <f t="shared" si="14"/>
        <v>–</v>
      </c>
      <c r="M92" s="1219" t="str">
        <f t="shared" si="14"/>
        <v>–</v>
      </c>
      <c r="N92" s="1219" t="str">
        <f t="shared" si="14"/>
        <v>–</v>
      </c>
      <c r="O92" s="1219" t="str">
        <f t="shared" si="14"/>
        <v>–</v>
      </c>
      <c r="P92" s="1219" t="str">
        <f t="shared" si="14"/>
        <v>–</v>
      </c>
      <c r="Q92" s="1219" t="str">
        <f t="shared" si="14"/>
        <v>–</v>
      </c>
      <c r="R92" s="1219" t="str">
        <f t="shared" si="14"/>
        <v>–</v>
      </c>
      <c r="S92" s="1219" t="str">
        <f t="shared" si="14"/>
        <v>–</v>
      </c>
      <c r="T92" s="1219" t="str">
        <f t="shared" si="14"/>
        <v>–</v>
      </c>
      <c r="U92" s="1219" t="str">
        <f t="shared" si="14"/>
        <v>–</v>
      </c>
      <c r="V92" s="1219" t="str">
        <f t="shared" si="14"/>
        <v>–</v>
      </c>
      <c r="W92" s="1219" t="str">
        <f t="shared" si="14"/>
        <v>–</v>
      </c>
      <c r="X92" s="1219" t="str">
        <f t="shared" si="14"/>
        <v>–</v>
      </c>
      <c r="Y92" s="1219" t="str">
        <f t="shared" si="14"/>
        <v>–</v>
      </c>
      <c r="Z92" s="1219" t="str">
        <f t="shared" si="8"/>
        <v>–</v>
      </c>
    </row>
  </sheetData>
  <pageMargins left="0.7" right="0.7" top="0.75" bottom="0.75" header="0.51180555555555496" footer="0.51180555555555496"/>
  <pageSetup paperSize="9" scale="66" firstPageNumber="0"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Ark3">
    <tabColor theme="4"/>
  </sheetPr>
  <dimension ref="B2:AK216"/>
  <sheetViews>
    <sheetView topLeftCell="A172" workbookViewId="0">
      <selection activeCell="C189" sqref="C189"/>
    </sheetView>
  </sheetViews>
  <sheetFormatPr defaultColWidth="8.44140625" defaultRowHeight="13.2"/>
  <cols>
    <col min="2" max="2" width="39.44140625" bestFit="1" customWidth="1"/>
    <col min="3" max="3" width="108.44140625" bestFit="1" customWidth="1"/>
  </cols>
  <sheetData>
    <row r="2" spans="4:4">
      <c r="D2" s="216"/>
    </row>
    <row r="3" spans="4:4">
      <c r="D3" s="216"/>
    </row>
    <row r="4" spans="4:4">
      <c r="D4" s="216"/>
    </row>
    <row r="5" spans="4:4">
      <c r="D5" s="216"/>
    </row>
    <row r="6" spans="4:4">
      <c r="D6" s="216"/>
    </row>
    <row r="22" spans="2:29" ht="17.399999999999999">
      <c r="B22" s="360" t="s">
        <v>375</v>
      </c>
      <c r="C22" s="360"/>
      <c r="D22" s="360"/>
      <c r="E22" s="360"/>
      <c r="F22" s="360"/>
      <c r="G22" s="360"/>
      <c r="H22" s="360"/>
      <c r="I22" s="360"/>
      <c r="J22" s="360"/>
      <c r="K22" s="360"/>
      <c r="L22" s="360"/>
      <c r="M22" s="360"/>
      <c r="N22" s="360"/>
      <c r="O22" s="360"/>
      <c r="P22" s="360"/>
      <c r="Q22" s="360"/>
      <c r="R22" s="360"/>
      <c r="S22" s="360"/>
      <c r="T22" s="360"/>
      <c r="U22" s="360"/>
      <c r="V22" s="360"/>
      <c r="W22" s="360"/>
      <c r="X22" s="360"/>
      <c r="Y22" s="360"/>
      <c r="Z22" s="360"/>
      <c r="AA22" s="360"/>
      <c r="AB22" s="360"/>
      <c r="AC22" s="360"/>
    </row>
    <row r="23" spans="2:29" ht="13.8">
      <c r="B23" s="252"/>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row>
    <row r="24" spans="2:29" ht="15.6">
      <c r="B24" s="253" t="s">
        <v>376</v>
      </c>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row>
    <row r="25" spans="2:29" ht="13.8">
      <c r="B25" s="252"/>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row>
    <row r="26" spans="2:29">
      <c r="B26" s="262"/>
      <c r="C26" s="262"/>
      <c r="D26" s="263"/>
      <c r="E26" s="262"/>
      <c r="F26" s="262"/>
      <c r="G26" s="262"/>
      <c r="H26" s="262"/>
      <c r="I26" s="262"/>
      <c r="J26" s="262"/>
      <c r="K26" s="262"/>
      <c r="L26" s="262"/>
      <c r="M26" s="262"/>
      <c r="N26" s="262"/>
      <c r="O26" s="262"/>
      <c r="P26" s="262"/>
      <c r="Q26" s="262"/>
      <c r="R26" s="262"/>
      <c r="S26" s="262" t="s">
        <v>377</v>
      </c>
      <c r="T26" s="263">
        <v>29</v>
      </c>
      <c r="U26" s="263">
        <v>47</v>
      </c>
      <c r="V26" s="263">
        <v>59</v>
      </c>
      <c r="W26" s="263">
        <v>61</v>
      </c>
      <c r="X26" s="263">
        <v>91</v>
      </c>
      <c r="Y26" s="263">
        <v>94</v>
      </c>
      <c r="Z26" s="263">
        <v>95</v>
      </c>
      <c r="AA26" s="262"/>
      <c r="AB26" s="262"/>
      <c r="AC26" s="262"/>
    </row>
    <row r="27" spans="2:29" ht="14.4">
      <c r="B27" s="262"/>
      <c r="C27" s="274" t="s">
        <v>378</v>
      </c>
      <c r="D27" s="263"/>
      <c r="E27" s="262"/>
      <c r="F27" s="262"/>
      <c r="G27" s="262"/>
      <c r="H27" s="262"/>
      <c r="I27" s="262"/>
      <c r="J27" s="262"/>
      <c r="K27" s="262"/>
      <c r="L27" s="262"/>
      <c r="M27" s="262"/>
      <c r="N27" s="262"/>
      <c r="O27" s="262"/>
      <c r="P27" s="262"/>
      <c r="Q27" s="262"/>
      <c r="R27" s="262"/>
      <c r="S27" s="262"/>
      <c r="T27" s="263" t="s">
        <v>379</v>
      </c>
      <c r="U27" s="263" t="s">
        <v>379</v>
      </c>
      <c r="V27" s="263" t="s">
        <v>158</v>
      </c>
      <c r="W27" s="263" t="s">
        <v>380</v>
      </c>
      <c r="X27" s="263" t="s">
        <v>380</v>
      </c>
      <c r="Y27" s="263" t="s">
        <v>380</v>
      </c>
      <c r="Z27" s="263" t="s">
        <v>380</v>
      </c>
      <c r="AA27" s="262"/>
      <c r="AB27" s="262"/>
      <c r="AC27" s="262"/>
    </row>
    <row r="28" spans="2:29" ht="110.4">
      <c r="B28" s="262"/>
      <c r="C28" s="271"/>
      <c r="D28" s="264"/>
      <c r="E28" s="297" t="s">
        <v>381</v>
      </c>
      <c r="F28" s="298" t="s">
        <v>382</v>
      </c>
      <c r="G28" s="298"/>
      <c r="H28" s="299" t="s">
        <v>383</v>
      </c>
      <c r="I28" s="300" t="s">
        <v>384</v>
      </c>
      <c r="J28" s="300" t="s">
        <v>385</v>
      </c>
      <c r="K28" s="301" t="s">
        <v>386</v>
      </c>
      <c r="L28" s="301" t="s">
        <v>387</v>
      </c>
      <c r="M28" s="301" t="s">
        <v>388</v>
      </c>
      <c r="N28" s="301" t="s">
        <v>389</v>
      </c>
      <c r="O28" s="301" t="s">
        <v>390</v>
      </c>
      <c r="P28" s="301" t="s">
        <v>391</v>
      </c>
      <c r="Q28" s="301" t="s">
        <v>392</v>
      </c>
      <c r="R28" s="301" t="s">
        <v>415</v>
      </c>
      <c r="S28" s="262"/>
      <c r="T28" s="262" t="s">
        <v>393</v>
      </c>
      <c r="U28" s="262" t="s">
        <v>393</v>
      </c>
      <c r="V28" s="262"/>
      <c r="W28" s="262"/>
      <c r="X28" s="262" t="s">
        <v>394</v>
      </c>
      <c r="Y28" s="262" t="s">
        <v>395</v>
      </c>
      <c r="Z28" s="262" t="s">
        <v>396</v>
      </c>
      <c r="AA28" s="262"/>
      <c r="AB28" s="262"/>
      <c r="AC28" s="262"/>
    </row>
    <row r="29" spans="2:29" ht="13.8">
      <c r="B29" s="262"/>
      <c r="C29" s="272" t="s">
        <v>397</v>
      </c>
      <c r="D29" s="265"/>
      <c r="E29" s="302" t="s">
        <v>398</v>
      </c>
      <c r="F29" s="258" t="s">
        <v>399</v>
      </c>
      <c r="G29" s="258" t="s">
        <v>379</v>
      </c>
      <c r="H29" s="258" t="s">
        <v>398</v>
      </c>
      <c r="I29" s="265" t="s">
        <v>400</v>
      </c>
      <c r="J29" s="303" t="s">
        <v>158</v>
      </c>
      <c r="K29" s="304" t="s">
        <v>380</v>
      </c>
      <c r="L29" s="304" t="s">
        <v>380</v>
      </c>
      <c r="M29" s="304" t="s">
        <v>380</v>
      </c>
      <c r="N29" s="304"/>
      <c r="O29" s="304" t="s">
        <v>380</v>
      </c>
      <c r="P29" s="304" t="s">
        <v>380</v>
      </c>
      <c r="Q29" s="304" t="s">
        <v>158</v>
      </c>
      <c r="R29" s="304" t="s">
        <v>380</v>
      </c>
      <c r="S29" s="262"/>
      <c r="T29" s="262"/>
      <c r="U29" s="262"/>
      <c r="V29" s="262"/>
      <c r="W29" s="262"/>
      <c r="X29" s="262"/>
      <c r="Y29" s="262"/>
      <c r="Z29" s="262"/>
      <c r="AA29" s="262"/>
      <c r="AB29" s="262"/>
      <c r="AC29" s="262"/>
    </row>
    <row r="30" spans="2:29" ht="13.8">
      <c r="B30" s="262"/>
      <c r="C30" s="271" t="s">
        <v>401</v>
      </c>
      <c r="D30" s="305"/>
      <c r="E30" s="306">
        <v>17</v>
      </c>
      <c r="F30" s="307">
        <v>72.400000000000006</v>
      </c>
      <c r="G30" s="362">
        <v>72.400000000000006</v>
      </c>
      <c r="H30" s="308">
        <v>1.8</v>
      </c>
      <c r="I30" s="309"/>
      <c r="J30" s="365">
        <v>0.90400000000000003</v>
      </c>
      <c r="K30" s="310">
        <v>16.739999999999998</v>
      </c>
      <c r="L30" s="376">
        <v>5.3000000000000001E-5</v>
      </c>
      <c r="M30" s="379">
        <v>7.3800000000000004E-2</v>
      </c>
      <c r="N30" s="311"/>
      <c r="O30" s="368"/>
      <c r="P30" s="310">
        <v>7.22</v>
      </c>
      <c r="Q30" s="351">
        <v>0</v>
      </c>
      <c r="R30" s="372">
        <v>23.96</v>
      </c>
      <c r="S30" s="262"/>
      <c r="T30" s="262"/>
      <c r="U30" s="262"/>
      <c r="V30" s="262"/>
      <c r="W30" s="262"/>
      <c r="X30" s="262"/>
      <c r="Y30" s="262"/>
      <c r="Z30" s="262"/>
      <c r="AA30" s="262"/>
      <c r="AB30" s="262"/>
      <c r="AC30" s="262"/>
    </row>
    <row r="31" spans="2:29" ht="13.8">
      <c r="B31" s="262"/>
      <c r="C31" s="273" t="s">
        <v>402</v>
      </c>
      <c r="D31" s="312"/>
      <c r="E31" s="313">
        <v>19</v>
      </c>
      <c r="F31" s="313">
        <v>10.6</v>
      </c>
      <c r="G31" s="363">
        <v>10.6</v>
      </c>
      <c r="H31" s="314">
        <v>1.8</v>
      </c>
      <c r="I31" s="315"/>
      <c r="J31" s="366">
        <v>0.91400000000000003</v>
      </c>
      <c r="K31" s="316">
        <v>9.26</v>
      </c>
      <c r="L31" s="377">
        <v>4.6999999999999997E-5</v>
      </c>
      <c r="M31" s="380">
        <v>6.6000000000000003E-2</v>
      </c>
      <c r="N31" s="317"/>
      <c r="O31" s="369"/>
      <c r="P31" s="316">
        <v>9.44</v>
      </c>
      <c r="Q31" s="352">
        <v>0</v>
      </c>
      <c r="R31" s="373">
        <v>18.7</v>
      </c>
      <c r="S31" s="262"/>
      <c r="T31" s="262"/>
      <c r="U31" s="262"/>
      <c r="V31" s="262"/>
      <c r="W31" s="262"/>
      <c r="X31" s="262"/>
      <c r="Y31" s="262"/>
      <c r="Z31" s="262"/>
      <c r="AA31" s="262"/>
      <c r="AB31" s="262"/>
      <c r="AC31" s="262"/>
    </row>
    <row r="32" spans="2:29" ht="13.8">
      <c r="B32" s="262"/>
      <c r="C32" s="273" t="s">
        <v>403</v>
      </c>
      <c r="D32" s="312"/>
      <c r="E32" s="313">
        <v>14.5</v>
      </c>
      <c r="F32" s="313">
        <v>40.9</v>
      </c>
      <c r="G32" s="363">
        <v>40.9</v>
      </c>
      <c r="H32" s="314">
        <v>0.53</v>
      </c>
      <c r="I32" s="318"/>
      <c r="J32" s="366">
        <v>0.96499999999999997</v>
      </c>
      <c r="K32" s="316">
        <v>2.5099999999999998</v>
      </c>
      <c r="L32" s="377">
        <v>1.8E-5</v>
      </c>
      <c r="M32" s="380">
        <v>2.53E-2</v>
      </c>
      <c r="N32" s="317"/>
      <c r="O32" s="369"/>
      <c r="P32" s="316">
        <v>9.25</v>
      </c>
      <c r="Q32" s="352">
        <v>0</v>
      </c>
      <c r="R32" s="374">
        <v>11.76</v>
      </c>
      <c r="S32" s="262"/>
      <c r="T32" s="262"/>
      <c r="U32" s="262"/>
      <c r="V32" s="262"/>
      <c r="W32" s="262"/>
      <c r="X32" s="262"/>
      <c r="Y32" s="262"/>
      <c r="Z32" s="262"/>
      <c r="AA32" s="262"/>
      <c r="AB32" s="262"/>
      <c r="AC32" s="262"/>
    </row>
    <row r="33" spans="2:29" ht="13.8">
      <c r="B33" s="262"/>
      <c r="C33" s="273" t="s">
        <v>404</v>
      </c>
      <c r="D33" s="312"/>
      <c r="E33" s="313">
        <v>27</v>
      </c>
      <c r="F33" s="313">
        <v>101.7</v>
      </c>
      <c r="G33" s="363">
        <v>101.7</v>
      </c>
      <c r="H33" s="314">
        <v>6.23</v>
      </c>
      <c r="I33" s="318"/>
      <c r="J33" s="366">
        <v>0.81200000000000006</v>
      </c>
      <c r="K33" s="316">
        <v>35.880000000000003</v>
      </c>
      <c r="L33" s="377">
        <v>1.15E-4</v>
      </c>
      <c r="M33" s="380">
        <v>0.161</v>
      </c>
      <c r="N33" s="317"/>
      <c r="O33" s="369"/>
      <c r="P33" s="316">
        <v>32.61</v>
      </c>
      <c r="Q33" s="352">
        <v>0</v>
      </c>
      <c r="R33" s="373">
        <v>68.489999999999995</v>
      </c>
      <c r="S33" s="262"/>
      <c r="T33" s="262"/>
      <c r="U33" s="262"/>
      <c r="V33" s="262"/>
      <c r="W33" s="262"/>
      <c r="X33" s="262"/>
      <c r="Y33" s="262"/>
      <c r="Z33" s="262"/>
      <c r="AA33" s="262"/>
      <c r="AB33" s="262"/>
      <c r="AC33" s="262"/>
    </row>
    <row r="34" spans="2:29" s="404" customFormat="1" ht="13.8">
      <c r="B34" s="445"/>
      <c r="C34" s="448" t="s">
        <v>635</v>
      </c>
      <c r="D34" s="456"/>
      <c r="E34" s="457">
        <v>37</v>
      </c>
      <c r="F34" s="457">
        <v>148.80000000000001</v>
      </c>
      <c r="G34" s="464">
        <v>148.80000000000001</v>
      </c>
      <c r="H34" s="458">
        <v>9.67</v>
      </c>
      <c r="I34" s="461"/>
      <c r="J34" s="465">
        <v>0.79300000000000004</v>
      </c>
      <c r="K34" s="459">
        <v>48.61</v>
      </c>
      <c r="L34" s="467">
        <v>0</v>
      </c>
      <c r="M34" s="468">
        <v>0</v>
      </c>
      <c r="N34" s="460"/>
      <c r="O34" s="369"/>
      <c r="P34" s="459">
        <v>50.6</v>
      </c>
      <c r="Q34" s="352">
        <v>0</v>
      </c>
      <c r="R34" s="466">
        <v>99.21</v>
      </c>
      <c r="S34" s="445"/>
      <c r="T34" s="445"/>
      <c r="U34" s="445"/>
      <c r="V34" s="445"/>
      <c r="W34" s="445"/>
      <c r="X34" s="445"/>
      <c r="Y34" s="445"/>
      <c r="Z34" s="445"/>
      <c r="AA34" s="445"/>
      <c r="AB34" s="445"/>
      <c r="AC34" s="445"/>
    </row>
    <row r="35" spans="2:29" ht="13.8">
      <c r="B35" s="262"/>
      <c r="C35" s="273" t="s">
        <v>405</v>
      </c>
      <c r="D35" s="312"/>
      <c r="E35" s="313">
        <v>39.5</v>
      </c>
      <c r="F35" s="313">
        <v>69.8</v>
      </c>
      <c r="G35" s="363">
        <v>69.8</v>
      </c>
      <c r="H35" s="314">
        <v>6.71</v>
      </c>
      <c r="I35" s="318"/>
      <c r="J35" s="366">
        <v>0.85499999999999998</v>
      </c>
      <c r="K35" s="316">
        <v>13</v>
      </c>
      <c r="L35" s="377">
        <v>7.2999999999999999E-5</v>
      </c>
      <c r="M35" s="380">
        <v>9.4000000000000004E-3</v>
      </c>
      <c r="N35" s="317"/>
      <c r="O35" s="369"/>
      <c r="P35" s="316">
        <v>0</v>
      </c>
      <c r="Q35" s="352">
        <v>0</v>
      </c>
      <c r="R35" s="373">
        <v>13</v>
      </c>
      <c r="S35" s="262"/>
      <c r="T35" s="262"/>
      <c r="U35" s="356">
        <v>4.5999999999999999E-2</v>
      </c>
    </row>
    <row r="36" spans="2:29" ht="13.8">
      <c r="B36" s="262"/>
      <c r="C36" s="319" t="s">
        <v>406</v>
      </c>
      <c r="D36" s="312"/>
      <c r="E36" s="313">
        <v>17.399999999999999</v>
      </c>
      <c r="F36" s="313">
        <v>48.1</v>
      </c>
      <c r="G36" s="363">
        <v>48.1</v>
      </c>
      <c r="H36" s="314">
        <v>0.67</v>
      </c>
      <c r="I36" s="318"/>
      <c r="J36" s="366">
        <v>0.96299999999999997</v>
      </c>
      <c r="K36" s="316">
        <v>5.4</v>
      </c>
      <c r="L36" s="377">
        <v>1.9000000000000001E-5</v>
      </c>
      <c r="M36" s="380">
        <v>2.6800000000000001E-2</v>
      </c>
      <c r="N36" s="317"/>
      <c r="O36" s="369"/>
      <c r="P36" s="316">
        <v>-2.15</v>
      </c>
      <c r="Q36" s="352">
        <v>0</v>
      </c>
      <c r="R36" s="373">
        <v>3.25</v>
      </c>
      <c r="S36" s="262"/>
      <c r="T36" s="262"/>
      <c r="U36" s="262"/>
    </row>
    <row r="37" spans="2:29" ht="13.8">
      <c r="B37" s="262"/>
      <c r="C37" s="273" t="s">
        <v>407</v>
      </c>
      <c r="D37" s="312"/>
      <c r="E37" s="313">
        <v>17.399999999999999</v>
      </c>
      <c r="F37" s="313">
        <v>65.5</v>
      </c>
      <c r="G37" s="363">
        <v>65.5</v>
      </c>
      <c r="H37" s="314">
        <v>0.67</v>
      </c>
      <c r="I37" s="318"/>
      <c r="J37" s="366">
        <v>0.96299999999999997</v>
      </c>
      <c r="K37" s="316">
        <v>5.4</v>
      </c>
      <c r="L37" s="377">
        <v>1.9000000000000001E-5</v>
      </c>
      <c r="M37" s="380">
        <v>2.6800000000000001E-2</v>
      </c>
      <c r="N37" s="317"/>
      <c r="O37" s="369"/>
      <c r="P37" s="316">
        <v>-2.15</v>
      </c>
      <c r="Q37" s="352">
        <v>0</v>
      </c>
      <c r="R37" s="373">
        <v>3.25</v>
      </c>
      <c r="S37" s="262"/>
      <c r="T37" s="262"/>
      <c r="U37" s="262"/>
    </row>
    <row r="38" spans="2:29" ht="13.8">
      <c r="B38" s="262"/>
      <c r="C38" s="273" t="s">
        <v>408</v>
      </c>
      <c r="D38" s="312"/>
      <c r="E38" s="313">
        <v>1</v>
      </c>
      <c r="F38" s="313">
        <v>72.5</v>
      </c>
      <c r="G38" s="363">
        <v>72.5</v>
      </c>
      <c r="H38" s="314">
        <v>0.05</v>
      </c>
      <c r="I38" s="318"/>
      <c r="J38" s="366">
        <v>0.94899999999999995</v>
      </c>
      <c r="K38" s="316">
        <v>0.26</v>
      </c>
      <c r="L38" s="377">
        <v>2.6999999999999999E-5</v>
      </c>
      <c r="M38" s="380">
        <v>3.7499999999999999E-2</v>
      </c>
      <c r="N38" s="317"/>
      <c r="O38" s="370"/>
      <c r="P38" s="316">
        <v>0</v>
      </c>
      <c r="Q38" s="352">
        <v>0</v>
      </c>
      <c r="R38" s="373">
        <v>0.26</v>
      </c>
      <c r="S38" s="262"/>
      <c r="T38" s="262"/>
      <c r="U38" s="262"/>
    </row>
    <row r="39" spans="2:29" ht="13.8">
      <c r="B39" s="262"/>
      <c r="C39" s="273" t="s">
        <v>409</v>
      </c>
      <c r="D39" s="312"/>
      <c r="E39" s="313">
        <v>1</v>
      </c>
      <c r="F39" s="313"/>
      <c r="G39" s="363">
        <v>72.5</v>
      </c>
      <c r="H39" s="314">
        <v>0.05</v>
      </c>
      <c r="I39" s="318"/>
      <c r="J39" s="366">
        <v>0.94899999999999995</v>
      </c>
      <c r="K39" s="316">
        <v>0.26</v>
      </c>
      <c r="L39" s="377">
        <v>2.6999999999999999E-5</v>
      </c>
      <c r="M39" s="380">
        <v>3.7499999999999999E-2</v>
      </c>
      <c r="N39" s="317"/>
      <c r="O39" s="370"/>
      <c r="P39" s="316">
        <v>0</v>
      </c>
      <c r="Q39" s="352">
        <v>0</v>
      </c>
      <c r="R39" s="373">
        <v>0.26</v>
      </c>
      <c r="S39" s="262"/>
      <c r="T39" s="262"/>
      <c r="U39" s="262"/>
    </row>
    <row r="40" spans="2:29" ht="13.8">
      <c r="B40" s="262"/>
      <c r="C40" s="273" t="s">
        <v>410</v>
      </c>
      <c r="D40" s="312"/>
      <c r="E40" s="313">
        <v>26.5</v>
      </c>
      <c r="F40" s="313">
        <v>20.2</v>
      </c>
      <c r="G40" s="363">
        <v>20.2</v>
      </c>
      <c r="H40" s="314">
        <v>2.36</v>
      </c>
      <c r="I40" s="318"/>
      <c r="J40" s="366">
        <v>0.91800000000000004</v>
      </c>
      <c r="K40" s="316">
        <v>15.32</v>
      </c>
      <c r="L40" s="377">
        <v>4.5000000000000003E-5</v>
      </c>
      <c r="M40" s="380">
        <v>6.2100000000000002E-2</v>
      </c>
      <c r="N40" s="317"/>
      <c r="O40" s="369"/>
      <c r="P40" s="316">
        <v>0</v>
      </c>
      <c r="Q40" s="352">
        <v>0</v>
      </c>
      <c r="R40" s="373">
        <v>15.32</v>
      </c>
      <c r="S40" s="262"/>
      <c r="T40" s="262"/>
      <c r="U40" s="262"/>
    </row>
    <row r="41" spans="2:29" ht="13.8">
      <c r="B41" s="262"/>
      <c r="C41" s="273" t="s">
        <v>411</v>
      </c>
      <c r="D41" s="312"/>
      <c r="E41" s="313">
        <v>43</v>
      </c>
      <c r="F41" s="313">
        <v>102.2</v>
      </c>
      <c r="G41" s="363">
        <v>102.2</v>
      </c>
      <c r="H41" s="314">
        <v>9.08</v>
      </c>
      <c r="I41" s="318"/>
      <c r="J41" s="366">
        <v>0.82599999999999996</v>
      </c>
      <c r="K41" s="316">
        <v>22.6</v>
      </c>
      <c r="L41" s="377">
        <v>1.06E-4</v>
      </c>
      <c r="M41" s="380">
        <v>0.14729999999999999</v>
      </c>
      <c r="N41" s="317"/>
      <c r="O41" s="369"/>
      <c r="P41" s="316">
        <v>0</v>
      </c>
      <c r="Q41" s="352">
        <v>0</v>
      </c>
      <c r="R41" s="373">
        <v>22.6</v>
      </c>
      <c r="S41" s="262"/>
      <c r="T41" s="262"/>
      <c r="U41" s="262"/>
    </row>
    <row r="42" spans="2:29" ht="13.8">
      <c r="B42" s="262"/>
      <c r="C42" s="273" t="s">
        <v>412</v>
      </c>
      <c r="D42" s="312"/>
      <c r="E42" s="313">
        <v>0.6</v>
      </c>
      <c r="F42" s="313">
        <v>47.2</v>
      </c>
      <c r="G42" s="363">
        <v>47.2</v>
      </c>
      <c r="H42" s="314">
        <v>0</v>
      </c>
      <c r="I42" s="318"/>
      <c r="J42" s="366">
        <v>1</v>
      </c>
      <c r="K42" s="316">
        <v>3.53</v>
      </c>
      <c r="L42" s="377">
        <v>0</v>
      </c>
      <c r="M42" s="380">
        <v>0</v>
      </c>
      <c r="N42" s="317"/>
      <c r="O42" s="369"/>
      <c r="P42" s="316">
        <v>0</v>
      </c>
      <c r="Q42" s="352">
        <v>0</v>
      </c>
      <c r="R42" s="373">
        <v>3.53</v>
      </c>
      <c r="S42" s="262"/>
      <c r="T42" s="262"/>
      <c r="U42" s="262"/>
    </row>
    <row r="43" spans="2:29" ht="13.8">
      <c r="B43" s="262"/>
      <c r="C43" s="273" t="s">
        <v>413</v>
      </c>
      <c r="D43" s="312"/>
      <c r="E43" s="313">
        <v>26.8</v>
      </c>
      <c r="F43" s="313">
        <v>207.6</v>
      </c>
      <c r="G43" s="363">
        <v>207.6</v>
      </c>
      <c r="H43" s="314">
        <v>4.7699999999999996</v>
      </c>
      <c r="I43" s="318"/>
      <c r="J43" s="366">
        <v>0.84899999999999998</v>
      </c>
      <c r="K43" s="316">
        <v>24.16</v>
      </c>
      <c r="L43" s="377">
        <v>7.7000000000000001E-5</v>
      </c>
      <c r="M43" s="380">
        <v>9.7999999999999997E-3</v>
      </c>
      <c r="N43" s="317"/>
      <c r="O43" s="370"/>
      <c r="P43" s="316">
        <v>0</v>
      </c>
      <c r="Q43" s="352">
        <v>0</v>
      </c>
      <c r="R43" s="373">
        <v>24.16</v>
      </c>
      <c r="S43" s="262"/>
      <c r="T43" s="262"/>
      <c r="U43" s="262"/>
    </row>
    <row r="44" spans="2:29" ht="13.8">
      <c r="B44" s="262"/>
      <c r="C44" s="272" t="s">
        <v>414</v>
      </c>
      <c r="D44" s="320"/>
      <c r="E44" s="321">
        <v>37</v>
      </c>
      <c r="F44" s="321">
        <v>162.9</v>
      </c>
      <c r="G44" s="364">
        <v>162.9</v>
      </c>
      <c r="H44" s="322">
        <v>11.14</v>
      </c>
      <c r="I44" s="323"/>
      <c r="J44" s="367">
        <v>0.76900000000000002</v>
      </c>
      <c r="K44" s="324">
        <v>67.930000000000007</v>
      </c>
      <c r="L44" s="378">
        <v>1.5100000000000001E-4</v>
      </c>
      <c r="M44" s="381">
        <v>0.21010000000000001</v>
      </c>
      <c r="N44" s="325"/>
      <c r="O44" s="371"/>
      <c r="P44" s="324">
        <v>0</v>
      </c>
      <c r="Q44" s="353">
        <v>0</v>
      </c>
      <c r="R44" s="375">
        <v>67.930000000000007</v>
      </c>
      <c r="S44" s="262"/>
      <c r="T44" s="262"/>
      <c r="U44" s="262"/>
    </row>
    <row r="45" spans="2:29">
      <c r="B45" s="262"/>
      <c r="C45" s="262" t="s">
        <v>636</v>
      </c>
      <c r="D45" s="263"/>
      <c r="E45" s="262"/>
      <c r="F45" s="262"/>
      <c r="G45" s="262"/>
      <c r="H45" s="262"/>
      <c r="I45" s="262"/>
      <c r="J45" s="262"/>
      <c r="K45" s="262"/>
      <c r="L45" s="262"/>
      <c r="M45" s="262"/>
      <c r="N45" s="262"/>
      <c r="O45" s="262"/>
      <c r="P45" s="262"/>
      <c r="Q45" s="262"/>
      <c r="R45" s="262"/>
      <c r="S45" s="262"/>
      <c r="T45" s="262"/>
      <c r="U45" s="262"/>
    </row>
    <row r="46" spans="2:29" ht="13.8">
      <c r="B46" s="252"/>
      <c r="C46" s="252"/>
      <c r="D46" s="252"/>
      <c r="E46" s="252"/>
      <c r="F46" s="252"/>
      <c r="G46" s="252"/>
      <c r="H46" s="252"/>
      <c r="I46" s="252"/>
      <c r="J46" s="252"/>
      <c r="K46" s="252"/>
      <c r="L46" s="252"/>
      <c r="M46" s="252"/>
      <c r="N46" s="252"/>
      <c r="O46" s="252"/>
      <c r="P46" s="252"/>
      <c r="Q46" s="252"/>
      <c r="R46" s="252"/>
      <c r="S46" s="252"/>
      <c r="T46" s="252"/>
      <c r="U46" s="252"/>
    </row>
    <row r="47" spans="2:29" ht="15.6">
      <c r="B47" s="253" t="s">
        <v>416</v>
      </c>
      <c r="C47" s="253"/>
      <c r="D47" s="253"/>
      <c r="E47" s="253"/>
      <c r="F47" s="253"/>
      <c r="G47" s="253"/>
      <c r="H47" s="253"/>
      <c r="I47" s="253"/>
      <c r="J47" s="253"/>
      <c r="K47" s="253"/>
      <c r="L47" s="253"/>
      <c r="M47" s="253"/>
      <c r="N47" s="253"/>
      <c r="O47" s="253"/>
      <c r="P47" s="253"/>
      <c r="Q47" s="253"/>
      <c r="R47" s="253"/>
      <c r="S47" s="253"/>
      <c r="T47" s="253"/>
      <c r="U47" s="253"/>
    </row>
    <row r="48" spans="2:29" ht="13.8">
      <c r="B48" s="252"/>
      <c r="C48" s="252"/>
      <c r="D48" s="252"/>
      <c r="E48" s="252"/>
      <c r="F48" s="252"/>
      <c r="G48" s="252"/>
      <c r="H48" s="252"/>
      <c r="I48" s="252"/>
      <c r="J48" s="252"/>
      <c r="K48" s="252"/>
      <c r="L48" s="252"/>
      <c r="M48" s="252"/>
      <c r="N48" s="252"/>
      <c r="O48" s="252"/>
      <c r="P48" s="252"/>
      <c r="Q48" s="252"/>
      <c r="R48" s="252"/>
      <c r="S48" s="252"/>
      <c r="T48" s="252"/>
      <c r="U48" s="252"/>
    </row>
    <row r="49" spans="2:21" ht="13.8">
      <c r="B49" s="254"/>
      <c r="C49" s="254"/>
      <c r="D49" s="254"/>
      <c r="E49" s="254"/>
      <c r="F49" s="254"/>
      <c r="G49" s="254"/>
      <c r="H49" s="254"/>
      <c r="I49" s="254"/>
      <c r="J49" s="254"/>
      <c r="K49" s="254"/>
      <c r="L49" s="254"/>
      <c r="M49" s="254"/>
      <c r="N49" s="254"/>
      <c r="O49" s="254"/>
      <c r="P49" s="254"/>
      <c r="Q49" s="254"/>
      <c r="R49" s="254"/>
      <c r="S49" s="254"/>
      <c r="T49" s="254"/>
      <c r="U49" s="254"/>
    </row>
    <row r="50" spans="2:21" ht="14.4">
      <c r="B50" s="254"/>
      <c r="C50" s="326" t="s">
        <v>417</v>
      </c>
      <c r="D50" s="254"/>
      <c r="E50" s="254"/>
      <c r="F50" s="254"/>
      <c r="G50" s="254"/>
      <c r="H50" s="254"/>
      <c r="I50" s="326" t="s">
        <v>418</v>
      </c>
      <c r="J50" s="254"/>
      <c r="K50" s="254"/>
      <c r="L50" s="254"/>
      <c r="M50" s="254"/>
      <c r="N50" s="254"/>
      <c r="O50" s="254"/>
      <c r="P50" s="254"/>
      <c r="Q50" s="254"/>
      <c r="R50" s="254"/>
      <c r="S50" s="254"/>
      <c r="T50" s="254"/>
      <c r="U50" s="254"/>
    </row>
    <row r="51" spans="2:21" ht="13.8">
      <c r="C51" s="281" t="s">
        <v>419</v>
      </c>
      <c r="D51" s="281" t="s">
        <v>6</v>
      </c>
      <c r="E51" s="291" t="s">
        <v>637</v>
      </c>
      <c r="F51" s="291" t="s">
        <v>420</v>
      </c>
      <c r="G51" s="291" t="s">
        <v>421</v>
      </c>
      <c r="H51" s="254"/>
      <c r="I51" s="260"/>
      <c r="J51" s="327" t="s">
        <v>422</v>
      </c>
      <c r="K51" s="328" t="s">
        <v>423</v>
      </c>
      <c r="L51" s="254"/>
      <c r="M51" s="254"/>
    </row>
    <row r="52" spans="2:21" ht="13.8">
      <c r="C52" s="260" t="s">
        <v>401</v>
      </c>
      <c r="D52" s="260" t="s">
        <v>380</v>
      </c>
      <c r="E52" s="329">
        <v>5.0000000000000002E-5</v>
      </c>
      <c r="F52" s="288">
        <v>7.0000000000000007E-2</v>
      </c>
      <c r="G52" s="284" t="s">
        <v>424</v>
      </c>
      <c r="H52" s="254"/>
      <c r="I52" s="292" t="s">
        <v>424</v>
      </c>
      <c r="J52" s="330">
        <v>0.5</v>
      </c>
      <c r="K52" s="310">
        <v>697.7</v>
      </c>
      <c r="L52" s="254"/>
      <c r="M52" s="261"/>
    </row>
    <row r="53" spans="2:21" ht="13.8">
      <c r="C53" s="260" t="s">
        <v>402</v>
      </c>
      <c r="D53" s="260" t="s">
        <v>380</v>
      </c>
      <c r="E53" s="329">
        <v>5.0000000000000002E-5</v>
      </c>
      <c r="F53" s="288">
        <v>7.0000000000000007E-2</v>
      </c>
      <c r="G53" s="284" t="s">
        <v>424</v>
      </c>
      <c r="H53" s="254"/>
      <c r="I53" s="293" t="s">
        <v>405</v>
      </c>
      <c r="J53" s="331">
        <v>0.43</v>
      </c>
      <c r="K53" s="316">
        <v>55</v>
      </c>
      <c r="L53" s="254"/>
      <c r="M53" s="261"/>
    </row>
    <row r="54" spans="2:21" ht="13.8">
      <c r="C54" s="260" t="s">
        <v>403</v>
      </c>
      <c r="D54" s="260" t="s">
        <v>380</v>
      </c>
      <c r="E54" s="329">
        <v>2.0000000000000002E-5</v>
      </c>
      <c r="F54" s="288">
        <v>0.03</v>
      </c>
      <c r="G54" s="284" t="s">
        <v>424</v>
      </c>
      <c r="H54" s="254"/>
      <c r="I54" s="282" t="s">
        <v>425</v>
      </c>
      <c r="J54" s="332">
        <v>0.5</v>
      </c>
      <c r="K54" s="324">
        <v>697.7</v>
      </c>
      <c r="L54" s="254"/>
      <c r="M54" s="261"/>
    </row>
    <row r="55" spans="2:21" ht="13.8">
      <c r="C55" s="260" t="s">
        <v>404</v>
      </c>
      <c r="D55" s="260" t="s">
        <v>380</v>
      </c>
      <c r="E55" s="329">
        <v>1.2E-4</v>
      </c>
      <c r="F55" s="288">
        <v>0.16</v>
      </c>
      <c r="G55" s="284" t="s">
        <v>424</v>
      </c>
      <c r="H55" s="254"/>
      <c r="I55" s="254"/>
      <c r="J55" s="254"/>
      <c r="K55" s="254"/>
      <c r="L55" s="254"/>
      <c r="M55" s="261"/>
    </row>
    <row r="56" spans="2:21" ht="13.8">
      <c r="C56" s="260" t="s">
        <v>426</v>
      </c>
      <c r="D56" s="260" t="s">
        <v>380</v>
      </c>
      <c r="E56" s="329"/>
      <c r="F56" s="288"/>
      <c r="G56" s="284"/>
      <c r="H56" s="254"/>
      <c r="I56" s="254"/>
      <c r="J56" s="254"/>
      <c r="K56" s="254"/>
      <c r="L56" s="254"/>
      <c r="M56" s="261"/>
    </row>
    <row r="57" spans="2:21" s="404" customFormat="1" ht="13.8">
      <c r="C57" s="443" t="s">
        <v>635</v>
      </c>
      <c r="D57" s="443" t="s">
        <v>380</v>
      </c>
      <c r="E57" s="462"/>
      <c r="F57" s="452"/>
      <c r="G57" s="450"/>
      <c r="H57" s="441"/>
      <c r="I57" s="441"/>
      <c r="J57" s="441"/>
      <c r="K57" s="441"/>
      <c r="L57" s="441"/>
      <c r="M57" s="444"/>
    </row>
    <row r="58" spans="2:21" ht="13.8">
      <c r="C58" s="260" t="s">
        <v>405</v>
      </c>
      <c r="D58" s="260" t="s">
        <v>380</v>
      </c>
      <c r="E58" s="329">
        <v>6.9999999999999994E-5</v>
      </c>
      <c r="F58" s="288">
        <v>0.01</v>
      </c>
      <c r="G58" s="284" t="s">
        <v>405</v>
      </c>
      <c r="H58" s="254"/>
      <c r="I58" s="254"/>
      <c r="J58" s="254"/>
      <c r="K58" s="254"/>
      <c r="L58" s="254"/>
      <c r="M58" s="261"/>
    </row>
    <row r="59" spans="2:21" ht="13.8">
      <c r="C59" s="260" t="s">
        <v>406</v>
      </c>
      <c r="D59" s="260" t="s">
        <v>380</v>
      </c>
      <c r="E59" s="329">
        <v>2.0000000000000002E-5</v>
      </c>
      <c r="F59" s="288">
        <v>0.03</v>
      </c>
      <c r="G59" s="284" t="s">
        <v>424</v>
      </c>
      <c r="H59" s="254"/>
      <c r="I59" s="254"/>
      <c r="J59" s="254"/>
      <c r="K59" s="254"/>
      <c r="L59" s="254"/>
      <c r="M59" s="261"/>
    </row>
    <row r="60" spans="2:21" ht="13.8">
      <c r="C60" s="260" t="s">
        <v>407</v>
      </c>
      <c r="D60" s="260" t="s">
        <v>380</v>
      </c>
      <c r="E60" s="329">
        <v>2.0000000000000002E-5</v>
      </c>
      <c r="F60" s="288">
        <v>0.03</v>
      </c>
      <c r="G60" s="284" t="s">
        <v>424</v>
      </c>
      <c r="H60" s="254"/>
      <c r="I60" s="254"/>
      <c r="J60" s="254"/>
      <c r="K60" s="254"/>
      <c r="L60" s="254"/>
      <c r="M60" s="261"/>
    </row>
    <row r="61" spans="2:21" ht="13.8">
      <c r="C61" s="260" t="s">
        <v>408</v>
      </c>
      <c r="D61" s="260" t="s">
        <v>380</v>
      </c>
      <c r="E61" s="329">
        <v>3.0000000000000001E-5</v>
      </c>
      <c r="F61" s="288">
        <v>0.04</v>
      </c>
      <c r="G61" s="284" t="s">
        <v>424</v>
      </c>
      <c r="H61" s="254"/>
      <c r="I61" s="254"/>
      <c r="J61" s="254"/>
      <c r="K61" s="254"/>
      <c r="L61" s="254"/>
      <c r="M61" s="261"/>
    </row>
    <row r="62" spans="2:21" ht="13.8">
      <c r="C62" s="260" t="s">
        <v>409</v>
      </c>
      <c r="D62" s="260" t="s">
        <v>380</v>
      </c>
      <c r="E62" s="329">
        <v>3.0000000000000001E-5</v>
      </c>
      <c r="F62" s="288">
        <v>0.04</v>
      </c>
      <c r="G62" s="284" t="s">
        <v>424</v>
      </c>
      <c r="H62" s="254"/>
      <c r="I62" s="254"/>
      <c r="J62" s="254"/>
      <c r="K62" s="254"/>
      <c r="L62" s="254"/>
      <c r="M62" s="261"/>
    </row>
    <row r="63" spans="2:21" ht="13.8">
      <c r="C63" s="260" t="s">
        <v>410</v>
      </c>
      <c r="D63" s="260" t="s">
        <v>380</v>
      </c>
      <c r="E63" s="329">
        <v>4.0000000000000003E-5</v>
      </c>
      <c r="F63" s="288">
        <v>0.06</v>
      </c>
      <c r="G63" s="284" t="s">
        <v>424</v>
      </c>
      <c r="H63" s="254"/>
      <c r="I63" s="254"/>
      <c r="J63" s="254"/>
      <c r="K63" s="254"/>
      <c r="L63" s="254"/>
      <c r="M63" s="261"/>
    </row>
    <row r="64" spans="2:21" ht="13.8">
      <c r="C64" s="260" t="s">
        <v>411</v>
      </c>
      <c r="D64" s="260" t="s">
        <v>380</v>
      </c>
      <c r="E64" s="329">
        <v>1.1E-4</v>
      </c>
      <c r="F64" s="288">
        <v>0.15</v>
      </c>
      <c r="G64" s="284" t="s">
        <v>425</v>
      </c>
      <c r="H64" s="254"/>
      <c r="I64" s="254"/>
      <c r="J64" s="254"/>
      <c r="K64" s="254"/>
      <c r="L64" s="254"/>
      <c r="M64" s="261"/>
    </row>
    <row r="65" spans="3:13" ht="13.8">
      <c r="C65" s="260" t="s">
        <v>412</v>
      </c>
      <c r="D65" s="260" t="s">
        <v>380</v>
      </c>
      <c r="E65" s="329">
        <v>0</v>
      </c>
      <c r="F65" s="288">
        <v>0</v>
      </c>
      <c r="G65" s="284" t="s">
        <v>424</v>
      </c>
      <c r="H65" s="254"/>
      <c r="I65" s="254"/>
      <c r="J65" s="254"/>
      <c r="K65" s="254"/>
      <c r="L65" s="254"/>
      <c r="M65" s="261"/>
    </row>
    <row r="66" spans="3:13" ht="13.8">
      <c r="C66" s="260" t="s">
        <v>413</v>
      </c>
      <c r="D66" s="260" t="s">
        <v>380</v>
      </c>
      <c r="E66" s="329">
        <v>8.0000000000000007E-5</v>
      </c>
      <c r="F66" s="288">
        <v>0.01</v>
      </c>
      <c r="G66" s="284" t="s">
        <v>405</v>
      </c>
      <c r="H66" s="254"/>
      <c r="I66" s="254"/>
      <c r="J66" s="254"/>
      <c r="K66" s="254"/>
      <c r="L66" s="254"/>
      <c r="M66" s="261"/>
    </row>
    <row r="67" spans="3:13" ht="13.8">
      <c r="C67" s="260" t="s">
        <v>414</v>
      </c>
      <c r="D67" s="260" t="s">
        <v>380</v>
      </c>
      <c r="E67" s="329">
        <v>1.4999999999999999E-4</v>
      </c>
      <c r="F67" s="288">
        <v>0.21</v>
      </c>
      <c r="G67" s="284" t="s">
        <v>424</v>
      </c>
      <c r="H67" s="254"/>
      <c r="I67" s="254"/>
      <c r="J67" s="254"/>
      <c r="K67" s="254"/>
      <c r="L67" s="254"/>
      <c r="M67" s="261"/>
    </row>
    <row r="68" spans="3:13" ht="13.8">
      <c r="C68" s="254"/>
      <c r="D68" s="254"/>
      <c r="E68" s="254"/>
      <c r="F68" s="254"/>
      <c r="G68" s="254"/>
      <c r="H68" s="254"/>
      <c r="I68" s="254"/>
      <c r="J68" s="254"/>
      <c r="K68" s="254"/>
    </row>
    <row r="69" spans="3:13" ht="14.4">
      <c r="C69" s="326" t="s">
        <v>427</v>
      </c>
      <c r="D69" s="254"/>
      <c r="E69" s="254"/>
      <c r="F69" s="254"/>
      <c r="G69" s="254"/>
      <c r="H69" s="254"/>
      <c r="I69" s="254"/>
      <c r="J69" s="254"/>
      <c r="K69" s="254"/>
    </row>
    <row r="70" spans="3:13" ht="13.8">
      <c r="C70" s="281" t="s">
        <v>419</v>
      </c>
      <c r="D70" s="281" t="s">
        <v>6</v>
      </c>
      <c r="E70" s="281" t="s">
        <v>428</v>
      </c>
      <c r="F70" s="281">
        <v>2015</v>
      </c>
      <c r="G70" s="281">
        <v>2020</v>
      </c>
      <c r="H70" s="281">
        <v>2035</v>
      </c>
      <c r="I70" s="281">
        <v>2050</v>
      </c>
      <c r="J70" s="281" t="s">
        <v>429</v>
      </c>
      <c r="K70" s="281" t="s">
        <v>319</v>
      </c>
    </row>
    <row r="71" spans="3:13" ht="13.8">
      <c r="C71" s="260" t="s">
        <v>401</v>
      </c>
      <c r="D71" s="260" t="s">
        <v>430</v>
      </c>
      <c r="E71" s="288">
        <v>1.8</v>
      </c>
      <c r="F71" s="284">
        <v>1.8</v>
      </c>
      <c r="G71" s="284">
        <v>1.8</v>
      </c>
      <c r="H71" s="284">
        <v>1.8</v>
      </c>
      <c r="I71" s="284">
        <v>1.8</v>
      </c>
      <c r="J71" s="260"/>
      <c r="K71" s="289" t="s">
        <v>431</v>
      </c>
    </row>
    <row r="72" spans="3:13" ht="13.8">
      <c r="C72" s="260" t="s">
        <v>402</v>
      </c>
      <c r="D72" s="260" t="s">
        <v>430</v>
      </c>
      <c r="E72" s="288">
        <v>1.8</v>
      </c>
      <c r="F72" s="333">
        <v>1.8</v>
      </c>
      <c r="G72" s="333">
        <v>1.8</v>
      </c>
      <c r="H72" s="333">
        <v>1.8</v>
      </c>
      <c r="I72" s="333">
        <v>1.8</v>
      </c>
      <c r="J72" s="334" t="s">
        <v>432</v>
      </c>
      <c r="K72" s="335" t="s">
        <v>433</v>
      </c>
    </row>
    <row r="73" spans="3:13" ht="13.8">
      <c r="C73" s="260" t="s">
        <v>403</v>
      </c>
      <c r="D73" s="260" t="s">
        <v>430</v>
      </c>
      <c r="E73" s="288">
        <v>0.53</v>
      </c>
      <c r="F73" s="284">
        <v>0.53</v>
      </c>
      <c r="G73" s="284">
        <v>0.53</v>
      </c>
      <c r="H73" s="284">
        <v>0.53</v>
      </c>
      <c r="I73" s="284">
        <v>0.53</v>
      </c>
      <c r="J73" s="260"/>
      <c r="K73" s="289" t="s">
        <v>638</v>
      </c>
    </row>
    <row r="74" spans="3:13" ht="13.8">
      <c r="C74" s="260" t="s">
        <v>404</v>
      </c>
      <c r="D74" s="260" t="s">
        <v>430</v>
      </c>
      <c r="E74" s="288">
        <v>6.23</v>
      </c>
      <c r="F74" s="285">
        <v>6.23</v>
      </c>
      <c r="G74" s="285">
        <v>6.23</v>
      </c>
      <c r="H74" s="285">
        <v>6.23</v>
      </c>
      <c r="I74" s="285">
        <v>6.23</v>
      </c>
      <c r="J74" s="260"/>
      <c r="K74" s="289" t="s">
        <v>638</v>
      </c>
    </row>
    <row r="75" spans="3:13" ht="13.8">
      <c r="C75" s="260" t="s">
        <v>426</v>
      </c>
      <c r="D75" s="260"/>
      <c r="E75" s="288"/>
      <c r="F75" s="285"/>
      <c r="G75" s="285"/>
      <c r="H75" s="285"/>
      <c r="I75" s="285"/>
      <c r="J75" s="260"/>
      <c r="K75" s="289"/>
    </row>
    <row r="76" spans="3:13" s="404" customFormat="1" ht="13.8">
      <c r="C76" s="443" t="s">
        <v>635</v>
      </c>
      <c r="D76" s="443" t="s">
        <v>430</v>
      </c>
      <c r="E76" s="452">
        <v>9.67</v>
      </c>
      <c r="F76" s="451">
        <v>9.67</v>
      </c>
      <c r="G76" s="451">
        <v>9.67</v>
      </c>
      <c r="H76" s="451">
        <v>9.67</v>
      </c>
      <c r="I76" s="451">
        <v>9.67</v>
      </c>
      <c r="J76" s="443" t="s">
        <v>639</v>
      </c>
      <c r="K76" s="453" t="s">
        <v>638</v>
      </c>
    </row>
    <row r="77" spans="3:13" ht="13.8">
      <c r="C77" s="260" t="s">
        <v>405</v>
      </c>
      <c r="D77" s="260" t="s">
        <v>435</v>
      </c>
      <c r="E77" s="288">
        <v>6.71</v>
      </c>
      <c r="F77" s="284">
        <v>6.71</v>
      </c>
      <c r="G77" s="284">
        <v>6.71</v>
      </c>
      <c r="H77" s="284">
        <v>6.71</v>
      </c>
      <c r="I77" s="284">
        <v>6.71</v>
      </c>
      <c r="J77" s="260" t="s">
        <v>640</v>
      </c>
      <c r="K77" s="289" t="s">
        <v>638</v>
      </c>
    </row>
    <row r="78" spans="3:13" ht="13.8">
      <c r="C78" s="260" t="s">
        <v>406</v>
      </c>
      <c r="D78" s="260" t="s">
        <v>430</v>
      </c>
      <c r="E78" s="288">
        <v>0.67</v>
      </c>
      <c r="F78" s="285">
        <v>0.67</v>
      </c>
      <c r="G78" s="285">
        <v>0.67</v>
      </c>
      <c r="H78" s="285">
        <v>0.67</v>
      </c>
      <c r="I78" s="285">
        <v>0.67</v>
      </c>
      <c r="J78" s="260" t="s">
        <v>436</v>
      </c>
      <c r="K78" s="289" t="s">
        <v>431</v>
      </c>
    </row>
    <row r="79" spans="3:13" ht="13.8">
      <c r="C79" s="260" t="s">
        <v>407</v>
      </c>
      <c r="D79" s="260" t="s">
        <v>430</v>
      </c>
      <c r="E79" s="288">
        <v>0.67</v>
      </c>
      <c r="F79" s="336">
        <v>0.67</v>
      </c>
      <c r="G79" s="336">
        <v>0.67</v>
      </c>
      <c r="H79" s="336">
        <v>0.67</v>
      </c>
      <c r="I79" s="336">
        <v>0.67</v>
      </c>
      <c r="J79" s="337" t="s">
        <v>437</v>
      </c>
      <c r="K79" s="286"/>
    </row>
    <row r="80" spans="3:13" ht="13.8">
      <c r="C80" s="260" t="s">
        <v>408</v>
      </c>
      <c r="D80" s="260" t="s">
        <v>438</v>
      </c>
      <c r="E80" s="288">
        <v>0.05</v>
      </c>
      <c r="F80" s="284">
        <v>0.05</v>
      </c>
      <c r="G80" s="284">
        <v>0.05</v>
      </c>
      <c r="H80" s="284">
        <v>0.05</v>
      </c>
      <c r="I80" s="284">
        <v>0.05</v>
      </c>
      <c r="J80" s="338"/>
      <c r="K80" s="290" t="s">
        <v>641</v>
      </c>
    </row>
    <row r="81" spans="3:23" ht="13.8">
      <c r="C81" s="260" t="s">
        <v>409</v>
      </c>
      <c r="D81" s="260" t="s">
        <v>438</v>
      </c>
      <c r="E81" s="288">
        <v>0.05</v>
      </c>
      <c r="F81" s="284">
        <v>0.05</v>
      </c>
      <c r="G81" s="284">
        <v>0.05</v>
      </c>
      <c r="H81" s="284">
        <v>0.05</v>
      </c>
      <c r="I81" s="284">
        <v>0.05</v>
      </c>
      <c r="J81" s="338"/>
      <c r="K81" s="290" t="s">
        <v>641</v>
      </c>
    </row>
    <row r="82" spans="3:23" ht="13.8">
      <c r="C82" s="260" t="s">
        <v>410</v>
      </c>
      <c r="D82" s="260" t="s">
        <v>430</v>
      </c>
      <c r="E82" s="288">
        <v>2.36</v>
      </c>
      <c r="F82" s="285">
        <v>2.36</v>
      </c>
      <c r="G82" s="285">
        <v>2.36</v>
      </c>
      <c r="H82" s="285">
        <v>2.36</v>
      </c>
      <c r="I82" s="285">
        <v>2.36</v>
      </c>
      <c r="J82" s="260"/>
      <c r="K82" s="290" t="s">
        <v>642</v>
      </c>
    </row>
    <row r="83" spans="3:23" ht="13.8">
      <c r="C83" s="260" t="s">
        <v>411</v>
      </c>
      <c r="D83" s="260" t="s">
        <v>430</v>
      </c>
      <c r="E83" s="288">
        <v>9.08</v>
      </c>
      <c r="F83" s="285">
        <v>9.08</v>
      </c>
      <c r="G83" s="285">
        <v>9.18</v>
      </c>
      <c r="H83" s="285">
        <v>8.8699999999999992</v>
      </c>
      <c r="I83" s="285">
        <v>8.26</v>
      </c>
      <c r="J83" s="260"/>
      <c r="K83" s="289"/>
    </row>
    <row r="84" spans="3:23" ht="13.8">
      <c r="C84" s="260" t="s">
        <v>412</v>
      </c>
      <c r="D84" s="260" t="s">
        <v>430</v>
      </c>
      <c r="E84" s="288">
        <v>0</v>
      </c>
      <c r="F84" s="391"/>
      <c r="G84" s="391"/>
      <c r="H84" s="391"/>
      <c r="I84" s="391"/>
      <c r="J84" s="260"/>
      <c r="K84" s="289"/>
    </row>
    <row r="85" spans="3:23" ht="13.8">
      <c r="C85" s="260" t="s">
        <v>413</v>
      </c>
      <c r="D85" s="260" t="s">
        <v>430</v>
      </c>
      <c r="E85" s="288">
        <v>4.7699999999999996</v>
      </c>
      <c r="F85" s="284">
        <v>4.7699999999999996</v>
      </c>
      <c r="G85" s="284">
        <v>4.7699999999999996</v>
      </c>
      <c r="H85" s="284">
        <v>4.7699999999999996</v>
      </c>
      <c r="I85" s="284">
        <v>4.7699999999999996</v>
      </c>
      <c r="J85" s="260" t="s">
        <v>439</v>
      </c>
      <c r="K85" s="290" t="s">
        <v>431</v>
      </c>
      <c r="L85" s="254"/>
      <c r="M85" s="254"/>
      <c r="N85" s="254"/>
      <c r="O85" s="254"/>
      <c r="P85" s="254"/>
      <c r="Q85" s="254"/>
      <c r="R85" s="254"/>
      <c r="S85" s="254"/>
      <c r="T85" s="254"/>
      <c r="U85" s="254"/>
      <c r="V85" s="254"/>
      <c r="W85" s="254"/>
    </row>
    <row r="86" spans="3:23" ht="13.8">
      <c r="C86" s="260" t="s">
        <v>414</v>
      </c>
      <c r="D86" s="260" t="s">
        <v>430</v>
      </c>
      <c r="E86" s="288">
        <v>11.14</v>
      </c>
      <c r="F86" s="284">
        <v>11.14</v>
      </c>
      <c r="G86" s="284">
        <v>11.14</v>
      </c>
      <c r="H86" s="284">
        <v>11.14</v>
      </c>
      <c r="I86" s="284">
        <v>11.14</v>
      </c>
      <c r="J86" s="260" t="s">
        <v>440</v>
      </c>
      <c r="K86" s="290" t="s">
        <v>431</v>
      </c>
      <c r="L86" s="254"/>
      <c r="M86" s="254"/>
      <c r="N86" s="254"/>
      <c r="O86" s="254"/>
      <c r="P86" s="254"/>
      <c r="Q86" s="254"/>
      <c r="R86" s="254"/>
      <c r="S86" s="254"/>
      <c r="T86" s="254"/>
      <c r="U86" s="254"/>
      <c r="V86" s="254"/>
      <c r="W86" s="254"/>
    </row>
    <row r="87" spans="3:23" ht="13.8">
      <c r="C87" s="254"/>
      <c r="D87" s="254"/>
      <c r="E87" s="254"/>
      <c r="F87" s="254"/>
      <c r="G87" s="254"/>
      <c r="H87" s="254"/>
      <c r="I87" s="254"/>
      <c r="J87" s="254"/>
      <c r="K87" s="254"/>
      <c r="L87" s="254"/>
      <c r="M87" s="254"/>
      <c r="N87" s="254"/>
      <c r="O87" s="254"/>
      <c r="P87" s="254"/>
      <c r="Q87" s="254"/>
      <c r="R87" s="254"/>
      <c r="S87" s="254"/>
      <c r="T87" s="254"/>
      <c r="U87" s="254"/>
      <c r="V87" s="254"/>
      <c r="W87" s="254"/>
    </row>
    <row r="88" spans="3:23" ht="14.4">
      <c r="C88" s="326" t="s">
        <v>643</v>
      </c>
      <c r="D88" s="254"/>
      <c r="E88" s="254"/>
      <c r="F88" s="254"/>
      <c r="G88" s="254"/>
      <c r="H88" s="254"/>
      <c r="I88" s="254"/>
      <c r="J88" s="254"/>
      <c r="K88" s="254"/>
      <c r="L88" s="254"/>
      <c r="M88" s="254"/>
      <c r="N88" s="254"/>
      <c r="O88" s="254"/>
      <c r="P88" s="254"/>
      <c r="Q88" s="254"/>
      <c r="R88" s="254"/>
      <c r="S88" s="254"/>
      <c r="T88" s="254"/>
      <c r="U88" s="254"/>
      <c r="V88" s="254"/>
      <c r="W88" s="254"/>
    </row>
    <row r="89" spans="3:23" ht="13.8">
      <c r="C89" s="281" t="s">
        <v>419</v>
      </c>
      <c r="D89" s="281" t="s">
        <v>6</v>
      </c>
      <c r="E89" s="281" t="s">
        <v>428</v>
      </c>
      <c r="F89" s="281">
        <v>2015</v>
      </c>
      <c r="G89" s="281">
        <v>2020</v>
      </c>
      <c r="H89" s="281">
        <v>2035</v>
      </c>
      <c r="I89" s="281">
        <v>2050</v>
      </c>
      <c r="J89" s="281" t="s">
        <v>429</v>
      </c>
      <c r="K89" s="281" t="s">
        <v>319</v>
      </c>
      <c r="L89" s="254"/>
      <c r="M89" s="254"/>
      <c r="N89" s="254"/>
      <c r="O89" s="254"/>
      <c r="P89" s="254"/>
      <c r="Q89" s="254"/>
      <c r="R89" s="254"/>
      <c r="S89" s="254"/>
      <c r="T89" s="254"/>
      <c r="U89" s="254"/>
      <c r="V89" s="254"/>
      <c r="W89" s="254"/>
    </row>
    <row r="90" spans="3:23" ht="13.8">
      <c r="C90" s="260" t="s">
        <v>401</v>
      </c>
      <c r="D90" s="260" t="s">
        <v>380</v>
      </c>
      <c r="E90" s="288">
        <v>16.739999999999998</v>
      </c>
      <c r="F90" s="283">
        <v>17</v>
      </c>
      <c r="G90" s="283">
        <v>17</v>
      </c>
      <c r="H90" s="283">
        <v>17</v>
      </c>
      <c r="I90" s="283">
        <v>17</v>
      </c>
      <c r="J90" s="260" t="s">
        <v>434</v>
      </c>
      <c r="K90" s="289" t="s">
        <v>431</v>
      </c>
      <c r="L90" s="254"/>
      <c r="M90" s="254"/>
      <c r="N90" s="254"/>
      <c r="O90" s="254"/>
      <c r="P90" s="254"/>
      <c r="Q90" s="254"/>
      <c r="R90" s="254"/>
      <c r="S90" s="254"/>
      <c r="T90" s="254"/>
      <c r="U90" s="254"/>
      <c r="V90" s="254"/>
      <c r="W90" s="295"/>
    </row>
    <row r="91" spans="3:23" ht="13.8">
      <c r="C91" s="260" t="s">
        <v>402</v>
      </c>
      <c r="D91" s="260" t="s">
        <v>380</v>
      </c>
      <c r="E91" s="288">
        <v>9.26</v>
      </c>
      <c r="F91" s="294">
        <v>9</v>
      </c>
      <c r="G91" s="294">
        <v>9</v>
      </c>
      <c r="H91" s="294">
        <v>9</v>
      </c>
      <c r="I91" s="294">
        <v>9</v>
      </c>
      <c r="J91" s="334"/>
      <c r="K91" s="289" t="s">
        <v>431</v>
      </c>
      <c r="L91" s="254"/>
      <c r="M91" s="254"/>
      <c r="N91" s="254"/>
      <c r="O91" s="254"/>
      <c r="P91" s="254"/>
      <c r="Q91" s="254"/>
      <c r="R91" s="254"/>
      <c r="S91" s="254"/>
      <c r="T91" s="254"/>
      <c r="U91" s="254"/>
      <c r="V91" s="254"/>
      <c r="W91" s="295"/>
    </row>
    <row r="92" spans="3:23" ht="13.8">
      <c r="C92" s="260" t="s">
        <v>403</v>
      </c>
      <c r="D92" s="260" t="s">
        <v>380</v>
      </c>
      <c r="E92" s="288">
        <v>2.5099999999999998</v>
      </c>
      <c r="F92" s="284">
        <v>2.5099999999999998</v>
      </c>
      <c r="G92" s="284">
        <v>2.5099999999999998</v>
      </c>
      <c r="H92" s="284">
        <v>2.5099999999999998</v>
      </c>
      <c r="I92" s="284">
        <v>2.5099999999999998</v>
      </c>
      <c r="J92" s="260"/>
      <c r="K92" s="289" t="s">
        <v>638</v>
      </c>
      <c r="L92" s="254"/>
      <c r="M92" s="254"/>
      <c r="N92" s="254"/>
      <c r="O92" s="254"/>
      <c r="P92" s="254"/>
      <c r="Q92" s="254"/>
      <c r="R92" s="254"/>
      <c r="S92" s="254"/>
      <c r="T92" s="254"/>
      <c r="U92" s="254"/>
      <c r="V92" s="254"/>
      <c r="W92" s="295"/>
    </row>
    <row r="93" spans="3:23" ht="13.8">
      <c r="C93" s="260" t="s">
        <v>404</v>
      </c>
      <c r="D93" s="260" t="s">
        <v>380</v>
      </c>
      <c r="E93" s="288">
        <v>35.880000000000003</v>
      </c>
      <c r="F93" s="285">
        <v>35.880000000000003</v>
      </c>
      <c r="G93" s="285">
        <v>35.880000000000003</v>
      </c>
      <c r="H93" s="285">
        <v>35.880000000000003</v>
      </c>
      <c r="I93" s="285">
        <v>35.880000000000003</v>
      </c>
      <c r="J93" s="260"/>
      <c r="K93" s="289" t="s">
        <v>638</v>
      </c>
      <c r="L93" s="254"/>
      <c r="M93" s="254"/>
      <c r="N93" s="254"/>
      <c r="O93" s="254"/>
      <c r="P93" s="254"/>
      <c r="Q93" s="254"/>
      <c r="R93" s="254"/>
      <c r="S93" s="254"/>
      <c r="T93" s="254"/>
      <c r="U93" s="254"/>
      <c r="V93" s="254"/>
      <c r="W93" s="295"/>
    </row>
    <row r="94" spans="3:23" ht="13.8">
      <c r="C94" s="260" t="s">
        <v>426</v>
      </c>
      <c r="D94" s="260"/>
      <c r="E94" s="288"/>
      <c r="F94" s="285"/>
      <c r="G94" s="285"/>
      <c r="H94" s="285"/>
      <c r="I94" s="285"/>
      <c r="J94" s="260"/>
      <c r="K94" s="289"/>
      <c r="L94" s="254"/>
      <c r="M94" s="254"/>
      <c r="N94" s="254"/>
      <c r="O94" s="254"/>
      <c r="P94" s="254"/>
      <c r="Q94" s="254"/>
      <c r="R94" s="254"/>
      <c r="S94" s="254"/>
      <c r="T94" s="254"/>
      <c r="U94" s="254"/>
      <c r="V94" s="254"/>
      <c r="W94" s="295"/>
    </row>
    <row r="95" spans="3:23" s="404" customFormat="1" ht="13.8">
      <c r="C95" s="443" t="s">
        <v>635</v>
      </c>
      <c r="D95" s="443" t="s">
        <v>380</v>
      </c>
      <c r="E95" s="452">
        <v>48.61</v>
      </c>
      <c r="F95" s="451">
        <v>48.61</v>
      </c>
      <c r="G95" s="451">
        <v>48.61</v>
      </c>
      <c r="H95" s="451">
        <v>48.61</v>
      </c>
      <c r="I95" s="451">
        <v>48.61</v>
      </c>
      <c r="J95" s="443" t="s">
        <v>440</v>
      </c>
      <c r="K95" s="453" t="s">
        <v>638</v>
      </c>
      <c r="L95" s="441"/>
      <c r="M95" s="441"/>
      <c r="N95" s="441"/>
      <c r="O95" s="441"/>
      <c r="P95" s="441"/>
      <c r="Q95" s="441"/>
      <c r="R95" s="441"/>
      <c r="S95" s="441"/>
      <c r="T95" s="441"/>
      <c r="U95" s="441"/>
      <c r="V95" s="441"/>
      <c r="W95" s="455"/>
    </row>
    <row r="96" spans="3:23" ht="13.8">
      <c r="C96" s="260" t="s">
        <v>405</v>
      </c>
      <c r="D96" s="260" t="s">
        <v>380</v>
      </c>
      <c r="E96" s="288">
        <v>13</v>
      </c>
      <c r="F96" s="285">
        <v>13</v>
      </c>
      <c r="G96" s="285">
        <v>13</v>
      </c>
      <c r="H96" s="285">
        <v>13</v>
      </c>
      <c r="I96" s="285">
        <v>13</v>
      </c>
      <c r="J96" s="260" t="s">
        <v>640</v>
      </c>
      <c r="K96" s="289" t="s">
        <v>638</v>
      </c>
      <c r="L96" s="254"/>
      <c r="M96" s="254"/>
      <c r="N96" s="254"/>
      <c r="O96" s="254"/>
      <c r="P96" s="254"/>
      <c r="Q96" s="254"/>
      <c r="R96" s="254"/>
      <c r="S96" s="254"/>
      <c r="T96" s="254"/>
      <c r="U96" s="254"/>
      <c r="V96" s="254"/>
      <c r="W96" s="295"/>
    </row>
    <row r="97" spans="3:37" ht="13.8">
      <c r="C97" s="260" t="s">
        <v>406</v>
      </c>
      <c r="D97" s="260" t="s">
        <v>380</v>
      </c>
      <c r="E97" s="288">
        <v>5.4</v>
      </c>
      <c r="F97" s="285">
        <v>5.4</v>
      </c>
      <c r="G97" s="285">
        <v>5.4</v>
      </c>
      <c r="H97" s="285">
        <v>5.4</v>
      </c>
      <c r="I97" s="285">
        <v>5.4</v>
      </c>
      <c r="J97" s="260" t="s">
        <v>436</v>
      </c>
      <c r="K97" s="289" t="s">
        <v>431</v>
      </c>
      <c r="L97" s="254"/>
      <c r="M97" s="254"/>
      <c r="N97" s="254"/>
      <c r="O97" s="254"/>
      <c r="P97" s="254"/>
      <c r="Q97" s="254"/>
      <c r="R97" s="254"/>
      <c r="S97" s="254"/>
      <c r="T97" s="254"/>
      <c r="U97" s="254"/>
      <c r="V97" s="254"/>
      <c r="W97" s="295"/>
    </row>
    <row r="98" spans="3:37" ht="13.8">
      <c r="C98" s="260" t="s">
        <v>407</v>
      </c>
      <c r="D98" s="260" t="s">
        <v>380</v>
      </c>
      <c r="E98" s="288">
        <v>5.4</v>
      </c>
      <c r="F98" s="336">
        <v>5.4</v>
      </c>
      <c r="G98" s="336">
        <v>5.4</v>
      </c>
      <c r="H98" s="336">
        <v>5.4</v>
      </c>
      <c r="I98" s="336">
        <v>5.4</v>
      </c>
      <c r="J98" s="337" t="s">
        <v>441</v>
      </c>
      <c r="K98" s="286"/>
      <c r="L98" s="254"/>
      <c r="M98" s="254"/>
      <c r="N98" s="254"/>
      <c r="O98" s="254"/>
      <c r="P98" s="254"/>
      <c r="Q98" s="254"/>
      <c r="R98" s="254"/>
      <c r="S98" s="254"/>
      <c r="T98" s="254"/>
      <c r="U98" s="254"/>
      <c r="V98" s="254"/>
      <c r="W98" s="295"/>
    </row>
    <row r="99" spans="3:37" ht="13.8">
      <c r="C99" s="260" t="s">
        <v>408</v>
      </c>
      <c r="D99" s="260" t="s">
        <v>380</v>
      </c>
      <c r="E99" s="288">
        <v>0.26</v>
      </c>
      <c r="F99" s="288">
        <v>0.26</v>
      </c>
      <c r="G99" s="288">
        <v>0.23</v>
      </c>
      <c r="H99" s="288">
        <v>0.22</v>
      </c>
      <c r="I99" s="288">
        <v>0</v>
      </c>
      <c r="J99" s="338" t="s">
        <v>442</v>
      </c>
      <c r="K99" s="290" t="s">
        <v>641</v>
      </c>
      <c r="L99" s="254"/>
      <c r="M99" s="254"/>
      <c r="N99" s="254"/>
      <c r="O99" s="254"/>
      <c r="P99" s="254"/>
      <c r="Q99" s="254"/>
      <c r="R99" s="254"/>
      <c r="S99" s="254"/>
      <c r="T99" s="254"/>
      <c r="U99" s="254"/>
      <c r="V99" s="254"/>
      <c r="W99" s="295"/>
    </row>
    <row r="100" spans="3:37" ht="13.8">
      <c r="C100" s="260" t="s">
        <v>409</v>
      </c>
      <c r="D100" s="260" t="s">
        <v>380</v>
      </c>
      <c r="E100" s="288">
        <v>0.26</v>
      </c>
      <c r="F100" s="288">
        <v>0.26</v>
      </c>
      <c r="G100" s="288">
        <v>0.23</v>
      </c>
      <c r="H100" s="288">
        <v>0.22</v>
      </c>
      <c r="I100" s="288">
        <v>0</v>
      </c>
      <c r="J100" s="338" t="s">
        <v>442</v>
      </c>
      <c r="K100" s="290" t="s">
        <v>641</v>
      </c>
      <c r="L100" s="254"/>
      <c r="M100" s="254"/>
      <c r="N100" s="254"/>
      <c r="O100" s="254"/>
      <c r="P100" s="254"/>
      <c r="Q100" s="254"/>
      <c r="R100" s="254"/>
      <c r="S100" s="254"/>
      <c r="T100" s="254"/>
      <c r="U100" s="254"/>
      <c r="V100" s="254"/>
      <c r="W100" s="295"/>
    </row>
    <row r="101" spans="3:37" ht="13.8">
      <c r="C101" s="260" t="s">
        <v>410</v>
      </c>
      <c r="D101" s="260" t="s">
        <v>380</v>
      </c>
      <c r="E101" s="288">
        <v>15.32</v>
      </c>
      <c r="F101" s="285">
        <v>15.32</v>
      </c>
      <c r="G101" s="285">
        <v>15.32</v>
      </c>
      <c r="H101" s="285">
        <v>15.32</v>
      </c>
      <c r="I101" s="285">
        <v>15.32</v>
      </c>
      <c r="J101" s="260"/>
      <c r="K101" s="290" t="s">
        <v>642</v>
      </c>
      <c r="L101" s="254"/>
      <c r="M101" s="254"/>
      <c r="N101" s="254"/>
      <c r="O101" s="254"/>
      <c r="P101" s="254"/>
      <c r="Q101" s="254"/>
      <c r="R101" s="254"/>
      <c r="S101" s="254"/>
      <c r="T101" s="254"/>
      <c r="U101" s="254"/>
      <c r="V101" s="254"/>
      <c r="W101" s="295"/>
    </row>
    <row r="102" spans="3:37" ht="13.8">
      <c r="C102" s="260" t="s">
        <v>411</v>
      </c>
      <c r="D102" s="260" t="s">
        <v>380</v>
      </c>
      <c r="E102" s="288">
        <v>22.6</v>
      </c>
      <c r="F102" s="285">
        <v>22.6</v>
      </c>
      <c r="G102" s="285">
        <v>23.19</v>
      </c>
      <c r="H102" s="285">
        <v>21.56</v>
      </c>
      <c r="I102" s="285">
        <v>19.3</v>
      </c>
      <c r="J102" s="260"/>
      <c r="K102" s="289"/>
      <c r="L102" s="254"/>
      <c r="M102" s="254"/>
      <c r="N102" s="254"/>
      <c r="O102" s="254"/>
      <c r="P102" s="254"/>
      <c r="Q102" s="254"/>
      <c r="R102" s="254"/>
      <c r="S102" s="254"/>
      <c r="T102" s="254"/>
      <c r="U102" s="254"/>
      <c r="V102" s="254"/>
      <c r="W102" s="295"/>
      <c r="X102" s="254"/>
      <c r="Y102" s="254"/>
      <c r="Z102" s="254"/>
      <c r="AA102" s="254"/>
      <c r="AB102" s="254"/>
      <c r="AC102" s="254"/>
      <c r="AD102" s="254"/>
      <c r="AE102" s="254"/>
      <c r="AF102" s="254"/>
      <c r="AG102" s="254"/>
      <c r="AH102" s="254"/>
      <c r="AI102" s="254"/>
      <c r="AJ102" s="254"/>
      <c r="AK102" s="254"/>
    </row>
    <row r="103" spans="3:37" ht="13.8">
      <c r="C103" s="260" t="s">
        <v>412</v>
      </c>
      <c r="D103" s="260" t="s">
        <v>380</v>
      </c>
      <c r="E103" s="288">
        <v>3.53</v>
      </c>
      <c r="F103" s="339">
        <v>3.53</v>
      </c>
      <c r="G103" s="339">
        <v>3.53</v>
      </c>
      <c r="H103" s="339">
        <v>3.53</v>
      </c>
      <c r="I103" s="339">
        <v>3.53</v>
      </c>
      <c r="J103" s="338" t="s">
        <v>443</v>
      </c>
      <c r="K103" s="340"/>
      <c r="L103" s="254"/>
      <c r="M103" s="254"/>
      <c r="N103" s="254"/>
      <c r="O103" s="254"/>
      <c r="P103" s="254"/>
      <c r="Q103" s="254"/>
      <c r="R103" s="254"/>
      <c r="S103" s="254"/>
      <c r="T103" s="254"/>
      <c r="U103" s="254"/>
      <c r="V103" s="254"/>
      <c r="W103" s="295"/>
      <c r="X103" s="254"/>
      <c r="Y103" s="254"/>
      <c r="Z103" s="254"/>
      <c r="AA103" s="254"/>
      <c r="AB103" s="254"/>
      <c r="AC103" s="254"/>
      <c r="AD103" s="254"/>
      <c r="AE103" s="254"/>
      <c r="AF103" s="254"/>
      <c r="AG103" s="254"/>
      <c r="AH103" s="254"/>
      <c r="AI103" s="254"/>
      <c r="AJ103" s="254"/>
      <c r="AK103" s="254"/>
    </row>
    <row r="104" spans="3:37" ht="13.8">
      <c r="C104" s="260" t="s">
        <v>413</v>
      </c>
      <c r="D104" s="260" t="s">
        <v>380</v>
      </c>
      <c r="E104" s="288">
        <v>24.16</v>
      </c>
      <c r="F104" s="284">
        <v>24.16</v>
      </c>
      <c r="G104" s="284">
        <v>24.16</v>
      </c>
      <c r="H104" s="284">
        <v>24.16</v>
      </c>
      <c r="I104" s="284">
        <v>24.16</v>
      </c>
      <c r="J104" s="338" t="s">
        <v>444</v>
      </c>
      <c r="K104" s="290" t="s">
        <v>431</v>
      </c>
      <c r="L104" s="254"/>
      <c r="M104" s="254"/>
      <c r="N104" s="254"/>
      <c r="O104" s="254"/>
      <c r="P104" s="254"/>
      <c r="Q104" s="254"/>
      <c r="R104" s="254"/>
      <c r="S104" s="254"/>
      <c r="T104" s="254"/>
      <c r="U104" s="254"/>
      <c r="V104" s="254"/>
      <c r="W104" s="261"/>
      <c r="X104" s="254"/>
      <c r="Y104" s="254"/>
      <c r="Z104" s="254"/>
      <c r="AA104" s="254"/>
      <c r="AB104" s="254"/>
      <c r="AC104" s="254"/>
      <c r="AD104" s="254"/>
      <c r="AE104" s="254"/>
      <c r="AF104" s="254"/>
      <c r="AG104" s="254"/>
      <c r="AH104" s="254"/>
      <c r="AI104" s="254"/>
      <c r="AJ104" s="254"/>
      <c r="AK104" s="254"/>
    </row>
    <row r="105" spans="3:37" ht="13.8">
      <c r="C105" s="260" t="s">
        <v>414</v>
      </c>
      <c r="D105" s="260" t="s">
        <v>380</v>
      </c>
      <c r="E105" s="288">
        <v>67.930000000000007</v>
      </c>
      <c r="F105" s="284">
        <v>67.930000000000007</v>
      </c>
      <c r="G105" s="284">
        <v>67.930000000000007</v>
      </c>
      <c r="H105" s="284">
        <v>67.930000000000007</v>
      </c>
      <c r="I105" s="284">
        <v>67.930000000000007</v>
      </c>
      <c r="J105" s="260" t="s">
        <v>440</v>
      </c>
      <c r="K105" s="290" t="s">
        <v>431</v>
      </c>
      <c r="L105" s="254"/>
      <c r="M105" s="254"/>
      <c r="N105" s="254"/>
      <c r="O105" s="254"/>
      <c r="P105" s="254"/>
      <c r="Q105" s="254"/>
      <c r="R105" s="254"/>
      <c r="S105" s="254"/>
      <c r="T105" s="254"/>
      <c r="U105" s="254"/>
      <c r="V105" s="254"/>
      <c r="W105" s="295"/>
      <c r="X105" s="254"/>
      <c r="Y105" s="254"/>
      <c r="Z105" s="254"/>
      <c r="AA105" s="254"/>
      <c r="AB105" s="254"/>
      <c r="AC105" s="254"/>
      <c r="AD105" s="254"/>
      <c r="AE105" s="254"/>
      <c r="AF105" s="254"/>
      <c r="AG105" s="254"/>
      <c r="AH105" s="254"/>
      <c r="AI105" s="254"/>
      <c r="AJ105" s="254"/>
      <c r="AK105" s="254"/>
    </row>
    <row r="106" spans="3:37" ht="13.8">
      <c r="C106" s="254"/>
      <c r="D106" s="254"/>
      <c r="E106" s="254"/>
      <c r="F106" s="254"/>
      <c r="G106" s="254"/>
      <c r="H106" s="254"/>
      <c r="I106" s="254"/>
      <c r="J106" s="254"/>
      <c r="K106" s="254"/>
      <c r="L106" s="254"/>
      <c r="M106" s="254"/>
      <c r="N106" s="254"/>
      <c r="O106" s="254"/>
      <c r="P106" s="254"/>
      <c r="Q106" s="254"/>
      <c r="R106" s="254"/>
      <c r="S106" s="254"/>
      <c r="T106" s="254"/>
      <c r="U106" s="254"/>
      <c r="V106" s="254"/>
      <c r="W106" s="254"/>
      <c r="X106" s="254"/>
      <c r="Y106" s="254"/>
      <c r="Z106" s="256"/>
      <c r="AA106" s="256"/>
      <c r="AB106" s="256"/>
      <c r="AC106" s="256"/>
      <c r="AD106" s="256"/>
      <c r="AE106" s="256"/>
      <c r="AF106" s="256"/>
      <c r="AG106" s="256"/>
      <c r="AH106" s="256"/>
      <c r="AI106" s="256"/>
      <c r="AJ106" s="256"/>
      <c r="AK106" s="256"/>
    </row>
    <row r="107" spans="3:37" ht="14.4">
      <c r="C107" s="326" t="s">
        <v>445</v>
      </c>
      <c r="D107" s="254"/>
      <c r="E107" s="254"/>
      <c r="F107" s="254"/>
      <c r="G107" s="254" t="s">
        <v>446</v>
      </c>
      <c r="H107" s="254" t="s">
        <v>446</v>
      </c>
      <c r="I107" s="254" t="s">
        <v>447</v>
      </c>
      <c r="J107" s="254" t="s">
        <v>447</v>
      </c>
      <c r="K107" s="254" t="s">
        <v>448</v>
      </c>
      <c r="L107" s="254"/>
      <c r="M107" s="254"/>
      <c r="N107" s="254"/>
      <c r="O107" s="254"/>
      <c r="P107" s="254"/>
      <c r="Q107" s="254"/>
      <c r="R107" s="254"/>
      <c r="S107" s="254"/>
      <c r="T107" s="254"/>
      <c r="U107" s="254"/>
      <c r="V107" s="254"/>
      <c r="W107" s="254"/>
      <c r="X107" s="254"/>
      <c r="Y107" s="254"/>
      <c r="Z107" s="256"/>
      <c r="AA107" s="256"/>
      <c r="AB107" s="256"/>
      <c r="AC107" s="256"/>
      <c r="AD107" s="256"/>
      <c r="AE107" s="256"/>
      <c r="AF107" s="256"/>
      <c r="AG107" s="256"/>
      <c r="AH107" s="256"/>
      <c r="AI107" s="256"/>
      <c r="AJ107" s="256"/>
      <c r="AK107" s="256"/>
    </row>
    <row r="108" spans="3:37" ht="14.4">
      <c r="C108" s="281" t="s">
        <v>419</v>
      </c>
      <c r="D108" s="281" t="s">
        <v>6</v>
      </c>
      <c r="E108" s="281" t="s">
        <v>428</v>
      </c>
      <c r="F108" s="281" t="s">
        <v>449</v>
      </c>
      <c r="G108" s="291" t="s">
        <v>450</v>
      </c>
      <c r="H108" s="291" t="s">
        <v>451</v>
      </c>
      <c r="I108" s="281" t="s">
        <v>450</v>
      </c>
      <c r="J108" s="281" t="s">
        <v>451</v>
      </c>
      <c r="K108" s="281" t="s">
        <v>450</v>
      </c>
      <c r="L108" s="281" t="s">
        <v>451</v>
      </c>
      <c r="M108" s="281" t="s">
        <v>429</v>
      </c>
      <c r="N108" s="281" t="s">
        <v>319</v>
      </c>
      <c r="O108" s="254"/>
      <c r="P108" s="254"/>
      <c r="Q108" s="254"/>
      <c r="R108" s="254"/>
      <c r="S108" s="254"/>
      <c r="T108" s="254"/>
      <c r="U108" s="254"/>
      <c r="V108" s="254"/>
      <c r="W108" s="254"/>
      <c r="X108" s="254"/>
      <c r="Y108" s="254"/>
      <c r="Z108" s="256"/>
      <c r="AA108" s="361"/>
      <c r="AB108" s="256"/>
      <c r="AC108" s="256"/>
      <c r="AD108" s="256"/>
      <c r="AE108" s="256"/>
      <c r="AF108" s="256"/>
      <c r="AG108" s="256"/>
      <c r="AH108" s="256"/>
      <c r="AI108" s="256"/>
      <c r="AJ108" s="256"/>
      <c r="AK108" s="256"/>
    </row>
    <row r="109" spans="3:37" ht="13.8">
      <c r="C109" s="260" t="s">
        <v>401</v>
      </c>
      <c r="D109" s="260" t="s">
        <v>452</v>
      </c>
      <c r="E109" s="288">
        <v>9.2799999999999994</v>
      </c>
      <c r="F109" s="283">
        <v>0</v>
      </c>
      <c r="G109" s="283">
        <v>21</v>
      </c>
      <c r="H109" s="283">
        <v>154</v>
      </c>
      <c r="I109" s="290">
        <v>87</v>
      </c>
      <c r="J109" s="290">
        <v>329</v>
      </c>
      <c r="K109" s="290">
        <v>9</v>
      </c>
      <c r="L109" s="290">
        <v>21</v>
      </c>
      <c r="M109" s="260"/>
      <c r="N109" s="289" t="s">
        <v>453</v>
      </c>
      <c r="O109" s="254"/>
      <c r="P109" s="254"/>
      <c r="Q109" s="254"/>
      <c r="R109" s="254"/>
      <c r="S109" s="254"/>
      <c r="T109" s="254"/>
      <c r="U109" s="254"/>
      <c r="V109" s="254"/>
      <c r="W109" s="254"/>
      <c r="X109" s="254"/>
      <c r="Y109" s="254"/>
      <c r="Z109" s="256"/>
      <c r="AA109" s="270"/>
      <c r="AB109" s="270"/>
      <c r="AC109" s="270"/>
      <c r="AD109" s="270"/>
      <c r="AE109" s="270"/>
      <c r="AF109" s="270"/>
      <c r="AG109" s="256"/>
      <c r="AH109" s="256"/>
      <c r="AI109" s="256"/>
      <c r="AJ109" s="256"/>
      <c r="AK109" s="256"/>
    </row>
    <row r="110" spans="3:37" ht="13.8">
      <c r="C110" s="260" t="s">
        <v>402</v>
      </c>
      <c r="D110" s="260" t="s">
        <v>452</v>
      </c>
      <c r="E110" s="288">
        <v>8.94</v>
      </c>
      <c r="F110" s="283">
        <v>0</v>
      </c>
      <c r="G110" s="337">
        <v>21</v>
      </c>
      <c r="H110" s="337">
        <v>154</v>
      </c>
      <c r="I110" s="337">
        <v>87</v>
      </c>
      <c r="J110" s="337">
        <v>329</v>
      </c>
      <c r="K110" s="290">
        <v>9</v>
      </c>
      <c r="L110" s="290">
        <v>36</v>
      </c>
      <c r="M110" s="260"/>
      <c r="N110" s="286" t="s">
        <v>454</v>
      </c>
      <c r="O110" s="254"/>
      <c r="P110" s="254"/>
      <c r="Q110" s="254"/>
      <c r="R110" s="254"/>
      <c r="S110" s="254"/>
      <c r="T110" s="254"/>
      <c r="U110" s="254"/>
      <c r="V110" s="254"/>
      <c r="W110" s="254"/>
      <c r="X110" s="254"/>
      <c r="Y110" s="254"/>
      <c r="Z110" s="256"/>
      <c r="AA110" s="270"/>
      <c r="AB110" s="254"/>
      <c r="AC110" s="254"/>
      <c r="AD110" s="254"/>
      <c r="AE110" s="254"/>
      <c r="AF110" s="254"/>
      <c r="AG110" s="254"/>
      <c r="AH110" s="254"/>
      <c r="AI110" s="254"/>
      <c r="AJ110" s="254"/>
      <c r="AK110" s="254"/>
    </row>
    <row r="111" spans="3:37" ht="13.8">
      <c r="C111" s="260" t="s">
        <v>403</v>
      </c>
      <c r="D111" s="260" t="s">
        <v>452</v>
      </c>
      <c r="E111" s="288">
        <v>0</v>
      </c>
      <c r="F111" s="283">
        <v>0</v>
      </c>
      <c r="G111" s="283">
        <v>6</v>
      </c>
      <c r="H111" s="283">
        <v>6</v>
      </c>
      <c r="I111" s="290">
        <v>-4</v>
      </c>
      <c r="J111" s="290">
        <v>-4</v>
      </c>
      <c r="K111" s="337">
        <v>0</v>
      </c>
      <c r="L111" s="337"/>
      <c r="M111" s="260"/>
      <c r="N111" s="289" t="s">
        <v>455</v>
      </c>
      <c r="O111" s="254"/>
      <c r="P111" s="254"/>
      <c r="Q111" s="254"/>
      <c r="R111" s="254"/>
      <c r="S111" s="254"/>
      <c r="T111" s="254"/>
      <c r="U111" s="254"/>
      <c r="V111" s="254"/>
      <c r="W111" s="254"/>
      <c r="X111" s="254"/>
      <c r="Y111" s="254"/>
      <c r="Z111" s="256"/>
      <c r="AA111" s="270"/>
      <c r="AB111" s="254"/>
      <c r="AC111" s="254"/>
      <c r="AD111" s="254"/>
      <c r="AE111" s="254"/>
      <c r="AF111" s="254"/>
      <c r="AG111" s="254"/>
      <c r="AH111" s="254"/>
      <c r="AI111" s="254"/>
      <c r="AJ111" s="254"/>
      <c r="AK111" s="254"/>
    </row>
    <row r="112" spans="3:37" ht="13.8">
      <c r="C112" s="260" t="s">
        <v>404</v>
      </c>
      <c r="D112" s="260" t="s">
        <v>452</v>
      </c>
      <c r="E112" s="288">
        <v>33.049999999999997</v>
      </c>
      <c r="F112" s="283">
        <v>0</v>
      </c>
      <c r="G112" s="283">
        <v>22</v>
      </c>
      <c r="H112" s="283">
        <v>180</v>
      </c>
      <c r="I112" s="290">
        <v>97</v>
      </c>
      <c r="J112" s="290">
        <v>339</v>
      </c>
      <c r="K112" s="290">
        <v>33</v>
      </c>
      <c r="L112" s="290">
        <v>35</v>
      </c>
      <c r="M112" s="260"/>
      <c r="N112" s="289" t="s">
        <v>453</v>
      </c>
      <c r="O112" s="254"/>
      <c r="P112" s="254"/>
      <c r="Q112" s="254"/>
      <c r="R112" s="254"/>
      <c r="S112" s="254"/>
      <c r="T112" s="254"/>
      <c r="U112" s="254"/>
      <c r="V112" s="254"/>
      <c r="W112" s="254"/>
      <c r="X112" s="254"/>
      <c r="Y112" s="261"/>
      <c r="Z112" s="256"/>
      <c r="AA112" s="270"/>
      <c r="AB112" s="256"/>
      <c r="AC112" s="256"/>
      <c r="AD112" s="256"/>
      <c r="AE112" s="256"/>
      <c r="AF112" s="256"/>
      <c r="AG112" s="256"/>
      <c r="AH112" s="256"/>
      <c r="AI112" s="256"/>
      <c r="AJ112" s="256"/>
      <c r="AK112" s="256"/>
    </row>
    <row r="113" spans="3:37" ht="13.8">
      <c r="C113" s="260" t="s">
        <v>426</v>
      </c>
      <c r="D113" s="260"/>
      <c r="E113" s="288">
        <v>0</v>
      </c>
      <c r="F113" s="283"/>
      <c r="G113" s="283"/>
      <c r="H113" s="283"/>
      <c r="I113" s="290"/>
      <c r="J113" s="290"/>
      <c r="K113" s="290"/>
      <c r="L113" s="290"/>
      <c r="M113" s="260"/>
      <c r="N113" s="289"/>
      <c r="O113" s="254"/>
      <c r="P113" s="254"/>
      <c r="Q113" s="254"/>
      <c r="R113" s="254"/>
      <c r="S113" s="254"/>
      <c r="T113" s="254"/>
      <c r="U113" s="254"/>
      <c r="V113" s="254"/>
      <c r="W113" s="254"/>
      <c r="X113" s="254"/>
      <c r="Y113" s="261"/>
      <c r="Z113" s="256"/>
      <c r="AA113" s="270"/>
      <c r="AB113" s="256"/>
      <c r="AC113" s="256"/>
      <c r="AD113" s="256"/>
      <c r="AE113" s="256"/>
      <c r="AF113" s="256"/>
      <c r="AG113" s="256"/>
      <c r="AH113" s="256"/>
      <c r="AI113" s="256"/>
      <c r="AJ113" s="256"/>
      <c r="AK113" s="256"/>
    </row>
    <row r="114" spans="3:37" s="404" customFormat="1" ht="13.8">
      <c r="C114" s="443"/>
      <c r="D114" s="443"/>
      <c r="E114" s="452"/>
      <c r="F114" s="449"/>
      <c r="G114" s="449"/>
      <c r="H114" s="449"/>
      <c r="I114" s="454"/>
      <c r="J114" s="454"/>
      <c r="K114" s="454"/>
      <c r="L114" s="454"/>
      <c r="M114" s="443"/>
      <c r="N114" s="453"/>
      <c r="O114" s="441"/>
      <c r="P114" s="441"/>
      <c r="Q114" s="441"/>
      <c r="R114" s="441"/>
      <c r="S114" s="441"/>
      <c r="T114" s="441"/>
      <c r="U114" s="441"/>
      <c r="V114" s="441"/>
      <c r="W114" s="441"/>
      <c r="X114" s="441"/>
      <c r="Y114" s="444"/>
      <c r="Z114" s="442"/>
      <c r="AA114" s="447"/>
      <c r="AB114" s="442"/>
      <c r="AC114" s="442"/>
      <c r="AD114" s="442"/>
      <c r="AE114" s="442"/>
      <c r="AF114" s="442"/>
      <c r="AG114" s="442"/>
      <c r="AH114" s="442"/>
      <c r="AI114" s="442"/>
      <c r="AJ114" s="442"/>
      <c r="AK114" s="442"/>
    </row>
    <row r="115" spans="3:37" ht="13.8">
      <c r="C115" s="260" t="s">
        <v>405</v>
      </c>
      <c r="D115" s="260" t="s">
        <v>452</v>
      </c>
      <c r="E115" s="288">
        <v>0</v>
      </c>
      <c r="F115" s="283">
        <v>0</v>
      </c>
      <c r="G115" s="296"/>
      <c r="H115" s="296"/>
      <c r="I115" s="296"/>
      <c r="J115" s="296"/>
      <c r="K115" s="296"/>
      <c r="L115" s="296"/>
      <c r="M115" s="296" t="s">
        <v>456</v>
      </c>
      <c r="N115" s="341"/>
      <c r="O115" s="254"/>
      <c r="P115" s="254"/>
      <c r="Q115" s="254"/>
      <c r="R115" s="254"/>
      <c r="S115" s="254"/>
      <c r="T115" s="254"/>
      <c r="U115" s="254"/>
      <c r="V115" s="254"/>
      <c r="W115" s="254"/>
      <c r="X115" s="254"/>
      <c r="Y115" s="261"/>
      <c r="Z115" s="256"/>
      <c r="AA115" s="270"/>
      <c r="AB115" s="254"/>
      <c r="AC115" s="254"/>
      <c r="AD115" s="254"/>
      <c r="AE115" s="254"/>
      <c r="AF115" s="254"/>
      <c r="AG115" s="254"/>
      <c r="AH115" s="254"/>
      <c r="AI115" s="254"/>
      <c r="AJ115" s="254"/>
      <c r="AK115" s="254"/>
    </row>
    <row r="116" spans="3:37" ht="13.8">
      <c r="C116" s="260" t="s">
        <v>406</v>
      </c>
      <c r="D116" s="260" t="s">
        <v>452</v>
      </c>
      <c r="E116" s="288">
        <v>0</v>
      </c>
      <c r="F116" s="283">
        <v>0</v>
      </c>
      <c r="G116" s="337">
        <v>-17</v>
      </c>
      <c r="H116" s="337">
        <v>-17</v>
      </c>
      <c r="I116" s="290">
        <v>-17</v>
      </c>
      <c r="J116" s="290">
        <v>-17</v>
      </c>
      <c r="K116" s="337">
        <v>0</v>
      </c>
      <c r="L116" s="337">
        <v>0</v>
      </c>
      <c r="M116" s="260"/>
      <c r="N116" s="289" t="s">
        <v>455</v>
      </c>
      <c r="O116" s="254"/>
      <c r="P116" s="254"/>
      <c r="Q116" s="254"/>
      <c r="R116" s="254"/>
      <c r="S116" s="254"/>
      <c r="T116" s="254"/>
      <c r="U116" s="254"/>
      <c r="V116" s="254"/>
      <c r="W116" s="254"/>
      <c r="X116" s="254"/>
      <c r="Y116" s="254"/>
      <c r="Z116" s="256"/>
      <c r="AA116" s="270"/>
      <c r="AB116" s="254"/>
      <c r="AC116" s="254"/>
      <c r="AD116" s="254"/>
      <c r="AE116" s="254"/>
      <c r="AF116" s="254"/>
      <c r="AG116" s="254"/>
      <c r="AH116" s="254"/>
      <c r="AI116" s="254"/>
      <c r="AJ116" s="254"/>
      <c r="AK116" s="254"/>
    </row>
    <row r="117" spans="3:37" ht="13.8">
      <c r="C117" s="260" t="s">
        <v>407</v>
      </c>
      <c r="D117" s="260" t="s">
        <v>452</v>
      </c>
      <c r="E117" s="288">
        <v>0</v>
      </c>
      <c r="F117" s="283">
        <v>0</v>
      </c>
      <c r="G117" s="337">
        <v>-17</v>
      </c>
      <c r="H117" s="337">
        <v>-17</v>
      </c>
      <c r="I117" s="337">
        <v>-17</v>
      </c>
      <c r="J117" s="337">
        <v>-17</v>
      </c>
      <c r="K117" s="337">
        <v>0</v>
      </c>
      <c r="L117" s="337">
        <v>0</v>
      </c>
      <c r="M117" s="260"/>
      <c r="N117" s="289" t="s">
        <v>457</v>
      </c>
      <c r="O117" s="254"/>
      <c r="P117" s="254"/>
      <c r="Q117" s="254"/>
      <c r="R117" s="254"/>
      <c r="S117" s="254"/>
      <c r="T117" s="254"/>
      <c r="U117" s="254"/>
      <c r="V117" s="254"/>
      <c r="W117" s="254"/>
      <c r="X117" s="254"/>
      <c r="Y117" s="254"/>
      <c r="Z117" s="256"/>
      <c r="AA117" s="270"/>
      <c r="AB117" s="256"/>
      <c r="AC117" s="256"/>
      <c r="AD117" s="256"/>
      <c r="AE117" s="256"/>
      <c r="AF117" s="256"/>
      <c r="AG117" s="256"/>
      <c r="AH117" s="256"/>
      <c r="AI117" s="256"/>
      <c r="AJ117" s="256"/>
      <c r="AK117" s="256"/>
    </row>
    <row r="118" spans="3:37" ht="13.8">
      <c r="C118" s="260" t="s">
        <v>408</v>
      </c>
      <c r="D118" s="260" t="s">
        <v>452</v>
      </c>
      <c r="E118" s="288">
        <v>0</v>
      </c>
      <c r="F118" s="283">
        <v>0</v>
      </c>
      <c r="G118" s="296"/>
      <c r="H118" s="296"/>
      <c r="I118" s="296"/>
      <c r="J118" s="296"/>
      <c r="K118" s="296"/>
      <c r="L118" s="296"/>
      <c r="M118" s="296" t="s">
        <v>456</v>
      </c>
      <c r="N118" s="341"/>
      <c r="O118" s="254"/>
      <c r="P118" s="254"/>
      <c r="Q118" s="254"/>
      <c r="R118" s="254"/>
      <c r="S118" s="254"/>
      <c r="T118" s="254"/>
      <c r="U118" s="254"/>
      <c r="V118" s="254"/>
      <c r="W118" s="254"/>
      <c r="X118" s="254"/>
      <c r="Y118" s="254"/>
      <c r="Z118" s="256"/>
      <c r="AA118" s="270"/>
      <c r="AB118" s="256"/>
      <c r="AC118" s="256"/>
      <c r="AD118" s="256"/>
      <c r="AE118" s="256"/>
      <c r="AF118" s="256"/>
      <c r="AG118" s="256"/>
      <c r="AH118" s="256"/>
      <c r="AI118" s="256"/>
      <c r="AJ118" s="256"/>
      <c r="AK118" s="256"/>
    </row>
    <row r="119" spans="3:37" ht="13.8">
      <c r="C119" s="260" t="s">
        <v>409</v>
      </c>
      <c r="D119" s="260" t="s">
        <v>452</v>
      </c>
      <c r="E119" s="288">
        <v>0</v>
      </c>
      <c r="F119" s="283">
        <v>0</v>
      </c>
      <c r="G119" s="296"/>
      <c r="H119" s="296"/>
      <c r="I119" s="296"/>
      <c r="J119" s="296"/>
      <c r="K119" s="296"/>
      <c r="L119" s="296"/>
      <c r="M119" s="296" t="s">
        <v>456</v>
      </c>
      <c r="N119" s="341"/>
      <c r="O119" s="254"/>
      <c r="P119" s="254"/>
      <c r="Q119" s="254"/>
      <c r="R119" s="254"/>
      <c r="S119" s="254"/>
      <c r="T119" s="254"/>
      <c r="U119" s="254"/>
      <c r="V119" s="254"/>
      <c r="W119" s="254"/>
      <c r="X119" s="254"/>
      <c r="Y119" s="254"/>
      <c r="Z119" s="256"/>
      <c r="AA119" s="270"/>
      <c r="AB119" s="254"/>
      <c r="AC119" s="254"/>
      <c r="AD119" s="254"/>
      <c r="AE119" s="254"/>
      <c r="AF119" s="254"/>
      <c r="AG119" s="254"/>
      <c r="AH119" s="254"/>
      <c r="AI119" s="254"/>
      <c r="AJ119" s="254"/>
      <c r="AK119" s="254"/>
    </row>
    <row r="120" spans="3:37" ht="13.8">
      <c r="C120" s="260" t="s">
        <v>410</v>
      </c>
      <c r="D120" s="260" t="s">
        <v>452</v>
      </c>
      <c r="E120" s="288">
        <v>0</v>
      </c>
      <c r="F120" s="283">
        <v>0</v>
      </c>
      <c r="G120" s="296"/>
      <c r="H120" s="296"/>
      <c r="I120" s="296"/>
      <c r="J120" s="296"/>
      <c r="K120" s="296"/>
      <c r="L120" s="296"/>
      <c r="M120" s="296" t="s">
        <v>456</v>
      </c>
      <c r="N120" s="341"/>
      <c r="O120" s="254"/>
      <c r="P120" s="254"/>
      <c r="Q120" s="254"/>
      <c r="R120" s="254"/>
      <c r="S120" s="254"/>
      <c r="T120" s="254"/>
      <c r="U120" s="254"/>
      <c r="V120" s="254"/>
      <c r="W120" s="254"/>
      <c r="X120" s="254"/>
      <c r="Y120" s="254"/>
      <c r="Z120" s="256"/>
      <c r="AA120" s="270"/>
      <c r="AB120" s="254"/>
      <c r="AC120" s="254"/>
      <c r="AD120" s="254"/>
      <c r="AE120" s="254"/>
      <c r="AF120" s="254"/>
      <c r="AG120" s="254"/>
      <c r="AH120" s="254"/>
      <c r="AI120" s="254"/>
      <c r="AJ120" s="254"/>
      <c r="AK120" s="254"/>
    </row>
    <row r="121" spans="3:37" ht="13.8">
      <c r="C121" s="260" t="s">
        <v>411</v>
      </c>
      <c r="D121" s="260" t="s">
        <v>452</v>
      </c>
      <c r="E121" s="288">
        <v>0</v>
      </c>
      <c r="F121" s="283">
        <v>0</v>
      </c>
      <c r="G121" s="296"/>
      <c r="H121" s="296"/>
      <c r="I121" s="296"/>
      <c r="J121" s="296"/>
      <c r="K121" s="296"/>
      <c r="L121" s="296"/>
      <c r="M121" s="296" t="s">
        <v>456</v>
      </c>
      <c r="N121" s="341"/>
      <c r="O121" s="254"/>
      <c r="P121" s="254"/>
      <c r="Q121" s="254"/>
      <c r="R121" s="254"/>
      <c r="S121" s="254"/>
      <c r="T121" s="254"/>
      <c r="U121" s="254"/>
      <c r="V121" s="254"/>
      <c r="W121" s="254"/>
      <c r="X121" s="254"/>
      <c r="Y121" s="254"/>
      <c r="Z121" s="256"/>
      <c r="AA121" s="270"/>
      <c r="AB121" s="256"/>
      <c r="AC121" s="256"/>
      <c r="AD121" s="256"/>
      <c r="AE121" s="256"/>
      <c r="AF121" s="256"/>
      <c r="AG121" s="256"/>
      <c r="AH121" s="256"/>
      <c r="AI121" s="256"/>
      <c r="AJ121" s="256"/>
      <c r="AK121" s="256"/>
    </row>
    <row r="122" spans="3:37" ht="13.8">
      <c r="C122" s="260" t="s">
        <v>412</v>
      </c>
      <c r="D122" s="260" t="s">
        <v>452</v>
      </c>
      <c r="E122" s="288">
        <v>0</v>
      </c>
      <c r="F122" s="283">
        <v>0</v>
      </c>
      <c r="G122" s="296"/>
      <c r="H122" s="296"/>
      <c r="I122" s="296"/>
      <c r="J122" s="296"/>
      <c r="K122" s="296"/>
      <c r="L122" s="296"/>
      <c r="M122" s="260" t="s">
        <v>458</v>
      </c>
      <c r="N122" s="260"/>
      <c r="O122" s="254"/>
      <c r="P122" s="254"/>
      <c r="Q122" s="254"/>
      <c r="R122" s="254"/>
      <c r="S122" s="254"/>
      <c r="T122" s="254"/>
      <c r="U122" s="254"/>
      <c r="V122" s="254"/>
      <c r="W122" s="254"/>
      <c r="X122" s="254"/>
      <c r="Y122" s="254"/>
      <c r="Z122" s="256"/>
      <c r="AA122" s="270"/>
      <c r="AB122" s="256"/>
      <c r="AC122" s="256"/>
      <c r="AD122" s="256"/>
      <c r="AE122" s="256"/>
      <c r="AF122" s="256"/>
      <c r="AG122" s="256"/>
      <c r="AH122" s="256"/>
      <c r="AI122" s="256"/>
      <c r="AJ122" s="256"/>
      <c r="AK122" s="256"/>
    </row>
    <row r="123" spans="3:37" ht="13.8">
      <c r="C123" s="260" t="s">
        <v>413</v>
      </c>
      <c r="D123" s="260" t="s">
        <v>452</v>
      </c>
      <c r="E123" s="288">
        <v>0</v>
      </c>
      <c r="F123" s="283">
        <v>0</v>
      </c>
      <c r="G123" s="283">
        <v>18</v>
      </c>
      <c r="H123" s="283">
        <v>71</v>
      </c>
      <c r="I123" s="354">
        <v>18</v>
      </c>
      <c r="J123" s="354">
        <v>71</v>
      </c>
      <c r="K123" s="290">
        <v>0</v>
      </c>
      <c r="L123" s="290">
        <v>0</v>
      </c>
      <c r="M123" s="260"/>
      <c r="N123" s="289" t="s">
        <v>453</v>
      </c>
      <c r="O123" s="254"/>
      <c r="P123" s="254"/>
      <c r="Q123" s="254"/>
      <c r="R123" s="254"/>
      <c r="S123" s="254"/>
      <c r="T123" s="254"/>
      <c r="U123" s="254"/>
      <c r="V123" s="254"/>
      <c r="W123" s="254"/>
      <c r="X123" s="254"/>
      <c r="Y123" s="254"/>
      <c r="Z123" s="256"/>
      <c r="AA123" s="256"/>
      <c r="AB123" s="256"/>
      <c r="AC123" s="256"/>
      <c r="AD123" s="256"/>
      <c r="AE123" s="256"/>
      <c r="AF123" s="256"/>
      <c r="AG123" s="256"/>
      <c r="AH123" s="256"/>
      <c r="AI123" s="256"/>
      <c r="AJ123" s="256"/>
      <c r="AK123" s="256"/>
    </row>
    <row r="124" spans="3:37" ht="13.8">
      <c r="C124" s="260" t="s">
        <v>414</v>
      </c>
      <c r="D124" s="260" t="s">
        <v>452</v>
      </c>
      <c r="E124" s="288">
        <v>0</v>
      </c>
      <c r="F124" s="283">
        <v>0</v>
      </c>
      <c r="G124" s="283">
        <v>19</v>
      </c>
      <c r="H124" s="283">
        <v>160</v>
      </c>
      <c r="I124" s="354">
        <v>19</v>
      </c>
      <c r="J124" s="354">
        <v>160</v>
      </c>
      <c r="K124" s="290">
        <v>0</v>
      </c>
      <c r="L124" s="290">
        <v>0</v>
      </c>
      <c r="M124" s="260"/>
      <c r="N124" s="289" t="s">
        <v>453</v>
      </c>
      <c r="O124" s="254"/>
      <c r="P124" s="254"/>
      <c r="Q124" s="254"/>
      <c r="R124" s="254"/>
      <c r="S124" s="254"/>
      <c r="T124" s="254"/>
      <c r="U124" s="254"/>
      <c r="V124" s="254"/>
      <c r="W124" s="254"/>
      <c r="X124" s="254"/>
      <c r="Y124" s="254"/>
      <c r="Z124" s="256"/>
      <c r="AA124" s="256"/>
      <c r="AB124" s="256"/>
      <c r="AC124" s="256"/>
      <c r="AD124" s="256"/>
      <c r="AE124" s="256"/>
      <c r="AF124" s="256"/>
      <c r="AG124" s="256"/>
      <c r="AH124" s="256"/>
      <c r="AI124" s="256"/>
      <c r="AJ124" s="256"/>
      <c r="AK124" s="256"/>
    </row>
    <row r="125" spans="3:37" ht="13.8">
      <c r="C125" s="254" t="s">
        <v>459</v>
      </c>
      <c r="D125" s="254"/>
      <c r="E125" s="254"/>
      <c r="F125" s="254"/>
      <c r="G125" s="254"/>
      <c r="H125" s="254"/>
      <c r="I125" s="254"/>
      <c r="J125" s="254"/>
      <c r="K125" s="254"/>
      <c r="L125" s="254"/>
      <c r="M125" s="254"/>
      <c r="N125" s="254"/>
      <c r="O125" s="254"/>
      <c r="P125" s="254"/>
      <c r="Q125" s="254"/>
      <c r="R125" s="254"/>
      <c r="S125" s="254"/>
      <c r="T125" s="254"/>
      <c r="U125" s="254"/>
      <c r="V125" s="254"/>
      <c r="W125" s="254"/>
      <c r="X125" s="254"/>
      <c r="Y125" s="254"/>
      <c r="Z125" s="254"/>
      <c r="AA125" s="254"/>
      <c r="AB125" s="254"/>
      <c r="AC125" s="254"/>
      <c r="AD125" s="254"/>
      <c r="AE125" s="254"/>
      <c r="AF125" s="254"/>
      <c r="AG125" s="254"/>
      <c r="AH125" s="254"/>
      <c r="AI125" s="254"/>
      <c r="AJ125" s="254"/>
      <c r="AK125" s="254"/>
    </row>
    <row r="126" spans="3:37" ht="13.8">
      <c r="C126" s="254"/>
      <c r="D126" s="254"/>
      <c r="E126" s="254"/>
      <c r="F126" s="254"/>
      <c r="G126" s="254"/>
      <c r="H126" s="254"/>
      <c r="I126" s="254"/>
      <c r="J126" s="254"/>
      <c r="K126" s="254"/>
      <c r="L126" s="254"/>
      <c r="M126" s="254"/>
      <c r="N126" s="254"/>
      <c r="O126" s="254"/>
      <c r="P126" s="254"/>
      <c r="Q126" s="254"/>
      <c r="R126" s="254"/>
      <c r="S126" s="254"/>
      <c r="T126" s="254"/>
      <c r="U126" s="254"/>
      <c r="V126" s="254"/>
      <c r="W126" s="254"/>
      <c r="X126" s="254"/>
      <c r="Y126" s="254"/>
      <c r="Z126" s="254"/>
      <c r="AA126" s="254"/>
      <c r="AB126" s="254"/>
      <c r="AC126" s="254"/>
      <c r="AD126" s="254"/>
      <c r="AE126" s="254"/>
      <c r="AF126" s="254"/>
      <c r="AG126" s="254"/>
      <c r="AH126" s="254"/>
      <c r="AI126" s="254"/>
      <c r="AJ126" s="254"/>
      <c r="AK126" s="254"/>
    </row>
    <row r="127" spans="3:37" ht="13.8">
      <c r="C127" s="255" t="s">
        <v>460</v>
      </c>
      <c r="D127" s="254"/>
      <c r="E127" s="254"/>
      <c r="F127" s="254"/>
      <c r="G127" s="254"/>
      <c r="H127" s="254"/>
      <c r="I127" s="254"/>
      <c r="J127" s="254"/>
      <c r="K127" s="254"/>
      <c r="L127" s="254"/>
      <c r="M127" s="254"/>
      <c r="N127" s="254"/>
      <c r="O127" s="254"/>
      <c r="P127" s="254"/>
      <c r="Q127" s="254"/>
      <c r="R127" s="254"/>
      <c r="S127" s="254"/>
      <c r="T127" s="254"/>
      <c r="U127" s="254"/>
      <c r="V127" s="254"/>
      <c r="W127" s="254"/>
      <c r="X127" s="254"/>
      <c r="Y127" s="254"/>
      <c r="Z127" s="254"/>
      <c r="AA127" s="254"/>
      <c r="AB127" s="254"/>
      <c r="AC127" s="254"/>
      <c r="AD127" s="254"/>
      <c r="AE127" s="254"/>
      <c r="AF127" s="254"/>
      <c r="AG127" s="254"/>
      <c r="AH127" s="254"/>
      <c r="AI127" s="254"/>
      <c r="AJ127" s="254"/>
      <c r="AK127" s="254"/>
    </row>
    <row r="128" spans="3:37" ht="13.8">
      <c r="C128" s="260" t="s">
        <v>461</v>
      </c>
      <c r="D128" s="260" t="s">
        <v>452</v>
      </c>
      <c r="E128" s="355">
        <v>29</v>
      </c>
      <c r="F128" s="342" t="s">
        <v>462</v>
      </c>
      <c r="G128" s="254"/>
      <c r="H128" s="254"/>
      <c r="I128" s="254"/>
      <c r="J128" s="254"/>
      <c r="K128" s="254"/>
      <c r="L128" s="254"/>
      <c r="M128" s="254"/>
      <c r="N128" s="254"/>
      <c r="O128" s="254"/>
      <c r="P128" s="254"/>
      <c r="Q128" s="254"/>
      <c r="R128" s="254"/>
      <c r="S128" s="254"/>
      <c r="T128" s="254"/>
      <c r="U128" s="254"/>
      <c r="V128" s="254"/>
      <c r="W128" s="254"/>
      <c r="X128" s="254"/>
      <c r="Y128" s="254"/>
      <c r="Z128" s="254"/>
      <c r="AA128" s="254"/>
      <c r="AB128" s="254"/>
      <c r="AC128" s="254"/>
      <c r="AD128" s="254"/>
      <c r="AE128" s="254"/>
      <c r="AF128" s="254"/>
      <c r="AG128" s="254"/>
      <c r="AH128" s="254"/>
      <c r="AI128" s="254"/>
      <c r="AJ128" s="254"/>
      <c r="AK128" s="254"/>
    </row>
    <row r="129" spans="3:37" ht="13.8">
      <c r="C129" s="260" t="s">
        <v>364</v>
      </c>
      <c r="D129" s="260" t="s">
        <v>452</v>
      </c>
      <c r="E129" s="355">
        <v>29</v>
      </c>
      <c r="F129" s="342" t="s">
        <v>462</v>
      </c>
      <c r="G129" s="254"/>
      <c r="H129" s="254"/>
      <c r="I129" s="254"/>
      <c r="J129" s="254"/>
      <c r="K129" s="254"/>
      <c r="L129" s="254"/>
      <c r="M129" s="254"/>
      <c r="N129" s="254"/>
      <c r="O129" s="254"/>
      <c r="P129" s="254"/>
      <c r="Q129" s="254"/>
      <c r="R129" s="254"/>
      <c r="S129" s="254"/>
      <c r="T129" s="254"/>
      <c r="U129" s="254"/>
      <c r="V129" s="254"/>
      <c r="W129" s="254"/>
      <c r="X129" s="254"/>
      <c r="Y129" s="254"/>
      <c r="Z129" s="254"/>
      <c r="AA129" s="254"/>
      <c r="AB129" s="254"/>
      <c r="AC129" s="254"/>
      <c r="AD129" s="254"/>
      <c r="AE129" s="254"/>
      <c r="AF129" s="254"/>
      <c r="AG129" s="254"/>
      <c r="AH129" s="254"/>
      <c r="AI129" s="254"/>
      <c r="AJ129" s="254"/>
      <c r="AK129" s="254"/>
    </row>
    <row r="130" spans="3:37" ht="13.8">
      <c r="C130" s="260" t="s">
        <v>357</v>
      </c>
      <c r="D130" s="260" t="s">
        <v>452</v>
      </c>
      <c r="E130" s="355">
        <v>16.7</v>
      </c>
      <c r="F130" s="342" t="s">
        <v>463</v>
      </c>
      <c r="G130" s="254"/>
      <c r="H130" s="254"/>
      <c r="I130" s="254"/>
      <c r="J130" s="254"/>
      <c r="K130" s="254"/>
      <c r="L130" s="254"/>
      <c r="M130" s="254"/>
      <c r="N130" s="254"/>
      <c r="O130" s="254"/>
      <c r="P130" s="254"/>
      <c r="Q130" s="254"/>
      <c r="R130" s="254"/>
      <c r="S130" s="254"/>
      <c r="T130" s="254"/>
      <c r="U130" s="254"/>
      <c r="V130" s="254"/>
      <c r="W130" s="254"/>
      <c r="X130" s="254"/>
      <c r="Y130" s="254"/>
      <c r="Z130" s="254"/>
      <c r="AA130" s="254"/>
      <c r="AB130" s="254"/>
      <c r="AC130" s="254"/>
      <c r="AD130" s="254"/>
      <c r="AE130" s="254"/>
      <c r="AF130" s="254"/>
      <c r="AG130" s="254"/>
      <c r="AH130" s="254"/>
      <c r="AI130" s="254"/>
      <c r="AJ130" s="254"/>
      <c r="AK130" s="254"/>
    </row>
    <row r="131" spans="3:37" ht="13.8">
      <c r="C131" s="254"/>
      <c r="D131" s="254"/>
      <c r="E131" s="254"/>
      <c r="F131" s="254"/>
      <c r="G131" s="254"/>
      <c r="H131" s="254"/>
      <c r="I131" s="254"/>
      <c r="J131" s="254"/>
      <c r="K131" s="254"/>
      <c r="L131" s="254"/>
      <c r="M131" s="254"/>
      <c r="N131" s="254"/>
      <c r="O131" s="254"/>
      <c r="P131" s="254"/>
      <c r="Q131" s="254"/>
      <c r="R131" s="254"/>
      <c r="S131" s="254"/>
      <c r="T131" s="254"/>
      <c r="U131" s="254"/>
      <c r="V131" s="254"/>
      <c r="W131" s="254"/>
      <c r="X131" s="254"/>
      <c r="Y131" s="254"/>
      <c r="Z131" s="254"/>
      <c r="AA131" s="254"/>
      <c r="AB131" s="254"/>
      <c r="AC131" s="254"/>
      <c r="AD131" s="254"/>
      <c r="AE131" s="254"/>
      <c r="AF131" s="254"/>
      <c r="AG131" s="254"/>
      <c r="AH131" s="254"/>
      <c r="AI131" s="254"/>
      <c r="AJ131" s="254"/>
      <c r="AK131" s="254"/>
    </row>
    <row r="132" spans="3:37" ht="14.4">
      <c r="C132" s="274" t="s">
        <v>464</v>
      </c>
      <c r="D132" s="263"/>
      <c r="E132" s="262"/>
      <c r="F132" s="262"/>
      <c r="G132" s="262"/>
      <c r="H132" s="262"/>
      <c r="I132" s="262"/>
      <c r="J132" s="262"/>
      <c r="K132" s="262"/>
      <c r="L132" s="262"/>
      <c r="M132" s="262"/>
      <c r="N132" s="262"/>
      <c r="O132" s="262"/>
      <c r="P132" s="262"/>
      <c r="Q132" s="262"/>
      <c r="R132" s="262"/>
      <c r="S132" s="262"/>
      <c r="T132" s="262"/>
      <c r="U132" s="262"/>
      <c r="V132" s="262"/>
      <c r="W132" s="262"/>
      <c r="X132" s="262"/>
      <c r="Y132" s="262"/>
      <c r="Z132" s="262"/>
      <c r="AA132" s="262"/>
      <c r="AB132" s="262"/>
      <c r="AC132" s="262"/>
      <c r="AD132" s="262"/>
      <c r="AE132" s="262"/>
      <c r="AF132" s="262"/>
      <c r="AG132" s="262"/>
      <c r="AH132" s="262"/>
      <c r="AI132" s="262"/>
      <c r="AJ132" s="262"/>
      <c r="AK132" s="262"/>
    </row>
    <row r="133" spans="3:37" ht="13.8">
      <c r="C133" s="260"/>
      <c r="D133" s="260" t="s">
        <v>465</v>
      </c>
      <c r="E133" s="260" t="s">
        <v>428</v>
      </c>
      <c r="F133" s="260">
        <v>2012</v>
      </c>
      <c r="G133" s="260">
        <v>2020</v>
      </c>
      <c r="H133" s="260">
        <v>2035</v>
      </c>
      <c r="I133" s="260">
        <v>2050</v>
      </c>
      <c r="J133" s="262"/>
      <c r="K133" s="262"/>
      <c r="L133" s="262"/>
      <c r="M133" s="262"/>
      <c r="N133" s="262"/>
      <c r="O133" s="262"/>
      <c r="P133" s="262"/>
      <c r="Q133" s="262"/>
      <c r="R133" s="262"/>
      <c r="S133" s="262"/>
      <c r="T133" s="262"/>
      <c r="U133" s="262"/>
      <c r="V133" s="262"/>
      <c r="W133" s="262"/>
      <c r="X133" s="262"/>
      <c r="Y133" s="262"/>
      <c r="Z133" s="262"/>
      <c r="AA133" s="262"/>
      <c r="AB133" s="262"/>
      <c r="AC133" s="262"/>
      <c r="AD133" s="262"/>
      <c r="AE133" s="262"/>
      <c r="AF133" s="262"/>
      <c r="AG133" s="262"/>
      <c r="AH133" s="262"/>
      <c r="AI133" s="262"/>
      <c r="AJ133" s="262"/>
      <c r="AK133" s="262"/>
    </row>
    <row r="134" spans="3:37" ht="13.8">
      <c r="C134" s="343" t="s">
        <v>466</v>
      </c>
      <c r="D134" s="343" t="s">
        <v>379</v>
      </c>
      <c r="E134" s="343">
        <v>-11</v>
      </c>
      <c r="F134" s="344">
        <v>-11.2</v>
      </c>
      <c r="G134" s="344">
        <v>-11.2</v>
      </c>
      <c r="H134" s="344">
        <v>16.2</v>
      </c>
      <c r="I134" s="344">
        <v>13.4</v>
      </c>
      <c r="J134" s="262"/>
      <c r="K134" s="262"/>
      <c r="L134" s="262"/>
      <c r="M134" s="262"/>
      <c r="N134" s="262"/>
      <c r="O134" s="262"/>
      <c r="P134" s="262"/>
      <c r="Q134" s="262"/>
      <c r="R134" s="262"/>
      <c r="S134" s="262"/>
      <c r="T134" s="262"/>
      <c r="U134" s="262"/>
      <c r="V134" s="262"/>
      <c r="W134" s="262"/>
      <c r="X134" s="262"/>
      <c r="Y134" s="262"/>
      <c r="Z134" s="262"/>
      <c r="AA134" s="262"/>
      <c r="AB134" s="262"/>
      <c r="AC134" s="262"/>
      <c r="AD134" s="262"/>
      <c r="AE134" s="262"/>
      <c r="AF134" s="262"/>
      <c r="AG134" s="262"/>
      <c r="AH134" s="262"/>
      <c r="AI134" s="262"/>
      <c r="AJ134" s="262"/>
      <c r="AK134" s="262"/>
    </row>
    <row r="135" spans="3:37" ht="13.8">
      <c r="C135" s="343" t="s">
        <v>71</v>
      </c>
      <c r="D135" s="343" t="s">
        <v>379</v>
      </c>
      <c r="E135" s="343">
        <v>-11</v>
      </c>
      <c r="F135" s="345">
        <v>-11.2</v>
      </c>
      <c r="G135" s="345">
        <v>-11.2</v>
      </c>
      <c r="H135" s="345">
        <v>16.2</v>
      </c>
      <c r="I135" s="345">
        <v>13.4</v>
      </c>
      <c r="J135" s="262" t="s">
        <v>467</v>
      </c>
    </row>
    <row r="136" spans="3:37">
      <c r="C136" s="262"/>
      <c r="D136" s="263"/>
      <c r="E136" s="262"/>
      <c r="F136" s="262"/>
      <c r="G136" s="262"/>
      <c r="H136" s="262"/>
      <c r="I136" s="262"/>
      <c r="J136" s="262"/>
    </row>
    <row r="137" spans="3:37" ht="14.4">
      <c r="C137" s="274" t="s">
        <v>468</v>
      </c>
      <c r="D137" s="263"/>
      <c r="E137" s="262"/>
      <c r="F137" s="262"/>
      <c r="G137" s="262"/>
      <c r="H137" s="262"/>
      <c r="I137" s="262"/>
      <c r="J137" s="262"/>
    </row>
    <row r="138" spans="3:37" ht="13.8">
      <c r="C138" s="260"/>
      <c r="D138" s="259">
        <v>2020</v>
      </c>
      <c r="E138" s="259">
        <v>2035</v>
      </c>
      <c r="F138" s="259">
        <v>2040</v>
      </c>
      <c r="G138" s="259">
        <v>2050</v>
      </c>
      <c r="H138" s="262"/>
      <c r="I138" s="262"/>
      <c r="J138" s="262"/>
    </row>
    <row r="139" spans="3:37" ht="13.8">
      <c r="C139" s="260" t="s">
        <v>469</v>
      </c>
      <c r="D139" s="287">
        <v>8.99</v>
      </c>
      <c r="E139" s="287">
        <v>30.75</v>
      </c>
      <c r="F139" s="287">
        <v>26.9</v>
      </c>
      <c r="G139" s="346">
        <v>13.42</v>
      </c>
      <c r="H139" s="262"/>
      <c r="I139" s="262"/>
      <c r="J139" s="262"/>
    </row>
    <row r="140" spans="3:37" ht="13.8">
      <c r="C140" s="260" t="s">
        <v>470</v>
      </c>
      <c r="D140" s="287">
        <v>13.78</v>
      </c>
      <c r="E140" s="287">
        <v>30.69</v>
      </c>
      <c r="F140" s="346">
        <v>16.16</v>
      </c>
      <c r="G140" s="287">
        <v>0.33</v>
      </c>
      <c r="H140" s="262"/>
      <c r="I140" s="262"/>
      <c r="J140" s="262"/>
    </row>
    <row r="141" spans="3:37" ht="13.8">
      <c r="C141" s="260" t="s">
        <v>471</v>
      </c>
      <c r="D141" s="287">
        <v>-15.42</v>
      </c>
      <c r="E141" s="287">
        <v>-2.35</v>
      </c>
      <c r="F141" s="287">
        <v>4.63</v>
      </c>
      <c r="G141" s="287">
        <v>5.84</v>
      </c>
      <c r="H141" s="262"/>
      <c r="I141" s="262"/>
      <c r="J141" s="262"/>
    </row>
    <row r="142" spans="3:37" ht="13.8">
      <c r="C142" s="260" t="s">
        <v>472</v>
      </c>
      <c r="D142" s="346">
        <v>-11.24</v>
      </c>
      <c r="E142" s="287">
        <v>-3.52</v>
      </c>
      <c r="F142" s="287">
        <v>-3.65</v>
      </c>
      <c r="G142" s="287">
        <v>-1.79</v>
      </c>
      <c r="H142" s="262"/>
      <c r="I142" s="262"/>
      <c r="J142" s="262"/>
    </row>
    <row r="143" spans="3:37">
      <c r="C143" s="262" t="s">
        <v>473</v>
      </c>
      <c r="D143" s="263"/>
      <c r="E143" s="262"/>
      <c r="F143" s="262"/>
      <c r="G143" s="262"/>
      <c r="H143" s="262"/>
      <c r="I143" s="262"/>
      <c r="J143" s="262"/>
    </row>
    <row r="144" spans="3:37">
      <c r="C144" s="262"/>
      <c r="D144" s="263"/>
      <c r="E144" s="262"/>
      <c r="F144" s="262"/>
      <c r="G144" s="262"/>
      <c r="H144" s="262"/>
      <c r="I144" s="262"/>
      <c r="J144" s="262"/>
    </row>
    <row r="145" spans="2:10" ht="13.8">
      <c r="C145" s="257"/>
      <c r="D145" s="257"/>
      <c r="E145" s="257"/>
      <c r="F145" s="257"/>
      <c r="G145" s="257"/>
      <c r="H145" s="257"/>
      <c r="I145" s="262"/>
      <c r="J145" s="262"/>
    </row>
    <row r="146" spans="2:10" ht="14.4">
      <c r="C146" s="274" t="s">
        <v>474</v>
      </c>
      <c r="D146" s="257"/>
      <c r="E146" s="257"/>
      <c r="F146" s="257"/>
      <c r="G146" s="257"/>
      <c r="H146" s="257"/>
      <c r="I146" s="262"/>
      <c r="J146" s="262"/>
    </row>
    <row r="147" spans="2:10" ht="13.8">
      <c r="C147" s="343"/>
      <c r="D147" s="343"/>
      <c r="E147" s="343"/>
      <c r="F147" s="343"/>
      <c r="G147" s="343"/>
      <c r="H147" s="343"/>
      <c r="I147" s="262"/>
      <c r="J147" s="262"/>
    </row>
    <row r="148" spans="2:10" ht="13.8">
      <c r="C148" s="343"/>
      <c r="D148" s="343"/>
      <c r="E148" s="347" t="s">
        <v>475</v>
      </c>
      <c r="F148" s="347"/>
      <c r="G148" s="343" t="s">
        <v>476</v>
      </c>
      <c r="H148" s="343" t="s">
        <v>477</v>
      </c>
      <c r="I148" s="262"/>
      <c r="J148" s="262"/>
    </row>
    <row r="149" spans="2:10" ht="13.8">
      <c r="C149" s="343"/>
      <c r="D149" s="343" t="s">
        <v>478</v>
      </c>
      <c r="E149" s="343" t="s">
        <v>479</v>
      </c>
      <c r="F149" s="343" t="s">
        <v>480</v>
      </c>
      <c r="G149" s="343" t="s">
        <v>481</v>
      </c>
      <c r="H149" s="343" t="s">
        <v>481</v>
      </c>
      <c r="I149" s="262"/>
      <c r="J149" s="262"/>
    </row>
    <row r="150" spans="2:10" ht="13.8">
      <c r="C150" s="343" t="s">
        <v>482</v>
      </c>
      <c r="D150" s="343" t="s">
        <v>483</v>
      </c>
      <c r="E150" s="283">
        <v>210</v>
      </c>
      <c r="F150" s="283">
        <v>-32</v>
      </c>
      <c r="G150" s="348">
        <v>-5.0000000000000001E-3</v>
      </c>
      <c r="H150" s="348">
        <v>0</v>
      </c>
      <c r="I150" s="262"/>
      <c r="J150" s="262"/>
    </row>
    <row r="151" spans="2:10" ht="13.8">
      <c r="B151" s="262"/>
      <c r="C151" s="343" t="s">
        <v>484</v>
      </c>
      <c r="D151" s="343" t="s">
        <v>483</v>
      </c>
      <c r="E151" s="283">
        <v>342</v>
      </c>
      <c r="F151" s="283">
        <v>100</v>
      </c>
      <c r="G151" s="348">
        <v>0</v>
      </c>
      <c r="H151" s="348">
        <v>0</v>
      </c>
      <c r="I151" s="262"/>
    </row>
    <row r="152" spans="2:10" ht="13.8">
      <c r="B152" s="262"/>
      <c r="C152" s="343" t="s">
        <v>485</v>
      </c>
      <c r="D152" s="343" t="s">
        <v>483</v>
      </c>
      <c r="E152" s="283">
        <v>346</v>
      </c>
      <c r="F152" s="283">
        <v>104</v>
      </c>
      <c r="G152" s="348">
        <v>2.1999999999999999E-2</v>
      </c>
      <c r="H152" s="348">
        <v>7.0000000000000001E-3</v>
      </c>
      <c r="I152" s="262"/>
    </row>
    <row r="153" spans="2:10" ht="13.8">
      <c r="B153" s="262"/>
      <c r="C153" s="343" t="s">
        <v>486</v>
      </c>
      <c r="D153" s="343" t="s">
        <v>483</v>
      </c>
      <c r="E153" s="283">
        <v>333</v>
      </c>
      <c r="F153" s="283">
        <v>91</v>
      </c>
      <c r="G153" s="348">
        <v>2.7E-2</v>
      </c>
      <c r="H153" s="348">
        <v>6.0000000000000001E-3</v>
      </c>
      <c r="I153" s="262"/>
    </row>
    <row r="154" spans="2:10" ht="13.8">
      <c r="B154" s="262"/>
      <c r="C154" s="343" t="s">
        <v>487</v>
      </c>
      <c r="D154" s="343" t="s">
        <v>483</v>
      </c>
      <c r="E154" s="283">
        <v>323</v>
      </c>
      <c r="F154" s="283">
        <v>80</v>
      </c>
      <c r="G154" s="348">
        <v>8.9999999999999993E-3</v>
      </c>
      <c r="H154" s="348">
        <v>-4.2999999999999997E-2</v>
      </c>
      <c r="I154" s="262"/>
    </row>
    <row r="155" spans="2:10" ht="13.8">
      <c r="B155" s="262"/>
      <c r="C155" s="343" t="s">
        <v>488</v>
      </c>
      <c r="D155" s="343" t="s">
        <v>483</v>
      </c>
      <c r="E155" s="283">
        <v>368</v>
      </c>
      <c r="F155" s="283">
        <v>126</v>
      </c>
      <c r="G155" s="348">
        <v>0.06</v>
      </c>
      <c r="H155" s="348">
        <v>-6.0000000000000001E-3</v>
      </c>
      <c r="I155" s="262"/>
    </row>
    <row r="156" spans="2:10" ht="13.8">
      <c r="B156" s="262"/>
      <c r="C156" s="343" t="s">
        <v>489</v>
      </c>
      <c r="D156" s="343" t="s">
        <v>490</v>
      </c>
      <c r="E156" s="358">
        <v>1.63</v>
      </c>
      <c r="F156" s="358">
        <v>1.63</v>
      </c>
      <c r="G156" s="359">
        <v>1.2E-2</v>
      </c>
      <c r="H156" s="359">
        <v>3.0000000000000001E-3</v>
      </c>
      <c r="I156" s="262"/>
    </row>
    <row r="157" spans="2:10" ht="13.8">
      <c r="B157" s="262"/>
      <c r="C157" s="343" t="s">
        <v>357</v>
      </c>
      <c r="D157" s="343" t="s">
        <v>491</v>
      </c>
      <c r="E157" s="349">
        <v>346</v>
      </c>
      <c r="F157" s="349">
        <v>104</v>
      </c>
      <c r="G157" s="350">
        <v>2.1999999999999999E-2</v>
      </c>
      <c r="H157" s="350">
        <v>7.0000000000000001E-3</v>
      </c>
      <c r="I157" s="262" t="s">
        <v>492</v>
      </c>
    </row>
    <row r="158" spans="2:10" ht="13.8">
      <c r="B158" s="262"/>
      <c r="C158" s="343" t="s">
        <v>493</v>
      </c>
      <c r="D158" s="343" t="s">
        <v>491</v>
      </c>
      <c r="E158" s="349">
        <v>368</v>
      </c>
      <c r="F158" s="349">
        <v>126</v>
      </c>
      <c r="G158" s="350">
        <v>0.06</v>
      </c>
      <c r="H158" s="350">
        <v>-6.0000000000000001E-3</v>
      </c>
      <c r="I158" s="262" t="s">
        <v>494</v>
      </c>
    </row>
    <row r="159" spans="2:10">
      <c r="B159" s="262"/>
      <c r="C159" s="262" t="s">
        <v>495</v>
      </c>
      <c r="D159" s="263"/>
      <c r="E159" s="262"/>
      <c r="F159" s="262"/>
      <c r="G159" s="262"/>
      <c r="H159" s="262"/>
      <c r="I159" s="262"/>
    </row>
    <row r="161" spans="2:21" ht="21">
      <c r="B161" s="251" t="s">
        <v>502</v>
      </c>
      <c r="C161" s="250"/>
      <c r="D161" s="250"/>
      <c r="E161" s="250"/>
      <c r="F161" s="250"/>
      <c r="G161" s="250"/>
      <c r="H161" s="250"/>
      <c r="I161" s="250"/>
      <c r="J161" s="250"/>
      <c r="K161" s="250"/>
      <c r="L161" s="250"/>
      <c r="M161" s="250"/>
      <c r="N161" s="250"/>
      <c r="O161" s="250"/>
      <c r="P161" s="250"/>
      <c r="Q161" s="250"/>
      <c r="R161" s="250"/>
      <c r="S161" s="250"/>
      <c r="T161" s="250"/>
      <c r="U161" s="250"/>
    </row>
    <row r="162" spans="2:21">
      <c r="B162" s="249" t="s">
        <v>503</v>
      </c>
      <c r="C162" s="249"/>
      <c r="D162" s="249"/>
      <c r="E162" s="249"/>
      <c r="F162" s="249"/>
      <c r="G162" s="249"/>
      <c r="H162" s="249"/>
      <c r="I162" s="249"/>
      <c r="J162" s="249"/>
      <c r="K162" s="249"/>
      <c r="L162" s="249"/>
      <c r="M162" s="249"/>
      <c r="N162" s="249"/>
      <c r="O162" s="249"/>
      <c r="P162" s="249"/>
      <c r="Q162" s="249"/>
      <c r="R162" s="249"/>
      <c r="S162" s="249"/>
      <c r="T162" s="249"/>
      <c r="U162" s="249"/>
    </row>
    <row r="163" spans="2:21" ht="13.8" thickBot="1">
      <c r="B163" s="249"/>
      <c r="C163" s="249"/>
      <c r="D163" s="249"/>
      <c r="E163" s="249" t="s">
        <v>504</v>
      </c>
      <c r="F163" s="249"/>
      <c r="G163" s="249"/>
      <c r="H163" s="249"/>
      <c r="I163" s="249"/>
      <c r="J163" s="249"/>
      <c r="K163" s="249"/>
      <c r="L163" s="249" t="s">
        <v>505</v>
      </c>
      <c r="M163" s="249"/>
      <c r="N163" s="249"/>
      <c r="O163" s="249"/>
      <c r="P163" s="249"/>
      <c r="Q163" s="249"/>
      <c r="R163" s="249"/>
      <c r="S163" s="249"/>
      <c r="T163" s="249"/>
      <c r="U163" s="249"/>
    </row>
    <row r="164" spans="2:21">
      <c r="B164" s="249"/>
      <c r="C164" s="248" t="s">
        <v>506</v>
      </c>
      <c r="D164" s="247" t="s">
        <v>104</v>
      </c>
      <c r="E164" s="247">
        <v>2015</v>
      </c>
      <c r="F164" s="247">
        <v>2020</v>
      </c>
      <c r="G164" s="247">
        <v>2035</v>
      </c>
      <c r="H164" s="247">
        <v>2050</v>
      </c>
      <c r="I164" s="247" t="s">
        <v>507</v>
      </c>
      <c r="J164" s="247" t="s">
        <v>508</v>
      </c>
      <c r="K164" s="247" t="s">
        <v>509</v>
      </c>
      <c r="L164" s="247" t="s">
        <v>510</v>
      </c>
      <c r="M164" s="247" t="s">
        <v>511</v>
      </c>
      <c r="N164" s="247">
        <v>2015</v>
      </c>
      <c r="O164" s="247">
        <v>2020</v>
      </c>
      <c r="P164" s="247">
        <v>2035</v>
      </c>
      <c r="Q164" s="247">
        <v>2050</v>
      </c>
      <c r="R164" s="224" t="s">
        <v>428</v>
      </c>
      <c r="S164" s="247" t="s">
        <v>512</v>
      </c>
      <c r="T164" s="246" t="s">
        <v>513</v>
      </c>
      <c r="U164" s="249"/>
    </row>
    <row r="165" spans="2:21" ht="13.8">
      <c r="B165" s="249"/>
      <c r="C165" s="245" t="s">
        <v>514</v>
      </c>
      <c r="D165" s="244" t="s">
        <v>515</v>
      </c>
      <c r="E165" s="275">
        <v>55.2</v>
      </c>
      <c r="F165" s="275">
        <v>78.900000000000006</v>
      </c>
      <c r="G165" s="275">
        <v>314.39999999999998</v>
      </c>
      <c r="H165" s="269">
        <v>314.39999999999998</v>
      </c>
      <c r="I165" s="357">
        <v>2015</v>
      </c>
      <c r="J165" s="266">
        <v>1</v>
      </c>
      <c r="K165" s="266">
        <v>1</v>
      </c>
      <c r="L165" s="243">
        <v>1</v>
      </c>
      <c r="M165" s="242">
        <v>0</v>
      </c>
      <c r="N165" s="241">
        <v>55.2</v>
      </c>
      <c r="O165" s="241">
        <v>78.900000000000006</v>
      </c>
      <c r="P165" s="241">
        <v>314.39999999999998</v>
      </c>
      <c r="Q165" s="241">
        <v>314.39999999999998</v>
      </c>
      <c r="R165" s="241">
        <v>55.2</v>
      </c>
      <c r="S165" s="244"/>
      <c r="T165" s="388" t="s">
        <v>644</v>
      </c>
      <c r="U165" s="249"/>
    </row>
    <row r="166" spans="2:21" ht="13.8">
      <c r="B166" s="249"/>
      <c r="C166" s="245" t="s">
        <v>516</v>
      </c>
      <c r="D166" s="244" t="s">
        <v>517</v>
      </c>
      <c r="E166" s="275">
        <v>266.10000000000002</v>
      </c>
      <c r="F166" s="240">
        <v>331.2</v>
      </c>
      <c r="G166" s="240">
        <v>573.1</v>
      </c>
      <c r="H166" s="269">
        <v>573.1</v>
      </c>
      <c r="I166" s="357">
        <v>2015</v>
      </c>
      <c r="J166" s="266">
        <v>1</v>
      </c>
      <c r="K166" s="266">
        <v>1</v>
      </c>
      <c r="L166" s="243">
        <v>1</v>
      </c>
      <c r="M166" s="242">
        <v>0</v>
      </c>
      <c r="N166" s="241">
        <v>266.10000000000002</v>
      </c>
      <c r="O166" s="241">
        <v>331.2</v>
      </c>
      <c r="P166" s="241">
        <v>573.1</v>
      </c>
      <c r="Q166" s="241">
        <v>573.1</v>
      </c>
      <c r="R166" s="241">
        <v>266.10000000000002</v>
      </c>
      <c r="S166" s="239"/>
      <c r="T166" s="388" t="s">
        <v>644</v>
      </c>
      <c r="U166" s="249"/>
    </row>
    <row r="167" spans="2:21" ht="13.8">
      <c r="B167" s="249"/>
      <c r="C167" s="245" t="s">
        <v>518</v>
      </c>
      <c r="D167" s="244" t="s">
        <v>517</v>
      </c>
      <c r="E167" s="275">
        <v>445.5</v>
      </c>
      <c r="F167" s="240">
        <v>513.29999999999995</v>
      </c>
      <c r="G167" s="240">
        <v>769.9</v>
      </c>
      <c r="H167" s="269">
        <v>769.9</v>
      </c>
      <c r="I167" s="357">
        <v>2015</v>
      </c>
      <c r="J167" s="266">
        <v>1</v>
      </c>
      <c r="K167" s="266">
        <v>1</v>
      </c>
      <c r="L167" s="243">
        <v>1</v>
      </c>
      <c r="M167" s="242">
        <v>0</v>
      </c>
      <c r="N167" s="241">
        <v>445.5</v>
      </c>
      <c r="O167" s="241">
        <v>513.29999999999995</v>
      </c>
      <c r="P167" s="241">
        <v>769.9</v>
      </c>
      <c r="Q167" s="241">
        <v>769.9</v>
      </c>
      <c r="R167" s="241">
        <v>445.5</v>
      </c>
      <c r="S167" s="239"/>
      <c r="T167" s="388" t="s">
        <v>644</v>
      </c>
      <c r="U167" s="244"/>
    </row>
    <row r="168" spans="2:21" ht="13.8">
      <c r="B168" s="249"/>
      <c r="C168" s="245" t="s">
        <v>519</v>
      </c>
      <c r="D168" s="244" t="s">
        <v>379</v>
      </c>
      <c r="E168" s="275">
        <v>72</v>
      </c>
      <c r="F168" s="275">
        <v>73.3</v>
      </c>
      <c r="G168" s="275">
        <v>78.3</v>
      </c>
      <c r="H168" s="269">
        <v>78.3</v>
      </c>
      <c r="I168" s="357">
        <v>2015</v>
      </c>
      <c r="J168" s="266">
        <v>1</v>
      </c>
      <c r="K168" s="266">
        <v>1</v>
      </c>
      <c r="L168" s="243">
        <v>1</v>
      </c>
      <c r="M168" s="242">
        <v>0</v>
      </c>
      <c r="N168" s="241">
        <v>72</v>
      </c>
      <c r="O168" s="241">
        <v>73.3</v>
      </c>
      <c r="P168" s="241">
        <v>78.3</v>
      </c>
      <c r="Q168" s="241">
        <v>78.3</v>
      </c>
      <c r="R168" s="241">
        <v>72</v>
      </c>
      <c r="S168" s="244"/>
      <c r="T168" s="388" t="s">
        <v>644</v>
      </c>
      <c r="U168" s="249"/>
    </row>
    <row r="169" spans="2:21" ht="13.8">
      <c r="B169" s="249"/>
      <c r="C169" s="245" t="s">
        <v>520</v>
      </c>
      <c r="D169" s="244" t="s">
        <v>517</v>
      </c>
      <c r="E169" s="275">
        <v>485.5</v>
      </c>
      <c r="F169" s="240">
        <v>553.29999999999995</v>
      </c>
      <c r="G169" s="240">
        <v>809.9</v>
      </c>
      <c r="H169" s="269">
        <v>809.9</v>
      </c>
      <c r="I169" s="357">
        <v>2015</v>
      </c>
      <c r="J169" s="266">
        <v>1</v>
      </c>
      <c r="K169" s="266">
        <v>1</v>
      </c>
      <c r="L169" s="243">
        <v>1</v>
      </c>
      <c r="M169" s="242">
        <v>0</v>
      </c>
      <c r="N169" s="241">
        <v>485.5</v>
      </c>
      <c r="O169" s="241">
        <v>553.29999999999995</v>
      </c>
      <c r="P169" s="241">
        <v>809.9</v>
      </c>
      <c r="Q169" s="241">
        <v>809.9</v>
      </c>
      <c r="R169" s="241">
        <v>485.5</v>
      </c>
      <c r="S169" s="239"/>
      <c r="T169" s="388" t="s">
        <v>644</v>
      </c>
      <c r="U169" s="249"/>
    </row>
    <row r="170" spans="2:21" ht="13.8">
      <c r="B170" s="249"/>
      <c r="C170" s="238" t="s">
        <v>521</v>
      </c>
      <c r="D170" s="244" t="s">
        <v>379</v>
      </c>
      <c r="E170" s="275">
        <v>102.2</v>
      </c>
      <c r="F170" s="275">
        <v>119.9</v>
      </c>
      <c r="G170" s="275">
        <v>135.30000000000001</v>
      </c>
      <c r="H170" s="269">
        <v>135.30000000000001</v>
      </c>
      <c r="I170" s="357">
        <v>2015</v>
      </c>
      <c r="J170" s="266">
        <v>1</v>
      </c>
      <c r="K170" s="266">
        <v>1</v>
      </c>
      <c r="L170" s="243">
        <v>1</v>
      </c>
      <c r="M170" s="242">
        <v>0</v>
      </c>
      <c r="N170" s="241">
        <v>102.2</v>
      </c>
      <c r="O170" s="241">
        <v>119.9</v>
      </c>
      <c r="P170" s="241">
        <v>135.30000000000001</v>
      </c>
      <c r="Q170" s="241">
        <v>135.30000000000001</v>
      </c>
      <c r="R170" s="241">
        <v>102.2</v>
      </c>
      <c r="S170" s="244"/>
      <c r="T170" s="388" t="s">
        <v>644</v>
      </c>
      <c r="U170" s="249"/>
    </row>
    <row r="171" spans="2:21" ht="13.8">
      <c r="B171" s="249"/>
      <c r="C171" s="245" t="s">
        <v>522</v>
      </c>
      <c r="D171" s="244" t="s">
        <v>379</v>
      </c>
      <c r="E171" s="275">
        <v>20.2</v>
      </c>
      <c r="F171" s="275">
        <v>24.9</v>
      </c>
      <c r="G171" s="275">
        <v>25.8</v>
      </c>
      <c r="H171" s="269">
        <v>25.8</v>
      </c>
      <c r="I171" s="357">
        <v>2015</v>
      </c>
      <c r="J171" s="266">
        <v>1</v>
      </c>
      <c r="K171" s="266">
        <v>1</v>
      </c>
      <c r="L171" s="243">
        <v>1</v>
      </c>
      <c r="M171" s="279">
        <v>0</v>
      </c>
      <c r="N171" s="241">
        <v>20.2</v>
      </c>
      <c r="O171" s="241">
        <v>24.9</v>
      </c>
      <c r="P171" s="241">
        <v>25.8</v>
      </c>
      <c r="Q171" s="241">
        <v>25.8</v>
      </c>
      <c r="R171" s="241">
        <v>20.2</v>
      </c>
      <c r="S171" s="244"/>
      <c r="T171" s="388" t="s">
        <v>644</v>
      </c>
      <c r="U171" s="249"/>
    </row>
    <row r="172" spans="2:21" ht="13.8">
      <c r="B172" s="249"/>
      <c r="C172" s="245" t="s">
        <v>523</v>
      </c>
      <c r="D172" s="244" t="s">
        <v>379</v>
      </c>
      <c r="E172" s="275">
        <v>69.8</v>
      </c>
      <c r="F172" s="275">
        <v>71.099999999999994</v>
      </c>
      <c r="G172" s="275">
        <v>76.099999999999994</v>
      </c>
      <c r="H172" s="269">
        <v>76.099999999999994</v>
      </c>
      <c r="I172" s="357">
        <v>2015</v>
      </c>
      <c r="J172" s="266">
        <v>1</v>
      </c>
      <c r="K172" s="266">
        <v>1</v>
      </c>
      <c r="L172" s="243">
        <v>1</v>
      </c>
      <c r="M172" s="242">
        <v>0</v>
      </c>
      <c r="N172" s="241">
        <v>69.8</v>
      </c>
      <c r="O172" s="241">
        <v>71.099999999999994</v>
      </c>
      <c r="P172" s="241">
        <v>76.099999999999994</v>
      </c>
      <c r="Q172" s="241">
        <v>76.099999999999994</v>
      </c>
      <c r="R172" s="241">
        <v>69.8</v>
      </c>
      <c r="S172" s="244"/>
      <c r="T172" s="388" t="s">
        <v>644</v>
      </c>
      <c r="U172" s="249"/>
    </row>
    <row r="173" spans="2:21" ht="13.8">
      <c r="B173" s="249"/>
      <c r="C173" s="238" t="s">
        <v>524</v>
      </c>
      <c r="D173" s="244" t="s">
        <v>379</v>
      </c>
      <c r="E173" s="275">
        <v>119.6</v>
      </c>
      <c r="F173" s="275">
        <v>138.4</v>
      </c>
      <c r="G173" s="276">
        <v>154.6</v>
      </c>
      <c r="H173" s="269">
        <v>154.6</v>
      </c>
      <c r="I173" s="357">
        <v>2015</v>
      </c>
      <c r="J173" s="266">
        <v>1</v>
      </c>
      <c r="K173" s="266">
        <v>1</v>
      </c>
      <c r="L173" s="243">
        <v>1</v>
      </c>
      <c r="M173" s="242">
        <v>0</v>
      </c>
      <c r="N173" s="241">
        <v>119.6</v>
      </c>
      <c r="O173" s="241">
        <v>138.4</v>
      </c>
      <c r="P173" s="241">
        <v>154.6</v>
      </c>
      <c r="Q173" s="241">
        <v>154.6</v>
      </c>
      <c r="R173" s="241">
        <v>119.6</v>
      </c>
      <c r="S173" s="244"/>
      <c r="T173" s="388" t="s">
        <v>644</v>
      </c>
      <c r="U173" s="249"/>
    </row>
    <row r="174" spans="2:21" ht="13.8">
      <c r="B174" s="249"/>
      <c r="C174" s="238" t="s">
        <v>525</v>
      </c>
      <c r="D174" s="244" t="s">
        <v>379</v>
      </c>
      <c r="E174" s="275">
        <v>118.5</v>
      </c>
      <c r="F174" s="275">
        <v>137.19999999999999</v>
      </c>
      <c r="G174" s="276">
        <v>153.4</v>
      </c>
      <c r="H174" s="269">
        <v>153.4</v>
      </c>
      <c r="I174" s="357">
        <v>2015</v>
      </c>
      <c r="J174" s="266">
        <v>1</v>
      </c>
      <c r="K174" s="266">
        <v>1</v>
      </c>
      <c r="L174" s="243">
        <v>1</v>
      </c>
      <c r="M174" s="242">
        <v>0</v>
      </c>
      <c r="N174" s="241">
        <v>118.5</v>
      </c>
      <c r="O174" s="241">
        <v>137.19999999999999</v>
      </c>
      <c r="P174" s="241">
        <v>153.4</v>
      </c>
      <c r="Q174" s="241">
        <v>153.4</v>
      </c>
      <c r="R174" s="241">
        <v>118.5</v>
      </c>
      <c r="S174" s="244"/>
      <c r="T174" s="388" t="s">
        <v>644</v>
      </c>
      <c r="U174" s="249"/>
    </row>
    <row r="175" spans="2:21" ht="13.8">
      <c r="B175" s="249"/>
      <c r="C175" s="238" t="s">
        <v>526</v>
      </c>
      <c r="D175" s="244" t="s">
        <v>379</v>
      </c>
      <c r="E175" s="275">
        <v>115.7</v>
      </c>
      <c r="F175" s="275">
        <v>134.4</v>
      </c>
      <c r="G175" s="275">
        <v>150.6</v>
      </c>
      <c r="H175" s="269">
        <v>150.6</v>
      </c>
      <c r="I175" s="357">
        <v>2015</v>
      </c>
      <c r="J175" s="266">
        <v>1</v>
      </c>
      <c r="K175" s="266">
        <v>1</v>
      </c>
      <c r="L175" s="243">
        <v>1</v>
      </c>
      <c r="M175" s="242">
        <v>0</v>
      </c>
      <c r="N175" s="241">
        <v>115.7</v>
      </c>
      <c r="O175" s="241">
        <v>134.4</v>
      </c>
      <c r="P175" s="241">
        <v>150.6</v>
      </c>
      <c r="Q175" s="241">
        <v>150.6</v>
      </c>
      <c r="R175" s="241">
        <v>115.7</v>
      </c>
      <c r="S175" s="244"/>
      <c r="T175" s="388" t="s">
        <v>644</v>
      </c>
      <c r="U175" s="249"/>
    </row>
    <row r="176" spans="2:21" ht="13.8">
      <c r="B176" s="249"/>
      <c r="C176" s="238" t="s">
        <v>527</v>
      </c>
      <c r="D176" s="244" t="s">
        <v>379</v>
      </c>
      <c r="E176" s="275">
        <v>89.8</v>
      </c>
      <c r="F176" s="275">
        <v>108.5</v>
      </c>
      <c r="G176" s="275">
        <v>124.7</v>
      </c>
      <c r="H176" s="269">
        <v>124.7</v>
      </c>
      <c r="I176" s="357">
        <v>2015</v>
      </c>
      <c r="J176" s="266">
        <v>1</v>
      </c>
      <c r="K176" s="266">
        <v>1</v>
      </c>
      <c r="L176" s="243">
        <v>1</v>
      </c>
      <c r="M176" s="242">
        <v>0</v>
      </c>
      <c r="N176" s="241">
        <v>89.8</v>
      </c>
      <c r="O176" s="241">
        <v>108.5</v>
      </c>
      <c r="P176" s="241">
        <v>124.7</v>
      </c>
      <c r="Q176" s="241">
        <v>124.7</v>
      </c>
      <c r="R176" s="241">
        <v>89.8</v>
      </c>
      <c r="S176" s="244"/>
      <c r="T176" s="388" t="s">
        <v>644</v>
      </c>
      <c r="U176" s="249"/>
    </row>
    <row r="177" spans="2:21" ht="13.8">
      <c r="B177" s="249"/>
      <c r="C177" s="245" t="s">
        <v>528</v>
      </c>
      <c r="D177" s="244" t="s">
        <v>379</v>
      </c>
      <c r="E177" s="275">
        <v>34.799999999999997</v>
      </c>
      <c r="F177" s="275">
        <v>34.799999999999997</v>
      </c>
      <c r="G177" s="275">
        <v>34.799999999999997</v>
      </c>
      <c r="H177" s="269">
        <v>34.799999999999997</v>
      </c>
      <c r="I177" s="357">
        <v>2015</v>
      </c>
      <c r="J177" s="266">
        <v>1</v>
      </c>
      <c r="K177" s="266">
        <v>1</v>
      </c>
      <c r="L177" s="243">
        <v>1</v>
      </c>
      <c r="M177" s="279">
        <v>0</v>
      </c>
      <c r="N177" s="241">
        <v>34.799999999999997</v>
      </c>
      <c r="O177" s="241">
        <v>34.799999999999997</v>
      </c>
      <c r="P177" s="241">
        <v>34.799999999999997</v>
      </c>
      <c r="Q177" s="241">
        <v>34.799999999999997</v>
      </c>
      <c r="R177" s="241">
        <v>34.799999999999997</v>
      </c>
      <c r="S177" s="244"/>
      <c r="T177" s="388" t="s">
        <v>644</v>
      </c>
      <c r="U177" s="249"/>
    </row>
    <row r="178" spans="2:21" ht="13.8">
      <c r="B178" s="249"/>
      <c r="C178" s="245" t="s">
        <v>529</v>
      </c>
      <c r="D178" s="244" t="s">
        <v>379</v>
      </c>
      <c r="E178" s="275">
        <v>28.7</v>
      </c>
      <c r="F178" s="275">
        <v>28.7</v>
      </c>
      <c r="G178" s="275">
        <v>28.7</v>
      </c>
      <c r="H178" s="269">
        <v>28.7</v>
      </c>
      <c r="I178" s="357">
        <v>2015</v>
      </c>
      <c r="J178" s="266">
        <v>1</v>
      </c>
      <c r="K178" s="266">
        <v>1</v>
      </c>
      <c r="L178" s="243">
        <v>1</v>
      </c>
      <c r="M178" s="279">
        <v>0</v>
      </c>
      <c r="N178" s="241">
        <v>28.7</v>
      </c>
      <c r="O178" s="241">
        <v>28.7</v>
      </c>
      <c r="P178" s="241">
        <v>28.7</v>
      </c>
      <c r="Q178" s="241">
        <v>28.7</v>
      </c>
      <c r="R178" s="241">
        <v>28.7</v>
      </c>
      <c r="S178" s="244"/>
      <c r="T178" s="388" t="s">
        <v>644</v>
      </c>
      <c r="U178" s="249"/>
    </row>
    <row r="179" spans="2:21" ht="13.8">
      <c r="B179" s="249"/>
      <c r="C179" s="245" t="s">
        <v>530</v>
      </c>
      <c r="D179" s="244" t="s">
        <v>379</v>
      </c>
      <c r="E179" s="275">
        <v>2.2000000000000002</v>
      </c>
      <c r="F179" s="275">
        <v>2.2000000000000002</v>
      </c>
      <c r="G179" s="275">
        <v>2.2000000000000002</v>
      </c>
      <c r="H179" s="269">
        <v>2.2000000000000002</v>
      </c>
      <c r="I179" s="357">
        <v>2015</v>
      </c>
      <c r="J179" s="266">
        <v>1</v>
      </c>
      <c r="K179" s="266">
        <v>1</v>
      </c>
      <c r="L179" s="243">
        <v>1</v>
      </c>
      <c r="M179" s="279">
        <v>0</v>
      </c>
      <c r="N179" s="241">
        <v>2.2000000000000002</v>
      </c>
      <c r="O179" s="241">
        <v>2.2000000000000002</v>
      </c>
      <c r="P179" s="241">
        <v>2.2000000000000002</v>
      </c>
      <c r="Q179" s="241">
        <v>2.2000000000000002</v>
      </c>
      <c r="R179" s="241">
        <v>2.2000000000000002</v>
      </c>
      <c r="S179" s="244"/>
      <c r="T179" s="388" t="s">
        <v>644</v>
      </c>
      <c r="U179" s="249"/>
    </row>
    <row r="180" spans="2:21" ht="13.8">
      <c r="B180" s="249"/>
      <c r="C180" s="245" t="s">
        <v>531</v>
      </c>
      <c r="D180" s="244" t="s">
        <v>379</v>
      </c>
      <c r="E180" s="280">
        <v>61</v>
      </c>
      <c r="F180" s="280">
        <v>61.7</v>
      </c>
      <c r="G180" s="280">
        <v>65.8</v>
      </c>
      <c r="H180" s="269">
        <v>65.8</v>
      </c>
      <c r="I180" s="357">
        <v>2015</v>
      </c>
      <c r="J180" s="266">
        <v>1</v>
      </c>
      <c r="K180" s="266">
        <v>1</v>
      </c>
      <c r="L180" s="243">
        <v>1</v>
      </c>
      <c r="M180" s="242">
        <v>0</v>
      </c>
      <c r="N180" s="241">
        <v>61</v>
      </c>
      <c r="O180" s="241">
        <v>61.7</v>
      </c>
      <c r="P180" s="241">
        <v>65.8</v>
      </c>
      <c r="Q180" s="241">
        <v>65.8</v>
      </c>
      <c r="R180" s="241">
        <v>61</v>
      </c>
      <c r="S180" s="244" t="s">
        <v>532</v>
      </c>
      <c r="T180" s="388" t="s">
        <v>644</v>
      </c>
      <c r="U180" s="249"/>
    </row>
    <row r="181" spans="2:21" ht="13.8">
      <c r="B181" s="249"/>
      <c r="C181" s="245" t="s">
        <v>533</v>
      </c>
      <c r="D181" s="244" t="s">
        <v>379</v>
      </c>
      <c r="E181" s="280">
        <v>49.8</v>
      </c>
      <c r="F181" s="280">
        <v>50.6</v>
      </c>
      <c r="G181" s="280">
        <v>54.7</v>
      </c>
      <c r="H181" s="269">
        <v>54.7</v>
      </c>
      <c r="I181" s="357">
        <v>2015</v>
      </c>
      <c r="J181" s="266">
        <v>1</v>
      </c>
      <c r="K181" s="266">
        <v>1</v>
      </c>
      <c r="L181" s="243">
        <v>1</v>
      </c>
      <c r="M181" s="242">
        <v>0</v>
      </c>
      <c r="N181" s="241">
        <v>49.8</v>
      </c>
      <c r="O181" s="241">
        <v>50.6</v>
      </c>
      <c r="P181" s="241">
        <v>54.7</v>
      </c>
      <c r="Q181" s="241">
        <v>54.7</v>
      </c>
      <c r="R181" s="241">
        <v>49.8</v>
      </c>
      <c r="S181" s="244" t="s">
        <v>532</v>
      </c>
      <c r="T181" s="388" t="s">
        <v>644</v>
      </c>
      <c r="U181" s="249"/>
    </row>
    <row r="182" spans="2:21" ht="13.8">
      <c r="B182" s="249"/>
      <c r="C182" s="245" t="s">
        <v>534</v>
      </c>
      <c r="D182" s="244" t="s">
        <v>379</v>
      </c>
      <c r="E182" s="275">
        <v>7</v>
      </c>
      <c r="F182" s="275">
        <v>7</v>
      </c>
      <c r="G182" s="275">
        <v>7</v>
      </c>
      <c r="H182" s="269">
        <v>7</v>
      </c>
      <c r="I182" s="357">
        <v>2015</v>
      </c>
      <c r="J182" s="266">
        <v>1</v>
      </c>
      <c r="K182" s="266">
        <v>1</v>
      </c>
      <c r="L182" s="243">
        <v>1</v>
      </c>
      <c r="M182" s="279">
        <v>0</v>
      </c>
      <c r="N182" s="241">
        <v>7</v>
      </c>
      <c r="O182" s="241">
        <v>7</v>
      </c>
      <c r="P182" s="241">
        <v>7</v>
      </c>
      <c r="Q182" s="241">
        <v>7</v>
      </c>
      <c r="R182" s="241">
        <v>7</v>
      </c>
      <c r="S182" s="244"/>
      <c r="T182" s="388" t="s">
        <v>644</v>
      </c>
      <c r="U182" s="249"/>
    </row>
    <row r="183" spans="2:21" ht="13.8">
      <c r="B183" s="249"/>
      <c r="C183" s="245" t="s">
        <v>535</v>
      </c>
      <c r="D183" s="244" t="s">
        <v>379</v>
      </c>
      <c r="E183" s="275">
        <v>30.2</v>
      </c>
      <c r="F183" s="275">
        <v>30.2</v>
      </c>
      <c r="G183" s="275">
        <v>30.2</v>
      </c>
      <c r="H183" s="269">
        <v>30.2</v>
      </c>
      <c r="I183" s="357">
        <v>2015</v>
      </c>
      <c r="J183" s="266">
        <v>1</v>
      </c>
      <c r="K183" s="266">
        <v>1</v>
      </c>
      <c r="L183" s="243">
        <v>1</v>
      </c>
      <c r="M183" s="279">
        <v>0</v>
      </c>
      <c r="N183" s="241">
        <v>30.2</v>
      </c>
      <c r="O183" s="241">
        <v>30.2</v>
      </c>
      <c r="P183" s="241">
        <v>30.2</v>
      </c>
      <c r="Q183" s="241">
        <v>30.2</v>
      </c>
      <c r="R183" s="241">
        <v>30.2</v>
      </c>
      <c r="S183" s="244"/>
      <c r="T183" s="388" t="s">
        <v>644</v>
      </c>
      <c r="U183" s="249"/>
    </row>
    <row r="184" spans="2:21" ht="13.8">
      <c r="B184" s="249"/>
      <c r="C184" s="245" t="s">
        <v>68</v>
      </c>
      <c r="D184" s="244" t="s">
        <v>379</v>
      </c>
      <c r="E184" s="382">
        <v>143.69999999999999</v>
      </c>
      <c r="F184" s="382">
        <v>146.4</v>
      </c>
      <c r="G184" s="382">
        <v>156.80000000000001</v>
      </c>
      <c r="H184" s="382">
        <v>156.80000000000001</v>
      </c>
      <c r="I184" s="357">
        <v>2015</v>
      </c>
      <c r="J184" s="266">
        <v>1</v>
      </c>
      <c r="K184" s="266">
        <v>1</v>
      </c>
      <c r="L184" s="243">
        <v>1</v>
      </c>
      <c r="M184" s="242">
        <v>0</v>
      </c>
      <c r="N184" s="241">
        <v>143.69999999999999</v>
      </c>
      <c r="O184" s="241">
        <v>146.4</v>
      </c>
      <c r="P184" s="241">
        <v>156.80000000000001</v>
      </c>
      <c r="Q184" s="241">
        <v>156.80000000000001</v>
      </c>
      <c r="R184" s="241">
        <v>143.69999999999999</v>
      </c>
      <c r="S184" s="244" t="s">
        <v>536</v>
      </c>
      <c r="T184" s="388"/>
      <c r="U184" s="249"/>
    </row>
    <row r="185" spans="2:21" ht="13.8">
      <c r="B185" s="249"/>
      <c r="C185" s="245" t="s">
        <v>537</v>
      </c>
      <c r="D185" s="244" t="s">
        <v>379</v>
      </c>
      <c r="E185" s="275">
        <v>67</v>
      </c>
      <c r="F185" s="275">
        <v>66.2</v>
      </c>
      <c r="G185" s="275">
        <v>73.3</v>
      </c>
      <c r="H185" s="269">
        <v>73.3</v>
      </c>
      <c r="I185" s="357">
        <v>2011</v>
      </c>
      <c r="J185" s="266">
        <v>1</v>
      </c>
      <c r="K185" s="266">
        <v>1.0640000000000001</v>
      </c>
      <c r="L185" s="243">
        <v>1.0640000000000001</v>
      </c>
      <c r="M185" s="242">
        <v>0</v>
      </c>
      <c r="N185" s="241">
        <v>71.3</v>
      </c>
      <c r="O185" s="241">
        <v>70.400000000000006</v>
      </c>
      <c r="P185" s="241">
        <v>78</v>
      </c>
      <c r="Q185" s="241">
        <v>78</v>
      </c>
      <c r="R185" s="241">
        <v>71.3</v>
      </c>
      <c r="S185" s="244" t="s">
        <v>538</v>
      </c>
      <c r="T185" s="388" t="s">
        <v>645</v>
      </c>
      <c r="U185" s="249"/>
    </row>
    <row r="186" spans="2:21" ht="13.8">
      <c r="B186" s="249"/>
      <c r="C186" s="245" t="s">
        <v>401</v>
      </c>
      <c r="D186" s="244" t="s">
        <v>379</v>
      </c>
      <c r="E186" s="383">
        <v>69.7</v>
      </c>
      <c r="F186" s="383">
        <v>76.8</v>
      </c>
      <c r="G186" s="383">
        <v>77</v>
      </c>
      <c r="H186" s="383">
        <v>77</v>
      </c>
      <c r="I186" s="357">
        <v>2013</v>
      </c>
      <c r="J186" s="266">
        <v>1</v>
      </c>
      <c r="K186" s="266">
        <v>1.038</v>
      </c>
      <c r="L186" s="243">
        <v>1.038</v>
      </c>
      <c r="M186" s="242">
        <v>0</v>
      </c>
      <c r="N186" s="241">
        <v>72.400000000000006</v>
      </c>
      <c r="O186" s="241">
        <v>79.7</v>
      </c>
      <c r="P186" s="241">
        <v>79.900000000000006</v>
      </c>
      <c r="Q186" s="241">
        <v>79.900000000000006</v>
      </c>
      <c r="R186" s="241">
        <v>72.400000000000006</v>
      </c>
      <c r="S186" s="237" t="s">
        <v>539</v>
      </c>
      <c r="T186" s="388" t="s">
        <v>646</v>
      </c>
      <c r="U186" s="249"/>
    </row>
    <row r="187" spans="2:21" ht="13.8">
      <c r="B187" s="249"/>
      <c r="C187" s="245" t="s">
        <v>402</v>
      </c>
      <c r="D187" s="244" t="s">
        <v>379</v>
      </c>
      <c r="E187" s="384">
        <v>10.3</v>
      </c>
      <c r="F187" s="384">
        <v>10.3</v>
      </c>
      <c r="G187" s="384">
        <v>10.3</v>
      </c>
      <c r="H187" s="384">
        <v>10.3</v>
      </c>
      <c r="I187" s="357">
        <v>2014</v>
      </c>
      <c r="J187" s="266">
        <v>1</v>
      </c>
      <c r="K187" s="266">
        <v>1.0249999999999999</v>
      </c>
      <c r="L187" s="243">
        <v>1.0249999999999999</v>
      </c>
      <c r="M187" s="242">
        <v>0</v>
      </c>
      <c r="N187" s="241">
        <v>10.6</v>
      </c>
      <c r="O187" s="241">
        <v>10.6</v>
      </c>
      <c r="P187" s="241">
        <v>10.6</v>
      </c>
      <c r="Q187" s="241">
        <v>10.6</v>
      </c>
      <c r="R187" s="241">
        <v>10.6</v>
      </c>
      <c r="S187" s="237"/>
      <c r="T187" s="388" t="s">
        <v>540</v>
      </c>
      <c r="U187" s="249"/>
    </row>
    <row r="188" spans="2:21" ht="13.8">
      <c r="B188" s="249"/>
      <c r="C188" s="245" t="s">
        <v>403</v>
      </c>
      <c r="D188" s="244" t="s">
        <v>379</v>
      </c>
      <c r="E188" s="269">
        <v>38.6</v>
      </c>
      <c r="F188" s="269">
        <v>41.2</v>
      </c>
      <c r="G188" s="269">
        <v>46.9</v>
      </c>
      <c r="H188" s="269">
        <v>51.9</v>
      </c>
      <c r="I188" s="357">
        <v>2012</v>
      </c>
      <c r="J188" s="266">
        <v>1</v>
      </c>
      <c r="K188" s="266">
        <v>1.0589999999999999</v>
      </c>
      <c r="L188" s="243">
        <v>1.0589999999999999</v>
      </c>
      <c r="M188" s="242"/>
      <c r="N188" s="241">
        <v>40.9</v>
      </c>
      <c r="O188" s="241">
        <v>43.6</v>
      </c>
      <c r="P188" s="241">
        <v>49.6</v>
      </c>
      <c r="Q188" s="241">
        <v>55</v>
      </c>
      <c r="R188" s="241">
        <v>40.9</v>
      </c>
      <c r="S188" s="237"/>
      <c r="T188" s="388" t="s">
        <v>647</v>
      </c>
      <c r="U188" s="249"/>
    </row>
    <row r="189" spans="2:21" ht="13.8">
      <c r="B189" s="249"/>
      <c r="C189" s="245" t="s">
        <v>404</v>
      </c>
      <c r="D189" s="244" t="s">
        <v>379</v>
      </c>
      <c r="E189" s="385">
        <v>101.7</v>
      </c>
      <c r="F189" s="385">
        <v>112.5</v>
      </c>
      <c r="G189" s="385">
        <v>118.1</v>
      </c>
      <c r="H189" s="385">
        <v>118.1</v>
      </c>
      <c r="I189" s="357">
        <v>2015</v>
      </c>
      <c r="J189" s="266">
        <v>1</v>
      </c>
      <c r="K189" s="266">
        <v>1</v>
      </c>
      <c r="L189" s="243">
        <v>1</v>
      </c>
      <c r="M189" s="242"/>
      <c r="N189" s="241">
        <v>101.7</v>
      </c>
      <c r="O189" s="241">
        <v>112.5</v>
      </c>
      <c r="P189" s="241">
        <v>118.1</v>
      </c>
      <c r="Q189" s="241">
        <v>118.1</v>
      </c>
      <c r="R189" s="241">
        <v>101.7</v>
      </c>
      <c r="S189" s="237" t="s">
        <v>541</v>
      </c>
      <c r="T189" s="388" t="s">
        <v>646</v>
      </c>
      <c r="U189" s="249"/>
    </row>
    <row r="190" spans="2:21" ht="13.8">
      <c r="B190" s="249"/>
      <c r="C190" s="245" t="s">
        <v>426</v>
      </c>
      <c r="D190" s="244" t="s">
        <v>379</v>
      </c>
      <c r="E190" s="385">
        <v>91.8</v>
      </c>
      <c r="F190" s="385">
        <v>102.2</v>
      </c>
      <c r="G190" s="385">
        <v>114.4</v>
      </c>
      <c r="H190" s="385">
        <v>114.4</v>
      </c>
      <c r="I190" s="357">
        <v>2015</v>
      </c>
      <c r="J190" s="266">
        <v>1</v>
      </c>
      <c r="K190" s="266">
        <v>1</v>
      </c>
      <c r="L190" s="243">
        <v>1</v>
      </c>
      <c r="M190" s="242"/>
      <c r="N190" s="241">
        <v>91.8</v>
      </c>
      <c r="O190" s="241">
        <v>102.2</v>
      </c>
      <c r="P190" s="241">
        <v>114.4</v>
      </c>
      <c r="Q190" s="241">
        <v>114.4</v>
      </c>
      <c r="R190" s="241">
        <v>91.8</v>
      </c>
      <c r="S190" s="237"/>
      <c r="T190" s="388"/>
      <c r="U190" s="249"/>
    </row>
    <row r="191" spans="2:21" s="404" customFormat="1" ht="13.8">
      <c r="B191" s="249"/>
      <c r="C191" s="245" t="s">
        <v>635</v>
      </c>
      <c r="D191" s="244" t="s">
        <v>379</v>
      </c>
      <c r="E191" s="469">
        <v>148.80000000000001</v>
      </c>
      <c r="F191" s="469">
        <v>176.4</v>
      </c>
      <c r="G191" s="469">
        <v>187.5</v>
      </c>
      <c r="H191" s="469">
        <v>187.5</v>
      </c>
      <c r="I191" s="463">
        <v>2015</v>
      </c>
      <c r="J191" s="446">
        <v>1</v>
      </c>
      <c r="K191" s="446">
        <v>1</v>
      </c>
      <c r="L191" s="243">
        <v>1</v>
      </c>
      <c r="M191" s="242">
        <v>0</v>
      </c>
      <c r="N191" s="241">
        <v>148.80000000000001</v>
      </c>
      <c r="O191" s="241">
        <v>176.4</v>
      </c>
      <c r="P191" s="241">
        <v>187.5</v>
      </c>
      <c r="Q191" s="241">
        <v>187.5</v>
      </c>
      <c r="R191" s="241">
        <v>148.80000000000001</v>
      </c>
      <c r="S191" s="237"/>
      <c r="T191" s="470" t="s">
        <v>648</v>
      </c>
      <c r="U191" s="249"/>
    </row>
    <row r="192" spans="2:21" ht="13.8">
      <c r="B192" s="249"/>
      <c r="C192" s="245" t="s">
        <v>406</v>
      </c>
      <c r="D192" s="244" t="s">
        <v>379</v>
      </c>
      <c r="E192" s="269">
        <v>45.4</v>
      </c>
      <c r="F192" s="269">
        <v>48.4</v>
      </c>
      <c r="G192" s="269">
        <v>55.1</v>
      </c>
      <c r="H192" s="269">
        <v>61.1</v>
      </c>
      <c r="I192" s="357">
        <v>2012</v>
      </c>
      <c r="J192" s="266">
        <v>1</v>
      </c>
      <c r="K192" s="266">
        <v>1.0589999999999999</v>
      </c>
      <c r="L192" s="243">
        <v>1.0589999999999999</v>
      </c>
      <c r="M192" s="242"/>
      <c r="N192" s="241">
        <v>48.1</v>
      </c>
      <c r="O192" s="241">
        <v>51.3</v>
      </c>
      <c r="P192" s="241">
        <v>58.4</v>
      </c>
      <c r="Q192" s="241">
        <v>64.7</v>
      </c>
      <c r="R192" s="241">
        <v>48.1</v>
      </c>
      <c r="S192" s="237" t="s">
        <v>542</v>
      </c>
      <c r="T192" s="388" t="s">
        <v>647</v>
      </c>
      <c r="U192" s="249"/>
    </row>
    <row r="193" spans="2:21" ht="13.8">
      <c r="B193" s="249"/>
      <c r="C193" s="245" t="s">
        <v>407</v>
      </c>
      <c r="D193" s="244" t="s">
        <v>379</v>
      </c>
      <c r="E193" s="386">
        <v>61.8</v>
      </c>
      <c r="F193" s="386">
        <v>63.3</v>
      </c>
      <c r="G193" s="386">
        <v>67.8</v>
      </c>
      <c r="H193" s="386">
        <v>71.5</v>
      </c>
      <c r="I193" s="357">
        <v>2012</v>
      </c>
      <c r="J193" s="266">
        <v>1</v>
      </c>
      <c r="K193" s="266">
        <v>1.0589999999999999</v>
      </c>
      <c r="L193" s="243">
        <v>1.0589999999999999</v>
      </c>
      <c r="M193" s="242"/>
      <c r="N193" s="241">
        <v>65.5</v>
      </c>
      <c r="O193" s="241">
        <v>67.099999999999994</v>
      </c>
      <c r="P193" s="241">
        <v>71.8</v>
      </c>
      <c r="Q193" s="241">
        <v>75.7</v>
      </c>
      <c r="R193" s="241">
        <v>65.5</v>
      </c>
      <c r="S193" s="237" t="s">
        <v>542</v>
      </c>
      <c r="T193" s="388" t="s">
        <v>647</v>
      </c>
      <c r="U193" s="249"/>
    </row>
    <row r="194" spans="2:21" ht="13.8">
      <c r="B194" s="249"/>
      <c r="C194" s="245" t="s">
        <v>408</v>
      </c>
      <c r="D194" s="244" t="s">
        <v>379</v>
      </c>
      <c r="E194" s="314">
        <v>72.5</v>
      </c>
      <c r="F194" s="314">
        <v>91.24</v>
      </c>
      <c r="G194" s="314">
        <v>157.88999999999999</v>
      </c>
      <c r="H194" s="314">
        <v>157.88999999999999</v>
      </c>
      <c r="I194" s="357">
        <v>2015</v>
      </c>
      <c r="J194" s="266">
        <v>1</v>
      </c>
      <c r="K194" s="266">
        <v>1</v>
      </c>
      <c r="L194" s="243">
        <v>1</v>
      </c>
      <c r="M194" s="242"/>
      <c r="N194" s="241">
        <v>72.5</v>
      </c>
      <c r="O194" s="241">
        <v>91.2</v>
      </c>
      <c r="P194" s="241">
        <v>157.9</v>
      </c>
      <c r="Q194" s="241">
        <v>157.9</v>
      </c>
      <c r="R194" s="241">
        <v>72.5</v>
      </c>
      <c r="S194" s="237"/>
      <c r="T194" s="388" t="s">
        <v>645</v>
      </c>
      <c r="U194" s="249"/>
    </row>
    <row r="195" spans="2:21" ht="13.8">
      <c r="B195" s="249"/>
      <c r="C195" s="245" t="s">
        <v>409</v>
      </c>
      <c r="D195" s="244" t="s">
        <v>379</v>
      </c>
      <c r="E195" s="314">
        <v>72.5</v>
      </c>
      <c r="F195" s="314">
        <v>91.24</v>
      </c>
      <c r="G195" s="314">
        <v>157.88999999999999</v>
      </c>
      <c r="H195" s="314">
        <v>157.88999999999999</v>
      </c>
      <c r="I195" s="357">
        <v>2015</v>
      </c>
      <c r="J195" s="266">
        <v>1</v>
      </c>
      <c r="K195" s="266">
        <v>1</v>
      </c>
      <c r="L195" s="243">
        <v>1</v>
      </c>
      <c r="M195" s="242"/>
      <c r="N195" s="241">
        <v>72.5</v>
      </c>
      <c r="O195" s="241">
        <v>91.2</v>
      </c>
      <c r="P195" s="241">
        <v>157.9</v>
      </c>
      <c r="Q195" s="241">
        <v>157.9</v>
      </c>
      <c r="R195" s="241">
        <v>72.5</v>
      </c>
      <c r="S195" s="237" t="s">
        <v>543</v>
      </c>
      <c r="T195" s="388" t="s">
        <v>645</v>
      </c>
      <c r="U195" s="249"/>
    </row>
    <row r="196" spans="2:21" ht="13.8">
      <c r="B196" s="249"/>
      <c r="C196" s="245" t="s">
        <v>412</v>
      </c>
      <c r="D196" s="244" t="s">
        <v>379</v>
      </c>
      <c r="E196" s="387">
        <v>44.31</v>
      </c>
      <c r="F196" s="387">
        <v>44.31</v>
      </c>
      <c r="G196" s="387">
        <v>44.31</v>
      </c>
      <c r="H196" s="387">
        <v>44.31</v>
      </c>
      <c r="I196" s="357">
        <v>2011</v>
      </c>
      <c r="J196" s="266">
        <v>1</v>
      </c>
      <c r="K196" s="266">
        <v>1.0640000000000001</v>
      </c>
      <c r="L196" s="243">
        <v>1.0640000000000001</v>
      </c>
      <c r="M196" s="242"/>
      <c r="N196" s="241">
        <v>47.2</v>
      </c>
      <c r="O196" s="241">
        <v>47.2</v>
      </c>
      <c r="P196" s="241">
        <v>47.2</v>
      </c>
      <c r="Q196" s="241">
        <v>47.2</v>
      </c>
      <c r="R196" s="241">
        <v>47.2</v>
      </c>
      <c r="S196" s="237"/>
      <c r="T196" s="389" t="s">
        <v>649</v>
      </c>
      <c r="U196" s="249"/>
    </row>
    <row r="197" spans="2:21" ht="13.8">
      <c r="B197" s="249"/>
      <c r="C197" s="245" t="s">
        <v>413</v>
      </c>
      <c r="D197" s="244" t="s">
        <v>379</v>
      </c>
      <c r="E197" s="384">
        <v>187</v>
      </c>
      <c r="F197" s="384">
        <v>186.2</v>
      </c>
      <c r="G197" s="384">
        <v>205</v>
      </c>
      <c r="H197" s="384">
        <v>205</v>
      </c>
      <c r="I197" s="357">
        <v>2010</v>
      </c>
      <c r="J197" s="266">
        <v>1</v>
      </c>
      <c r="K197" s="266">
        <v>1.1100000000000001</v>
      </c>
      <c r="L197" s="243">
        <v>1.1100000000000001</v>
      </c>
      <c r="M197" s="242"/>
      <c r="N197" s="241">
        <v>207.6</v>
      </c>
      <c r="O197" s="241">
        <v>206.6</v>
      </c>
      <c r="P197" s="241">
        <v>227.6</v>
      </c>
      <c r="Q197" s="241">
        <v>227.6</v>
      </c>
      <c r="R197" s="241">
        <v>207.6</v>
      </c>
      <c r="S197" s="237" t="s">
        <v>544</v>
      </c>
      <c r="T197" s="390" t="s">
        <v>650</v>
      </c>
      <c r="U197" s="249"/>
    </row>
    <row r="198" spans="2:21" ht="13.8">
      <c r="B198" s="249"/>
      <c r="C198" s="245" t="s">
        <v>414</v>
      </c>
      <c r="D198" s="244" t="s">
        <v>379</v>
      </c>
      <c r="E198" s="384">
        <v>146.80000000000001</v>
      </c>
      <c r="F198" s="384">
        <v>146.1</v>
      </c>
      <c r="G198" s="384">
        <v>160.9</v>
      </c>
      <c r="H198" s="384">
        <v>160.9</v>
      </c>
      <c r="I198" s="357">
        <v>2010</v>
      </c>
      <c r="J198" s="266">
        <v>1</v>
      </c>
      <c r="K198" s="266">
        <v>1.1100000000000001</v>
      </c>
      <c r="L198" s="243">
        <v>1.1100000000000001</v>
      </c>
      <c r="M198" s="242"/>
      <c r="N198" s="241">
        <v>162.9</v>
      </c>
      <c r="O198" s="241">
        <v>162.19999999999999</v>
      </c>
      <c r="P198" s="241">
        <v>178.6</v>
      </c>
      <c r="Q198" s="241">
        <v>178.6</v>
      </c>
      <c r="R198" s="241">
        <v>162.9</v>
      </c>
      <c r="S198" s="237" t="s">
        <v>544</v>
      </c>
      <c r="T198" s="390" t="s">
        <v>650</v>
      </c>
      <c r="U198" s="249"/>
    </row>
    <row r="199" spans="2:21" ht="13.8">
      <c r="B199" s="249"/>
      <c r="C199" s="245" t="s">
        <v>364</v>
      </c>
      <c r="D199" s="244" t="s">
        <v>379</v>
      </c>
      <c r="E199" s="385">
        <v>80</v>
      </c>
      <c r="F199" s="385">
        <v>94.8</v>
      </c>
      <c r="G199" s="385">
        <v>100.8</v>
      </c>
      <c r="H199" s="385">
        <v>100.8</v>
      </c>
      <c r="I199" s="357">
        <v>2013</v>
      </c>
      <c r="J199" s="266">
        <v>1</v>
      </c>
      <c r="K199" s="266">
        <v>1.038</v>
      </c>
      <c r="L199" s="243">
        <v>1.038</v>
      </c>
      <c r="M199" s="242"/>
      <c r="N199" s="241">
        <v>83.1</v>
      </c>
      <c r="O199" s="241">
        <v>98.5</v>
      </c>
      <c r="P199" s="241">
        <v>104.7</v>
      </c>
      <c r="Q199" s="241">
        <v>104.7</v>
      </c>
      <c r="R199" s="241">
        <v>83.1</v>
      </c>
      <c r="S199" s="244"/>
      <c r="T199" s="236"/>
      <c r="U199" s="249"/>
    </row>
    <row r="200" spans="2:21" ht="13.8">
      <c r="B200" s="249"/>
      <c r="C200" s="245" t="s">
        <v>545</v>
      </c>
      <c r="D200" s="244" t="s">
        <v>546</v>
      </c>
      <c r="E200" s="384">
        <v>0</v>
      </c>
      <c r="F200" s="384">
        <v>0</v>
      </c>
      <c r="G200" s="384">
        <v>0</v>
      </c>
      <c r="H200" s="384">
        <v>0</v>
      </c>
      <c r="I200" s="357">
        <v>2010</v>
      </c>
      <c r="J200" s="266">
        <v>1</v>
      </c>
      <c r="K200" s="266">
        <v>1.1100000000000001</v>
      </c>
      <c r="L200" s="243">
        <v>1.1100000000000001</v>
      </c>
      <c r="M200" s="242"/>
      <c r="N200" s="241">
        <v>0.1</v>
      </c>
      <c r="O200" s="241">
        <v>0.1</v>
      </c>
      <c r="P200" s="241">
        <v>0.1</v>
      </c>
      <c r="Q200" s="241">
        <v>0.1</v>
      </c>
      <c r="R200" s="243">
        <v>5.2999999999999999E-2</v>
      </c>
      <c r="S200" s="244"/>
      <c r="T200" s="390" t="s">
        <v>556</v>
      </c>
      <c r="U200" s="249"/>
    </row>
    <row r="201" spans="2:21" ht="13.8">
      <c r="B201" s="249"/>
      <c r="C201" s="245" t="s">
        <v>547</v>
      </c>
      <c r="D201" s="244" t="s">
        <v>546</v>
      </c>
      <c r="E201" s="384">
        <v>0</v>
      </c>
      <c r="F201" s="384">
        <v>0</v>
      </c>
      <c r="G201" s="384">
        <v>0</v>
      </c>
      <c r="H201" s="384">
        <v>0</v>
      </c>
      <c r="I201" s="357">
        <v>2010</v>
      </c>
      <c r="J201" s="266">
        <v>1</v>
      </c>
      <c r="K201" s="266">
        <v>1.1100000000000001</v>
      </c>
      <c r="L201" s="243">
        <v>1.1100000000000001</v>
      </c>
      <c r="M201" s="242"/>
      <c r="N201" s="241">
        <v>0.1</v>
      </c>
      <c r="O201" s="241">
        <v>0.1</v>
      </c>
      <c r="P201" s="241">
        <v>0.1</v>
      </c>
      <c r="Q201" s="241">
        <v>0.1</v>
      </c>
      <c r="R201" s="243">
        <v>5.2999999999999999E-2</v>
      </c>
      <c r="S201" s="244"/>
      <c r="T201" s="390" t="s">
        <v>556</v>
      </c>
      <c r="U201" s="249"/>
    </row>
    <row r="202" spans="2:21" ht="13.8">
      <c r="B202" s="249"/>
      <c r="C202" s="245" t="s">
        <v>548</v>
      </c>
      <c r="D202" s="244" t="s">
        <v>546</v>
      </c>
      <c r="E202" s="384">
        <v>0</v>
      </c>
      <c r="F202" s="384">
        <v>0</v>
      </c>
      <c r="G202" s="384">
        <v>0</v>
      </c>
      <c r="H202" s="384">
        <v>0</v>
      </c>
      <c r="I202" s="357">
        <v>2010</v>
      </c>
      <c r="J202" s="266">
        <v>1</v>
      </c>
      <c r="K202" s="266">
        <v>1.1100000000000001</v>
      </c>
      <c r="L202" s="243">
        <v>1.1100000000000001</v>
      </c>
      <c r="M202" s="242"/>
      <c r="N202" s="241">
        <v>0</v>
      </c>
      <c r="O202" s="241">
        <v>0</v>
      </c>
      <c r="P202" s="241">
        <v>0</v>
      </c>
      <c r="Q202" s="241">
        <v>0</v>
      </c>
      <c r="R202" s="243">
        <v>0.02</v>
      </c>
      <c r="S202" s="244"/>
      <c r="T202" s="390" t="s">
        <v>556</v>
      </c>
      <c r="U202" s="249"/>
    </row>
    <row r="203" spans="2:21" ht="13.8">
      <c r="B203" s="249"/>
      <c r="C203" s="245" t="s">
        <v>549</v>
      </c>
      <c r="D203" s="244" t="s">
        <v>546</v>
      </c>
      <c r="E203" s="384">
        <v>0.1</v>
      </c>
      <c r="F203" s="384">
        <v>0.1</v>
      </c>
      <c r="G203" s="384">
        <v>0.1</v>
      </c>
      <c r="H203" s="384">
        <v>0.1</v>
      </c>
      <c r="I203" s="357">
        <v>2010</v>
      </c>
      <c r="J203" s="266">
        <v>1</v>
      </c>
      <c r="K203" s="266">
        <v>1.1100000000000001</v>
      </c>
      <c r="L203" s="243">
        <v>1.1100000000000001</v>
      </c>
      <c r="M203" s="242"/>
      <c r="N203" s="241">
        <v>0.1</v>
      </c>
      <c r="O203" s="241">
        <v>0.1</v>
      </c>
      <c r="P203" s="241">
        <v>0.1</v>
      </c>
      <c r="Q203" s="241">
        <v>0.1</v>
      </c>
      <c r="R203" s="243">
        <v>0.108</v>
      </c>
      <c r="S203" s="244"/>
      <c r="T203" s="390" t="s">
        <v>556</v>
      </c>
      <c r="U203" s="249"/>
    </row>
    <row r="204" spans="2:21" ht="13.8">
      <c r="B204" s="249"/>
      <c r="C204" s="245" t="s">
        <v>550</v>
      </c>
      <c r="D204" s="244" t="s">
        <v>546</v>
      </c>
      <c r="E204" s="384">
        <v>0</v>
      </c>
      <c r="F204" s="384">
        <v>0</v>
      </c>
      <c r="G204" s="384">
        <v>0</v>
      </c>
      <c r="H204" s="384">
        <v>0</v>
      </c>
      <c r="I204" s="357">
        <v>2010</v>
      </c>
      <c r="J204" s="266">
        <v>1</v>
      </c>
      <c r="K204" s="266">
        <v>1.1100000000000001</v>
      </c>
      <c r="L204" s="243">
        <v>1.1100000000000001</v>
      </c>
      <c r="M204" s="242"/>
      <c r="N204" s="241">
        <v>0</v>
      </c>
      <c r="O204" s="241">
        <v>0</v>
      </c>
      <c r="P204" s="241">
        <v>0</v>
      </c>
      <c r="Q204" s="241">
        <v>0</v>
      </c>
      <c r="R204" s="243">
        <v>0</v>
      </c>
      <c r="S204" s="244"/>
      <c r="T204" s="390" t="s">
        <v>556</v>
      </c>
      <c r="U204" s="249"/>
    </row>
    <row r="205" spans="2:21" ht="13.8">
      <c r="B205" s="249"/>
      <c r="C205" s="245" t="s">
        <v>551</v>
      </c>
      <c r="D205" s="244" t="s">
        <v>546</v>
      </c>
      <c r="E205" s="384">
        <v>0</v>
      </c>
      <c r="F205" s="384">
        <v>0</v>
      </c>
      <c r="G205" s="384">
        <v>0</v>
      </c>
      <c r="H205" s="384">
        <v>0</v>
      </c>
      <c r="I205" s="357">
        <v>2010</v>
      </c>
      <c r="J205" s="266">
        <v>1</v>
      </c>
      <c r="K205" s="266">
        <v>1.1100000000000001</v>
      </c>
      <c r="L205" s="243">
        <v>1.1100000000000001</v>
      </c>
      <c r="M205" s="242"/>
      <c r="N205" s="241">
        <v>0</v>
      </c>
      <c r="O205" s="241">
        <v>0</v>
      </c>
      <c r="P205" s="241">
        <v>0</v>
      </c>
      <c r="Q205" s="241">
        <v>0</v>
      </c>
      <c r="R205" s="243">
        <v>0</v>
      </c>
      <c r="S205" s="244"/>
      <c r="T205" s="390" t="s">
        <v>556</v>
      </c>
      <c r="U205" s="249"/>
    </row>
    <row r="206" spans="2:21" ht="13.8">
      <c r="B206" s="249"/>
      <c r="C206" s="245" t="s">
        <v>552</v>
      </c>
      <c r="D206" s="244" t="s">
        <v>546</v>
      </c>
      <c r="E206" s="384">
        <v>0</v>
      </c>
      <c r="F206" s="384">
        <v>0</v>
      </c>
      <c r="G206" s="384">
        <v>0</v>
      </c>
      <c r="H206" s="384">
        <v>0</v>
      </c>
      <c r="I206" s="357">
        <v>2010</v>
      </c>
      <c r="J206" s="266">
        <v>1</v>
      </c>
      <c r="K206" s="266">
        <v>1.1100000000000001</v>
      </c>
      <c r="L206" s="243">
        <v>1.1100000000000001</v>
      </c>
      <c r="M206" s="242"/>
      <c r="N206" s="241">
        <v>0</v>
      </c>
      <c r="O206" s="241">
        <v>0</v>
      </c>
      <c r="P206" s="241">
        <v>0</v>
      </c>
      <c r="Q206" s="241">
        <v>0</v>
      </c>
      <c r="R206" s="243">
        <v>0</v>
      </c>
      <c r="S206" s="244"/>
      <c r="T206" s="390" t="s">
        <v>556</v>
      </c>
      <c r="U206" s="249"/>
    </row>
    <row r="207" spans="2:21" ht="13.8">
      <c r="B207" s="249"/>
      <c r="C207" s="245" t="s">
        <v>553</v>
      </c>
      <c r="D207" s="244" t="s">
        <v>546</v>
      </c>
      <c r="E207" s="384">
        <v>0</v>
      </c>
      <c r="F207" s="384">
        <v>0</v>
      </c>
      <c r="G207" s="384">
        <v>0</v>
      </c>
      <c r="H207" s="384">
        <v>0</v>
      </c>
      <c r="I207" s="357">
        <v>2010</v>
      </c>
      <c r="J207" s="266">
        <v>1</v>
      </c>
      <c r="K207" s="266">
        <v>1.1100000000000001</v>
      </c>
      <c r="L207" s="243">
        <v>1.1100000000000001</v>
      </c>
      <c r="M207" s="242"/>
      <c r="N207" s="241">
        <v>0</v>
      </c>
      <c r="O207" s="241">
        <v>0</v>
      </c>
      <c r="P207" s="241">
        <v>0</v>
      </c>
      <c r="Q207" s="241">
        <v>0</v>
      </c>
      <c r="R207" s="243">
        <v>0</v>
      </c>
      <c r="S207" s="244"/>
      <c r="T207" s="390" t="s">
        <v>556</v>
      </c>
      <c r="U207" s="249"/>
    </row>
    <row r="208" spans="2:21" ht="13.8">
      <c r="B208" s="249"/>
      <c r="C208" s="245" t="s">
        <v>651</v>
      </c>
      <c r="D208" s="244" t="s">
        <v>379</v>
      </c>
      <c r="E208" s="275">
        <v>467.1</v>
      </c>
      <c r="F208" s="275">
        <v>287.89999999999998</v>
      </c>
      <c r="G208" s="275">
        <v>355.4</v>
      </c>
      <c r="H208" s="269">
        <v>357.4</v>
      </c>
      <c r="I208" s="235">
        <v>2015</v>
      </c>
      <c r="J208" s="266">
        <v>1</v>
      </c>
      <c r="K208" s="266">
        <v>1</v>
      </c>
      <c r="L208" s="243">
        <v>1</v>
      </c>
      <c r="M208" s="242"/>
      <c r="N208" s="241">
        <v>467.1</v>
      </c>
      <c r="O208" s="241">
        <v>287.89999999999998</v>
      </c>
      <c r="P208" s="241">
        <v>355.4</v>
      </c>
      <c r="Q208" s="241">
        <v>357.4</v>
      </c>
      <c r="R208" s="241">
        <v>467.1</v>
      </c>
      <c r="S208" s="244"/>
      <c r="T208" s="236" t="s">
        <v>652</v>
      </c>
      <c r="U208" s="249"/>
    </row>
    <row r="209" spans="2:21" ht="13.8">
      <c r="B209" s="249"/>
      <c r="C209" s="245"/>
      <c r="D209" s="244"/>
      <c r="E209" s="275"/>
      <c r="F209" s="275"/>
      <c r="G209" s="275"/>
      <c r="H209" s="269"/>
      <c r="I209" s="235"/>
      <c r="J209" s="266"/>
      <c r="K209" s="266"/>
      <c r="L209" s="243"/>
      <c r="M209" s="242"/>
      <c r="N209" s="241"/>
      <c r="O209" s="241"/>
      <c r="P209" s="241"/>
      <c r="Q209" s="241"/>
      <c r="R209" s="241"/>
      <c r="S209" s="244"/>
      <c r="T209" s="236"/>
      <c r="U209" s="249"/>
    </row>
    <row r="210" spans="2:21" ht="13.8">
      <c r="B210" s="249"/>
      <c r="C210" s="245"/>
      <c r="D210" s="244"/>
      <c r="E210" s="275"/>
      <c r="F210" s="275"/>
      <c r="G210" s="275"/>
      <c r="H210" s="269"/>
      <c r="I210" s="235"/>
      <c r="J210" s="266"/>
      <c r="K210" s="266"/>
      <c r="L210" s="243"/>
      <c r="M210" s="242"/>
      <c r="N210" s="241"/>
      <c r="O210" s="241"/>
      <c r="P210" s="241"/>
      <c r="Q210" s="241"/>
      <c r="R210" s="241"/>
      <c r="S210" s="244"/>
      <c r="T210" s="236"/>
      <c r="U210" s="249"/>
    </row>
    <row r="211" spans="2:21" ht="13.8">
      <c r="B211" s="249"/>
      <c r="C211" s="245"/>
      <c r="D211" s="244"/>
      <c r="E211" s="275"/>
      <c r="F211" s="275"/>
      <c r="G211" s="275"/>
      <c r="H211" s="269"/>
      <c r="I211" s="235"/>
      <c r="J211" s="266"/>
      <c r="K211" s="266"/>
      <c r="L211" s="243"/>
      <c r="M211" s="242"/>
      <c r="N211" s="241"/>
      <c r="O211" s="241"/>
      <c r="P211" s="241"/>
      <c r="Q211" s="241"/>
      <c r="R211" s="241"/>
      <c r="S211" s="244"/>
      <c r="T211" s="236"/>
      <c r="U211" s="249"/>
    </row>
    <row r="212" spans="2:21" ht="13.8">
      <c r="B212" s="249"/>
      <c r="C212" s="245"/>
      <c r="D212" s="244"/>
      <c r="E212" s="275"/>
      <c r="F212" s="275"/>
      <c r="G212" s="275"/>
      <c r="H212" s="269"/>
      <c r="I212" s="235"/>
      <c r="J212" s="266"/>
      <c r="K212" s="266"/>
      <c r="L212" s="243"/>
      <c r="M212" s="242"/>
      <c r="N212" s="241"/>
      <c r="O212" s="241"/>
      <c r="P212" s="241"/>
      <c r="Q212" s="241"/>
      <c r="R212" s="241"/>
      <c r="S212" s="244"/>
      <c r="T212" s="236"/>
      <c r="U212" s="249"/>
    </row>
    <row r="213" spans="2:21" ht="14.4" thickBot="1">
      <c r="B213" s="249"/>
      <c r="C213" s="234"/>
      <c r="D213" s="233"/>
      <c r="E213" s="277"/>
      <c r="F213" s="277"/>
      <c r="G213" s="277"/>
      <c r="H213" s="278"/>
      <c r="I213" s="232"/>
      <c r="J213" s="267"/>
      <c r="K213" s="267"/>
      <c r="L213" s="231"/>
      <c r="M213" s="230"/>
      <c r="N213" s="229"/>
      <c r="O213" s="229"/>
      <c r="P213" s="229"/>
      <c r="Q213" s="229"/>
      <c r="R213" s="229"/>
      <c r="S213" s="233"/>
      <c r="T213" s="228"/>
      <c r="U213" s="249"/>
    </row>
    <row r="214" spans="2:21" ht="14.4" thickBot="1">
      <c r="B214" s="249"/>
      <c r="C214" s="227" t="s">
        <v>554</v>
      </c>
      <c r="D214" s="226"/>
      <c r="E214" s="226">
        <v>1</v>
      </c>
      <c r="F214" s="226"/>
      <c r="G214" s="226"/>
      <c r="H214" s="226"/>
      <c r="I214" s="226">
        <v>2005</v>
      </c>
      <c r="J214" s="268">
        <v>1</v>
      </c>
      <c r="K214" s="268">
        <v>1.2689999999999999</v>
      </c>
      <c r="L214" s="225">
        <v>0.78800000000000003</v>
      </c>
      <c r="M214" s="225"/>
      <c r="N214" s="226"/>
      <c r="O214" s="226"/>
      <c r="P214" s="226"/>
      <c r="Q214" s="226"/>
      <c r="R214" s="226"/>
      <c r="S214" s="228"/>
      <c r="T214" s="249"/>
      <c r="U214" s="249"/>
    </row>
    <row r="215" spans="2:21" ht="13.8">
      <c r="B215" s="249"/>
      <c r="C215" s="471" t="s">
        <v>555</v>
      </c>
      <c r="D215" s="249"/>
      <c r="E215" s="249"/>
      <c r="F215" s="249"/>
      <c r="G215" s="249"/>
      <c r="H215" s="249"/>
      <c r="I215" s="249"/>
      <c r="J215" s="249"/>
      <c r="K215" s="249"/>
      <c r="L215" s="249"/>
      <c r="M215" s="249"/>
      <c r="N215" s="249"/>
      <c r="O215" s="249"/>
      <c r="P215" s="249"/>
      <c r="Q215" s="249"/>
      <c r="R215" s="249"/>
      <c r="S215" s="249"/>
      <c r="T215" s="249"/>
      <c r="U215" s="249"/>
    </row>
    <row r="216" spans="2:21" ht="13.8">
      <c r="B216" s="249"/>
      <c r="C216" s="472" t="s">
        <v>653</v>
      </c>
      <c r="D216" s="249"/>
      <c r="E216" s="249"/>
      <c r="F216" s="249"/>
      <c r="G216" s="249"/>
      <c r="H216" s="249"/>
      <c r="I216" s="249"/>
      <c r="J216" s="249"/>
      <c r="K216" s="249"/>
      <c r="L216" s="249"/>
      <c r="M216" s="249"/>
      <c r="N216" s="249"/>
      <c r="O216" s="249"/>
      <c r="P216" s="249"/>
      <c r="Q216" s="249"/>
      <c r="R216" s="249"/>
      <c r="S216" s="249"/>
      <c r="T216" s="249"/>
      <c r="U216" s="249"/>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sheetPr>
  <dimension ref="A1:AY42"/>
  <sheetViews>
    <sheetView workbookViewId="0">
      <pane xSplit="2" topLeftCell="C1" activePane="topRight" state="frozen"/>
      <selection activeCell="A6" sqref="A6"/>
      <selection pane="topRight" activeCell="B1" sqref="B1:B2"/>
    </sheetView>
  </sheetViews>
  <sheetFormatPr defaultColWidth="8.44140625" defaultRowHeight="13.2"/>
  <cols>
    <col min="1" max="1" width="32.44140625" bestFit="1" customWidth="1"/>
    <col min="2" max="2" width="40.44140625" bestFit="1" customWidth="1"/>
    <col min="3" max="3" width="20.44140625" bestFit="1" customWidth="1"/>
    <col min="4" max="6" width="11.21875" bestFit="1" customWidth="1"/>
    <col min="7" max="7" width="13.21875" bestFit="1" customWidth="1"/>
    <col min="8" max="11" width="11.21875" bestFit="1" customWidth="1"/>
    <col min="12" max="12" width="19" bestFit="1" customWidth="1"/>
    <col min="13" max="49" width="11.21875" bestFit="1" customWidth="1"/>
    <col min="51" max="51" width="16.44140625" bestFit="1" customWidth="1"/>
  </cols>
  <sheetData>
    <row r="1" spans="1:51" ht="14.4" thickBot="1">
      <c r="A1" s="1341" t="s">
        <v>101</v>
      </c>
      <c r="B1" s="1342" t="s">
        <v>102</v>
      </c>
      <c r="C1" s="1344" t="s">
        <v>103</v>
      </c>
      <c r="D1" s="1344" t="s">
        <v>104</v>
      </c>
      <c r="E1" s="1334" t="s">
        <v>105</v>
      </c>
      <c r="F1" s="1346"/>
      <c r="G1" s="1347" t="s">
        <v>106</v>
      </c>
      <c r="H1" s="1347"/>
      <c r="I1" s="1334" t="s">
        <v>107</v>
      </c>
      <c r="J1" s="1336" t="s">
        <v>108</v>
      </c>
    </row>
    <row r="2" spans="1:51" ht="14.4" thickBot="1">
      <c r="A2" s="1341"/>
      <c r="B2" s="1343"/>
      <c r="C2" s="1345"/>
      <c r="D2" s="1345"/>
      <c r="E2" s="56" t="s">
        <v>110</v>
      </c>
      <c r="F2" s="25" t="s">
        <v>111</v>
      </c>
      <c r="G2" s="26" t="s">
        <v>110</v>
      </c>
      <c r="H2" s="26" t="s">
        <v>111</v>
      </c>
      <c r="I2" s="1335"/>
      <c r="J2" s="1337"/>
      <c r="L2" s="57" t="s">
        <v>161</v>
      </c>
      <c r="M2" s="1338" t="s">
        <v>162</v>
      </c>
      <c r="N2" s="1339"/>
      <c r="O2" s="1339"/>
      <c r="P2" s="1340"/>
    </row>
    <row r="3" spans="1:51" ht="13.8">
      <c r="A3" s="27" t="s">
        <v>112</v>
      </c>
      <c r="B3" s="28" t="str">
        <f>+B1</f>
        <v>Navn</v>
      </c>
      <c r="C3" s="29" t="s">
        <v>103</v>
      </c>
      <c r="D3" s="30" t="str">
        <f>+D1</f>
        <v>Enhed</v>
      </c>
      <c r="E3" s="31" t="str">
        <f>+E2</f>
        <v>Rækker</v>
      </c>
      <c r="F3" s="32" t="str">
        <f>+F2</f>
        <v>Søjler</v>
      </c>
      <c r="G3" s="30" t="str">
        <f>+G2</f>
        <v>Rækker</v>
      </c>
      <c r="H3" s="30" t="str">
        <f>+H2</f>
        <v>Søjler</v>
      </c>
      <c r="I3" s="31" t="str">
        <f>+I1</f>
        <v>Første år</v>
      </c>
      <c r="J3" s="33" t="str">
        <f>+J1</f>
        <v>Sidste år</v>
      </c>
    </row>
    <row r="4" spans="1:51" ht="28.2" thickBot="1">
      <c r="A4" s="34"/>
      <c r="B4" s="35" t="s">
        <v>113</v>
      </c>
      <c r="C4" s="36" t="s">
        <v>114</v>
      </c>
      <c r="D4" s="37" t="s">
        <v>115</v>
      </c>
      <c r="E4" s="38">
        <v>120</v>
      </c>
      <c r="F4" s="39">
        <v>46</v>
      </c>
      <c r="G4" s="37" t="s">
        <v>116</v>
      </c>
      <c r="H4" s="37" t="s">
        <v>117</v>
      </c>
      <c r="I4" s="38">
        <v>1966</v>
      </c>
      <c r="J4" s="40">
        <v>2012</v>
      </c>
    </row>
    <row r="6" spans="1:51" ht="15.6">
      <c r="A6" s="68" t="s">
        <v>109</v>
      </c>
      <c r="B6" s="69"/>
      <c r="C6" s="69"/>
    </row>
    <row r="7" spans="1:51" ht="14.4">
      <c r="A7" s="70"/>
      <c r="B7" s="70"/>
      <c r="C7" s="71"/>
    </row>
    <row r="8" spans="1:51" ht="14.4">
      <c r="A8" s="72" t="s">
        <v>163</v>
      </c>
      <c r="B8" s="72" t="s">
        <v>164</v>
      </c>
      <c r="C8" s="72" t="s">
        <v>170</v>
      </c>
    </row>
    <row r="9" spans="1:51" ht="14.4">
      <c r="A9" s="73" t="s">
        <v>119</v>
      </c>
      <c r="B9" s="73" t="s">
        <v>118</v>
      </c>
      <c r="C9" s="73" t="s">
        <v>120</v>
      </c>
      <c r="AU9">
        <f>('MIN-IMP-EXP_Data'!AU25+'MIN-IMP-EXP_Data'!AU26+'MIN-IMP-EXP_Data'!AU27)*10^-6</f>
        <v>93.795397999999992</v>
      </c>
    </row>
    <row r="13" spans="1:51" ht="13.8" thickBot="1">
      <c r="A13" s="55" t="s">
        <v>169</v>
      </c>
    </row>
    <row r="14" spans="1:51" ht="30" thickTop="1" thickBot="1">
      <c r="A14" s="41" t="s">
        <v>136</v>
      </c>
      <c r="B14" s="42" t="s">
        <v>137</v>
      </c>
      <c r="C14" s="43">
        <v>1966</v>
      </c>
      <c r="D14" s="44">
        <v>1967</v>
      </c>
      <c r="E14" s="44">
        <v>1968</v>
      </c>
      <c r="F14" s="44">
        <v>1969</v>
      </c>
      <c r="G14" s="44">
        <v>1970</v>
      </c>
      <c r="H14" s="44">
        <v>1971</v>
      </c>
      <c r="I14" s="44">
        <v>1972</v>
      </c>
      <c r="J14" s="44">
        <v>1973</v>
      </c>
      <c r="K14" s="44">
        <v>1974</v>
      </c>
      <c r="L14" s="44">
        <v>1975</v>
      </c>
      <c r="M14" s="44">
        <v>1976</v>
      </c>
      <c r="N14" s="44">
        <v>1977</v>
      </c>
      <c r="O14" s="44">
        <v>1978</v>
      </c>
      <c r="P14" s="44">
        <v>1979</v>
      </c>
      <c r="Q14" s="44">
        <v>1980</v>
      </c>
      <c r="R14" s="44">
        <v>1981</v>
      </c>
      <c r="S14" s="44">
        <v>1982</v>
      </c>
      <c r="T14" s="44">
        <v>1983</v>
      </c>
      <c r="U14" s="44">
        <v>1984</v>
      </c>
      <c r="V14" s="44">
        <v>1985</v>
      </c>
      <c r="W14" s="44">
        <v>1986</v>
      </c>
      <c r="X14" s="44">
        <v>1987</v>
      </c>
      <c r="Y14" s="44">
        <v>1988</v>
      </c>
      <c r="Z14" s="44">
        <v>1989</v>
      </c>
      <c r="AA14" s="44">
        <v>1990</v>
      </c>
      <c r="AB14" s="44">
        <v>1991</v>
      </c>
      <c r="AC14" s="44">
        <v>1992</v>
      </c>
      <c r="AD14" s="44">
        <v>1993</v>
      </c>
      <c r="AE14" s="44">
        <v>1994</v>
      </c>
      <c r="AF14" s="44">
        <v>1995</v>
      </c>
      <c r="AG14" s="44">
        <v>1996</v>
      </c>
      <c r="AH14" s="44">
        <v>1997</v>
      </c>
      <c r="AI14" s="44">
        <v>1998</v>
      </c>
      <c r="AJ14" s="44">
        <v>1999</v>
      </c>
      <c r="AK14" s="44">
        <v>2000</v>
      </c>
      <c r="AL14" s="44">
        <v>2001</v>
      </c>
      <c r="AM14" s="44">
        <v>2002</v>
      </c>
      <c r="AN14" s="44">
        <v>2003</v>
      </c>
      <c r="AO14" s="44">
        <v>2004</v>
      </c>
      <c r="AP14" s="44">
        <v>2005</v>
      </c>
      <c r="AQ14" s="44">
        <v>2006</v>
      </c>
      <c r="AR14" s="44">
        <v>2007</v>
      </c>
      <c r="AS14" s="44">
        <v>2008</v>
      </c>
      <c r="AT14" s="44">
        <v>2009</v>
      </c>
      <c r="AU14" s="44">
        <v>2010</v>
      </c>
      <c r="AV14" s="44">
        <v>2011</v>
      </c>
      <c r="AW14" s="45">
        <v>2012</v>
      </c>
      <c r="AY14" s="23" t="s">
        <v>172</v>
      </c>
    </row>
    <row r="15" spans="1:51" ht="14.4">
      <c r="A15" s="58" t="s">
        <v>163</v>
      </c>
      <c r="B15" s="59" t="s">
        <v>142</v>
      </c>
      <c r="C15" s="60">
        <v>0</v>
      </c>
      <c r="D15" s="61">
        <v>0</v>
      </c>
      <c r="E15" s="61">
        <v>0</v>
      </c>
      <c r="F15" s="61">
        <v>0</v>
      </c>
      <c r="G15" s="61">
        <v>0</v>
      </c>
      <c r="H15" s="61">
        <v>0</v>
      </c>
      <c r="I15" s="61">
        <v>3943200</v>
      </c>
      <c r="J15" s="61">
        <v>5851200</v>
      </c>
      <c r="K15" s="61">
        <v>3816000</v>
      </c>
      <c r="L15" s="61">
        <v>7038400</v>
      </c>
      <c r="M15" s="61">
        <v>8417036</v>
      </c>
      <c r="N15" s="61">
        <v>21802080</v>
      </c>
      <c r="O15" s="61">
        <v>18235138</v>
      </c>
      <c r="P15" s="61">
        <v>17871091</v>
      </c>
      <c r="Q15" s="61">
        <v>11870855</v>
      </c>
      <c r="R15" s="61">
        <v>32227731</v>
      </c>
      <c r="S15" s="61">
        <v>70507723</v>
      </c>
      <c r="T15" s="61">
        <v>91105389</v>
      </c>
      <c r="U15" s="61">
        <v>94094292</v>
      </c>
      <c r="V15" s="61">
        <v>120982803</v>
      </c>
      <c r="W15" s="61">
        <v>154620031</v>
      </c>
      <c r="X15" s="61">
        <v>196484178</v>
      </c>
      <c r="Y15" s="61">
        <v>202144405</v>
      </c>
      <c r="Z15" s="61">
        <v>236154058</v>
      </c>
      <c r="AA15" s="61">
        <v>255958660</v>
      </c>
      <c r="AB15" s="61">
        <v>298602296</v>
      </c>
      <c r="AC15" s="61">
        <v>331178681</v>
      </c>
      <c r="AD15" s="61">
        <v>352919428</v>
      </c>
      <c r="AE15" s="61">
        <v>389346927</v>
      </c>
      <c r="AF15" s="61">
        <v>391563313</v>
      </c>
      <c r="AG15" s="61">
        <v>432220203</v>
      </c>
      <c r="AH15" s="61">
        <v>479242009</v>
      </c>
      <c r="AI15" s="61">
        <v>491587352</v>
      </c>
      <c r="AJ15" s="61">
        <v>621996548</v>
      </c>
      <c r="AK15" s="61">
        <v>764525681</v>
      </c>
      <c r="AL15" s="61">
        <v>726121091</v>
      </c>
      <c r="AM15" s="61">
        <v>780149645</v>
      </c>
      <c r="AN15" s="61">
        <v>780139669</v>
      </c>
      <c r="AO15" s="61">
        <v>828270558</v>
      </c>
      <c r="AP15" s="61">
        <v>796223690</v>
      </c>
      <c r="AQ15" s="61">
        <v>724062380</v>
      </c>
      <c r="AR15" s="61">
        <v>652260507</v>
      </c>
      <c r="AS15" s="61">
        <v>603525081</v>
      </c>
      <c r="AT15" s="61">
        <v>554826033</v>
      </c>
      <c r="AU15" s="61">
        <v>525175985</v>
      </c>
      <c r="AV15" s="61">
        <v>471290965</v>
      </c>
      <c r="AW15" s="62">
        <v>430009460</v>
      </c>
      <c r="AY15" s="50">
        <f>MAX(AK15:AW15)</f>
        <v>828270558</v>
      </c>
    </row>
    <row r="16" spans="1:51" ht="14.4">
      <c r="A16" s="46" t="s">
        <v>164</v>
      </c>
      <c r="B16" s="24" t="s">
        <v>142</v>
      </c>
      <c r="C16" s="47">
        <v>196941298</v>
      </c>
      <c r="D16" s="48">
        <v>277214038</v>
      </c>
      <c r="E16" s="48">
        <v>286342334</v>
      </c>
      <c r="F16" s="48">
        <v>388734091</v>
      </c>
      <c r="G16" s="48">
        <v>429165846</v>
      </c>
      <c r="H16" s="48">
        <v>452172421</v>
      </c>
      <c r="I16" s="48">
        <v>418706948</v>
      </c>
      <c r="J16" s="48">
        <v>413649094</v>
      </c>
      <c r="K16" s="48">
        <v>396674048</v>
      </c>
      <c r="L16" s="48">
        <v>335615589</v>
      </c>
      <c r="M16" s="48">
        <v>321557233</v>
      </c>
      <c r="N16" s="48">
        <v>311044916</v>
      </c>
      <c r="O16" s="48">
        <v>327532538</v>
      </c>
      <c r="P16" s="48">
        <v>337192318</v>
      </c>
      <c r="Q16" s="48">
        <v>244395762</v>
      </c>
      <c r="R16" s="48">
        <v>214909789</v>
      </c>
      <c r="S16" s="48">
        <v>171458496</v>
      </c>
      <c r="T16" s="48">
        <v>225247211</v>
      </c>
      <c r="U16" s="48">
        <v>224562410</v>
      </c>
      <c r="V16" s="48">
        <v>203795189</v>
      </c>
      <c r="W16" s="48">
        <v>182507705</v>
      </c>
      <c r="X16" s="48">
        <v>179713926</v>
      </c>
      <c r="Y16" s="48">
        <v>191400808</v>
      </c>
      <c r="Z16" s="48">
        <v>183504868</v>
      </c>
      <c r="AA16" s="48">
        <v>174344602</v>
      </c>
      <c r="AB16" s="48">
        <v>216764827</v>
      </c>
      <c r="AC16" s="48">
        <v>222381725</v>
      </c>
      <c r="AD16" s="48">
        <v>215692870</v>
      </c>
      <c r="AE16" s="48">
        <v>224694787</v>
      </c>
      <c r="AF16" s="48">
        <v>228986000</v>
      </c>
      <c r="AG16" s="48">
        <v>234594868</v>
      </c>
      <c r="AH16" s="48">
        <v>186062075</v>
      </c>
      <c r="AI16" s="48">
        <v>202439141</v>
      </c>
      <c r="AJ16" s="48">
        <v>194807415</v>
      </c>
      <c r="AK16" s="48">
        <v>159349314</v>
      </c>
      <c r="AL16" s="48">
        <v>130795852</v>
      </c>
      <c r="AM16" s="48">
        <v>140204037</v>
      </c>
      <c r="AN16" s="48">
        <v>150155484</v>
      </c>
      <c r="AO16" s="48">
        <v>160588660</v>
      </c>
      <c r="AP16" s="48">
        <v>116941725</v>
      </c>
      <c r="AQ16" s="48">
        <v>116460856</v>
      </c>
      <c r="AR16" s="48">
        <v>87380816</v>
      </c>
      <c r="AS16" s="48">
        <v>101651484</v>
      </c>
      <c r="AT16" s="48">
        <v>150972441</v>
      </c>
      <c r="AU16" s="48">
        <v>116616731</v>
      </c>
      <c r="AV16" s="48">
        <v>112892716</v>
      </c>
      <c r="AW16" s="49">
        <v>135466598</v>
      </c>
      <c r="AY16" s="50">
        <f t="shared" ref="AY16:AY41" si="0">MAX(AK16:AW16)</f>
        <v>160588660</v>
      </c>
    </row>
    <row r="17" spans="1:51" ht="14.4">
      <c r="A17" s="46" t="s">
        <v>164</v>
      </c>
      <c r="B17" s="80" t="s">
        <v>165</v>
      </c>
      <c r="C17" s="47">
        <v>0</v>
      </c>
      <c r="D17" s="48">
        <v>0</v>
      </c>
      <c r="E17" s="48">
        <v>0</v>
      </c>
      <c r="F17" s="48">
        <v>0</v>
      </c>
      <c r="G17" s="48">
        <v>0</v>
      </c>
      <c r="H17" s="48">
        <v>0</v>
      </c>
      <c r="I17" s="48">
        <v>0</v>
      </c>
      <c r="J17" s="48">
        <v>0</v>
      </c>
      <c r="K17" s="48">
        <v>1007677</v>
      </c>
      <c r="L17" s="48">
        <v>3453</v>
      </c>
      <c r="M17" s="48">
        <v>6843491</v>
      </c>
      <c r="N17" s="48">
        <v>7373766</v>
      </c>
      <c r="O17" s="48">
        <v>6215206</v>
      </c>
      <c r="P17" s="48">
        <v>45518013</v>
      </c>
      <c r="Q17" s="48">
        <v>43374006</v>
      </c>
      <c r="R17" s="48">
        <v>27077992</v>
      </c>
      <c r="S17" s="48">
        <v>38060467</v>
      </c>
      <c r="T17" s="48">
        <v>24187070</v>
      </c>
      <c r="U17" s="48">
        <v>31302961</v>
      </c>
      <c r="V17" s="48">
        <v>47546206</v>
      </c>
      <c r="W17" s="48">
        <v>53675970</v>
      </c>
      <c r="X17" s="48">
        <v>45690104</v>
      </c>
      <c r="Y17" s="48">
        <v>26849070</v>
      </c>
      <c r="Z17" s="48">
        <v>37413510</v>
      </c>
      <c r="AA17" s="48">
        <v>28896669</v>
      </c>
      <c r="AB17" s="48">
        <v>24512179</v>
      </c>
      <c r="AC17" s="48">
        <v>24181337</v>
      </c>
      <c r="AD17" s="48">
        <v>30738686</v>
      </c>
      <c r="AE17" s="48">
        <v>19418975</v>
      </c>
      <c r="AF17" s="48">
        <v>20788331</v>
      </c>
      <c r="AG17" s="48">
        <v>11654274</v>
      </c>
      <c r="AH17" s="48">
        <v>4533207</v>
      </c>
      <c r="AI17" s="48">
        <v>9675167</v>
      </c>
      <c r="AJ17" s="48">
        <v>2391359</v>
      </c>
      <c r="AK17" s="48">
        <v>2978521</v>
      </c>
      <c r="AL17" s="48">
        <v>2441311</v>
      </c>
      <c r="AM17" s="48">
        <v>4867367</v>
      </c>
      <c r="AN17" s="48">
        <v>3213358</v>
      </c>
      <c r="AO17" s="48">
        <v>1481007</v>
      </c>
      <c r="AP17" s="48">
        <v>2938494</v>
      </c>
      <c r="AQ17" s="48">
        <v>6643309</v>
      </c>
      <c r="AR17" s="48">
        <v>3534535</v>
      </c>
      <c r="AS17" s="48">
        <v>15610181</v>
      </c>
      <c r="AT17" s="48">
        <v>11392403</v>
      </c>
      <c r="AU17" s="48">
        <v>7738385</v>
      </c>
      <c r="AV17" s="48">
        <v>5023583</v>
      </c>
      <c r="AW17" s="49">
        <v>3242595</v>
      </c>
      <c r="AY17" s="50">
        <f t="shared" si="0"/>
        <v>15610181</v>
      </c>
    </row>
    <row r="18" spans="1:51" ht="14.4">
      <c r="A18" s="46" t="s">
        <v>164</v>
      </c>
      <c r="B18" s="24" t="s">
        <v>98</v>
      </c>
      <c r="C18" s="47">
        <v>0</v>
      </c>
      <c r="D18" s="48">
        <v>0</v>
      </c>
      <c r="E18" s="48">
        <v>0</v>
      </c>
      <c r="F18" s="48">
        <v>0</v>
      </c>
      <c r="G18" s="48">
        <v>0</v>
      </c>
      <c r="H18" s="48">
        <v>0</v>
      </c>
      <c r="I18" s="48">
        <v>0</v>
      </c>
      <c r="J18" s="48">
        <v>0</v>
      </c>
      <c r="K18" s="48">
        <v>0</v>
      </c>
      <c r="L18" s="48">
        <v>0</v>
      </c>
      <c r="M18" s="48">
        <v>0</v>
      </c>
      <c r="N18" s="48">
        <v>0</v>
      </c>
      <c r="O18" s="48">
        <v>0</v>
      </c>
      <c r="P18" s="48">
        <v>0</v>
      </c>
      <c r="Q18" s="48">
        <v>0</v>
      </c>
      <c r="R18" s="48">
        <v>0</v>
      </c>
      <c r="S18" s="48">
        <v>0</v>
      </c>
      <c r="T18" s="48">
        <v>0</v>
      </c>
      <c r="U18" s="48">
        <v>0</v>
      </c>
      <c r="V18" s="48">
        <v>0</v>
      </c>
      <c r="W18" s="48">
        <v>0</v>
      </c>
      <c r="X18" s="48">
        <v>0</v>
      </c>
      <c r="Y18" s="48">
        <v>0</v>
      </c>
      <c r="Z18" s="48">
        <v>0</v>
      </c>
      <c r="AA18" s="48">
        <v>0</v>
      </c>
      <c r="AB18" s="48">
        <v>0</v>
      </c>
      <c r="AC18" s="48">
        <v>0</v>
      </c>
      <c r="AD18" s="48">
        <v>0</v>
      </c>
      <c r="AE18" s="48">
        <v>0</v>
      </c>
      <c r="AF18" s="48">
        <v>0</v>
      </c>
      <c r="AG18" s="48">
        <v>0</v>
      </c>
      <c r="AH18" s="48">
        <v>0</v>
      </c>
      <c r="AI18" s="48">
        <v>0</v>
      </c>
      <c r="AJ18" s="48">
        <v>0</v>
      </c>
      <c r="AK18" s="48">
        <v>0</v>
      </c>
      <c r="AL18" s="48">
        <v>0</v>
      </c>
      <c r="AM18" s="48">
        <v>0</v>
      </c>
      <c r="AN18" s="48">
        <v>0</v>
      </c>
      <c r="AO18" s="48">
        <v>0</v>
      </c>
      <c r="AP18" s="48">
        <v>0</v>
      </c>
      <c r="AQ18" s="48">
        <v>0</v>
      </c>
      <c r="AR18" s="48">
        <v>0</v>
      </c>
      <c r="AS18" s="48">
        <v>0</v>
      </c>
      <c r="AT18" s="48">
        <v>0</v>
      </c>
      <c r="AU18" s="48">
        <v>0</v>
      </c>
      <c r="AV18" s="48">
        <v>0</v>
      </c>
      <c r="AW18" s="49">
        <v>0</v>
      </c>
      <c r="AY18" s="50">
        <f t="shared" si="0"/>
        <v>0</v>
      </c>
    </row>
    <row r="19" spans="1:51" ht="14.4">
      <c r="A19" s="46" t="s">
        <v>164</v>
      </c>
      <c r="B19" s="24" t="s">
        <v>75</v>
      </c>
      <c r="C19" s="47">
        <v>4258396</v>
      </c>
      <c r="D19" s="48">
        <v>3579987</v>
      </c>
      <c r="E19" s="48">
        <v>4006136</v>
      </c>
      <c r="F19" s="48">
        <v>4193671</v>
      </c>
      <c r="G19" s="48">
        <v>5051592</v>
      </c>
      <c r="H19" s="48">
        <v>4893607</v>
      </c>
      <c r="I19" s="48">
        <v>5369083</v>
      </c>
      <c r="J19" s="48">
        <v>5340316</v>
      </c>
      <c r="K19" s="48">
        <v>4751619</v>
      </c>
      <c r="L19" s="48">
        <v>4200540</v>
      </c>
      <c r="M19" s="48">
        <v>5328837</v>
      </c>
      <c r="N19" s="48">
        <v>4900015</v>
      </c>
      <c r="O19" s="48">
        <v>4366250</v>
      </c>
      <c r="P19" s="48">
        <v>4936976</v>
      </c>
      <c r="Q19" s="48">
        <v>6731697</v>
      </c>
      <c r="R19" s="48">
        <v>7008906</v>
      </c>
      <c r="S19" s="48">
        <v>7542607</v>
      </c>
      <c r="T19" s="48">
        <v>6377538</v>
      </c>
      <c r="U19" s="48">
        <v>5409506</v>
      </c>
      <c r="V19" s="48">
        <v>5271068</v>
      </c>
      <c r="W19" s="48">
        <v>2659500</v>
      </c>
      <c r="X19" s="48">
        <v>2393277</v>
      </c>
      <c r="Y19" s="48">
        <v>1493254</v>
      </c>
      <c r="Z19" s="48">
        <v>952066</v>
      </c>
      <c r="AA19" s="48">
        <v>785376</v>
      </c>
      <c r="AB19" s="48">
        <v>794074</v>
      </c>
      <c r="AC19" s="48">
        <v>642566</v>
      </c>
      <c r="AD19" s="48">
        <v>751710</v>
      </c>
      <c r="AE19" s="48">
        <v>903691</v>
      </c>
      <c r="AF19" s="48">
        <v>842773</v>
      </c>
      <c r="AG19" s="48">
        <v>765101</v>
      </c>
      <c r="AH19" s="48">
        <v>339217</v>
      </c>
      <c r="AI19" s="48">
        <v>531812</v>
      </c>
      <c r="AJ19" s="48">
        <v>1345345</v>
      </c>
      <c r="AK19" s="48">
        <v>350106</v>
      </c>
      <c r="AL19" s="48">
        <v>306044</v>
      </c>
      <c r="AM19" s="48">
        <v>117435</v>
      </c>
      <c r="AN19" s="48">
        <v>188587</v>
      </c>
      <c r="AO19" s="48">
        <v>179630</v>
      </c>
      <c r="AP19" s="48">
        <v>275632</v>
      </c>
      <c r="AQ19" s="48">
        <v>110262</v>
      </c>
      <c r="AR19" s="48">
        <v>186208</v>
      </c>
      <c r="AS19" s="48">
        <v>737849</v>
      </c>
      <c r="AT19" s="48">
        <v>174584</v>
      </c>
      <c r="AU19" s="48">
        <v>456016</v>
      </c>
      <c r="AV19" s="48">
        <v>356960</v>
      </c>
      <c r="AW19" s="49">
        <v>3391120</v>
      </c>
      <c r="AY19" s="50">
        <f t="shared" si="0"/>
        <v>3391120</v>
      </c>
    </row>
    <row r="20" spans="1:51" ht="14.4">
      <c r="A20" s="46" t="s">
        <v>164</v>
      </c>
      <c r="B20" s="24" t="s">
        <v>100</v>
      </c>
      <c r="C20" s="47">
        <v>13055002</v>
      </c>
      <c r="D20" s="48">
        <v>9425232</v>
      </c>
      <c r="E20" s="48">
        <v>11776233</v>
      </c>
      <c r="F20" s="48">
        <v>10553100</v>
      </c>
      <c r="G20" s="48">
        <v>10417424</v>
      </c>
      <c r="H20" s="48">
        <v>11315524</v>
      </c>
      <c r="I20" s="48">
        <v>15900511</v>
      </c>
      <c r="J20" s="48">
        <v>18780037</v>
      </c>
      <c r="K20" s="48">
        <v>13993385</v>
      </c>
      <c r="L20" s="48">
        <v>13183502</v>
      </c>
      <c r="M20" s="48">
        <v>14846115</v>
      </c>
      <c r="N20" s="48">
        <v>15632465</v>
      </c>
      <c r="O20" s="48">
        <v>7156968</v>
      </c>
      <c r="P20" s="48">
        <v>2988668</v>
      </c>
      <c r="Q20" s="48">
        <v>2408595</v>
      </c>
      <c r="R20" s="48">
        <v>5199932</v>
      </c>
      <c r="S20" s="48">
        <v>6027608</v>
      </c>
      <c r="T20" s="48">
        <v>3657496</v>
      </c>
      <c r="U20" s="48">
        <v>2392517</v>
      </c>
      <c r="V20" s="48">
        <v>2787342</v>
      </c>
      <c r="W20" s="48">
        <v>1900915</v>
      </c>
      <c r="X20" s="48">
        <v>1923866</v>
      </c>
      <c r="Y20" s="48">
        <v>5521001</v>
      </c>
      <c r="Z20" s="48">
        <v>4668412</v>
      </c>
      <c r="AA20" s="48">
        <v>4736878</v>
      </c>
      <c r="AB20" s="48">
        <v>4874213</v>
      </c>
      <c r="AC20" s="48">
        <v>5934123</v>
      </c>
      <c r="AD20" s="48">
        <v>3174491</v>
      </c>
      <c r="AE20" s="48">
        <v>3563043</v>
      </c>
      <c r="AF20" s="48">
        <v>475262</v>
      </c>
      <c r="AG20" s="48">
        <v>3117610</v>
      </c>
      <c r="AH20" s="48">
        <v>1322684</v>
      </c>
      <c r="AI20" s="48">
        <v>3071024</v>
      </c>
      <c r="AJ20" s="48">
        <v>7321139</v>
      </c>
      <c r="AK20" s="48">
        <v>5973868</v>
      </c>
      <c r="AL20" s="48">
        <v>4982020</v>
      </c>
      <c r="AM20" s="48">
        <v>8658979</v>
      </c>
      <c r="AN20" s="48">
        <v>4292582</v>
      </c>
      <c r="AO20" s="48">
        <v>4935006</v>
      </c>
      <c r="AP20" s="48">
        <v>7877746</v>
      </c>
      <c r="AQ20" s="48">
        <v>1726956</v>
      </c>
      <c r="AR20" s="48">
        <v>2750946</v>
      </c>
      <c r="AS20" s="48">
        <v>6425935</v>
      </c>
      <c r="AT20" s="48">
        <v>5337986</v>
      </c>
      <c r="AU20" s="48">
        <v>5949700</v>
      </c>
      <c r="AV20" s="48">
        <v>7728600</v>
      </c>
      <c r="AW20" s="49">
        <v>5288469</v>
      </c>
      <c r="AY20" s="50">
        <f t="shared" si="0"/>
        <v>8658979</v>
      </c>
    </row>
    <row r="21" spans="1:51" ht="14.4">
      <c r="A21" s="46" t="s">
        <v>164</v>
      </c>
      <c r="B21" s="24" t="s">
        <v>77</v>
      </c>
      <c r="C21" s="47">
        <v>34434729</v>
      </c>
      <c r="D21" s="48">
        <v>25095323</v>
      </c>
      <c r="E21" s="48">
        <v>27044080</v>
      </c>
      <c r="F21" s="48">
        <v>24605122</v>
      </c>
      <c r="G21" s="48">
        <v>28571844</v>
      </c>
      <c r="H21" s="48">
        <v>29139475</v>
      </c>
      <c r="I21" s="48">
        <v>31582783</v>
      </c>
      <c r="J21" s="48">
        <v>32152546</v>
      </c>
      <c r="K21" s="48">
        <v>26930676</v>
      </c>
      <c r="L21" s="48">
        <v>32971486</v>
      </c>
      <c r="M21" s="48">
        <v>36963388</v>
      </c>
      <c r="N21" s="48">
        <v>34318118</v>
      </c>
      <c r="O21" s="48">
        <v>34166680</v>
      </c>
      <c r="P21" s="48">
        <v>34417581</v>
      </c>
      <c r="Q21" s="48">
        <v>32204457</v>
      </c>
      <c r="R21" s="48">
        <v>29183656</v>
      </c>
      <c r="S21" s="48">
        <v>29407503</v>
      </c>
      <c r="T21" s="48">
        <v>26835834</v>
      </c>
      <c r="U21" s="48">
        <v>27481911</v>
      </c>
      <c r="V21" s="48">
        <v>28575748</v>
      </c>
      <c r="W21" s="48">
        <v>26409292</v>
      </c>
      <c r="X21" s="48">
        <v>30774763</v>
      </c>
      <c r="Y21" s="48">
        <v>23500474</v>
      </c>
      <c r="Z21" s="48">
        <v>24573906</v>
      </c>
      <c r="AA21" s="48">
        <v>23853830</v>
      </c>
      <c r="AB21" s="48">
        <v>26329397</v>
      </c>
      <c r="AC21" s="48">
        <v>27645293</v>
      </c>
      <c r="AD21" s="48">
        <v>33481333</v>
      </c>
      <c r="AE21" s="48">
        <v>40808791</v>
      </c>
      <c r="AF21" s="48">
        <v>31562258</v>
      </c>
      <c r="AG21" s="48">
        <v>31938057</v>
      </c>
      <c r="AH21" s="48">
        <v>42647972</v>
      </c>
      <c r="AI21" s="48">
        <v>34662909</v>
      </c>
      <c r="AJ21" s="48">
        <v>30306592</v>
      </c>
      <c r="AK21" s="48">
        <v>34695370</v>
      </c>
      <c r="AL21" s="48">
        <v>33851559</v>
      </c>
      <c r="AM21" s="48">
        <v>35509022</v>
      </c>
      <c r="AN21" s="48">
        <v>33347925</v>
      </c>
      <c r="AO21" s="48">
        <v>31811172</v>
      </c>
      <c r="AP21" s="48">
        <v>32077373</v>
      </c>
      <c r="AQ21" s="48">
        <v>31050389</v>
      </c>
      <c r="AR21" s="48">
        <v>34569632</v>
      </c>
      <c r="AS21" s="48">
        <v>26221978</v>
      </c>
      <c r="AT21" s="48">
        <v>24673627</v>
      </c>
      <c r="AU21" s="48">
        <v>21552177</v>
      </c>
      <c r="AV21" s="48">
        <v>20554416</v>
      </c>
      <c r="AW21" s="49">
        <v>17493238</v>
      </c>
      <c r="AY21" s="50">
        <f t="shared" si="0"/>
        <v>35509022</v>
      </c>
    </row>
    <row r="22" spans="1:51" ht="14.4">
      <c r="A22" s="46" t="s">
        <v>164</v>
      </c>
      <c r="B22" s="24" t="s">
        <v>96</v>
      </c>
      <c r="C22" s="47">
        <v>17762926</v>
      </c>
      <c r="D22" s="48">
        <v>17465214</v>
      </c>
      <c r="E22" s="48">
        <v>23471146</v>
      </c>
      <c r="F22" s="48">
        <v>25771924</v>
      </c>
      <c r="G22" s="48">
        <v>25431929</v>
      </c>
      <c r="H22" s="48">
        <v>25369007</v>
      </c>
      <c r="I22" s="48">
        <v>28575952</v>
      </c>
      <c r="J22" s="48">
        <v>29303359</v>
      </c>
      <c r="K22" s="48">
        <v>32273650</v>
      </c>
      <c r="L22" s="48">
        <v>34368934</v>
      </c>
      <c r="M22" s="48">
        <v>35729542</v>
      </c>
      <c r="N22" s="48">
        <v>37175919</v>
      </c>
      <c r="O22" s="48">
        <v>38461922</v>
      </c>
      <c r="P22" s="48">
        <v>39098768</v>
      </c>
      <c r="Q22" s="48">
        <v>35898230</v>
      </c>
      <c r="R22" s="48">
        <v>32142321</v>
      </c>
      <c r="S22" s="48">
        <v>33215329</v>
      </c>
      <c r="T22" s="48">
        <v>34724959</v>
      </c>
      <c r="U22" s="48">
        <v>33300471</v>
      </c>
      <c r="V22" s="48">
        <v>31112832</v>
      </c>
      <c r="W22" s="48">
        <v>28830827</v>
      </c>
      <c r="X22" s="48">
        <v>26655694</v>
      </c>
      <c r="Y22" s="48">
        <v>27463410</v>
      </c>
      <c r="Z22" s="48">
        <v>31669960</v>
      </c>
      <c r="AA22" s="48">
        <v>31883160</v>
      </c>
      <c r="AB22" s="48">
        <v>28514468</v>
      </c>
      <c r="AC22" s="48">
        <v>24763478</v>
      </c>
      <c r="AD22" s="48">
        <v>24224685</v>
      </c>
      <c r="AE22" s="48">
        <v>22915510</v>
      </c>
      <c r="AF22" s="48">
        <v>20682090</v>
      </c>
      <c r="AG22" s="48">
        <v>16765676</v>
      </c>
      <c r="AH22" s="48">
        <v>19066785</v>
      </c>
      <c r="AI22" s="48">
        <v>28757159</v>
      </c>
      <c r="AJ22" s="48">
        <v>27747721</v>
      </c>
      <c r="AK22" s="48">
        <v>31495822</v>
      </c>
      <c r="AL22" s="48">
        <v>30279134</v>
      </c>
      <c r="AM22" s="48">
        <v>31382466</v>
      </c>
      <c r="AN22" s="48">
        <v>19726856</v>
      </c>
      <c r="AO22" s="48">
        <v>27976699</v>
      </c>
      <c r="AP22" s="48">
        <v>39363665</v>
      </c>
      <c r="AQ22" s="48">
        <v>21383367</v>
      </c>
      <c r="AR22" s="48">
        <v>33463473</v>
      </c>
      <c r="AS22" s="48">
        <v>36723119</v>
      </c>
      <c r="AT22" s="48">
        <v>31727981</v>
      </c>
      <c r="AU22" s="48">
        <v>35424433</v>
      </c>
      <c r="AV22" s="48">
        <v>31716587</v>
      </c>
      <c r="AW22" s="49">
        <v>36679311</v>
      </c>
      <c r="AY22" s="50">
        <f t="shared" si="0"/>
        <v>39363665</v>
      </c>
    </row>
    <row r="23" spans="1:51" ht="14.4">
      <c r="A23" s="46" t="s">
        <v>164</v>
      </c>
      <c r="B23" s="82" t="s">
        <v>69</v>
      </c>
      <c r="C23" s="83">
        <v>103530803</v>
      </c>
      <c r="D23" s="84">
        <v>87930785</v>
      </c>
      <c r="E23" s="84">
        <v>102151935</v>
      </c>
      <c r="F23" s="84">
        <v>112426921</v>
      </c>
      <c r="G23" s="84">
        <v>146765622</v>
      </c>
      <c r="H23" s="84">
        <v>119670891</v>
      </c>
      <c r="I23" s="84">
        <v>149254261</v>
      </c>
      <c r="J23" s="84">
        <v>160035628</v>
      </c>
      <c r="K23" s="84">
        <v>144443553</v>
      </c>
      <c r="L23" s="84">
        <v>146048970</v>
      </c>
      <c r="M23" s="84">
        <v>165708783</v>
      </c>
      <c r="N23" s="84">
        <v>156985706</v>
      </c>
      <c r="O23" s="84">
        <v>153497566</v>
      </c>
      <c r="P23" s="84">
        <v>140786671</v>
      </c>
      <c r="Q23" s="84">
        <v>114613033</v>
      </c>
      <c r="R23" s="84">
        <v>91982268</v>
      </c>
      <c r="S23" s="84">
        <v>93611522</v>
      </c>
      <c r="T23" s="84">
        <v>72819077</v>
      </c>
      <c r="U23" s="84">
        <v>63815134</v>
      </c>
      <c r="V23" s="84">
        <v>71887492</v>
      </c>
      <c r="W23" s="84">
        <v>60705335</v>
      </c>
      <c r="X23" s="84">
        <v>71512887</v>
      </c>
      <c r="Y23" s="84">
        <v>57568869</v>
      </c>
      <c r="Z23" s="84">
        <v>48412451</v>
      </c>
      <c r="AA23" s="84">
        <v>42045124</v>
      </c>
      <c r="AB23" s="84">
        <v>43962655</v>
      </c>
      <c r="AC23" s="84">
        <v>39281430</v>
      </c>
      <c r="AD23" s="84">
        <v>44734033</v>
      </c>
      <c r="AE23" s="84">
        <v>44355061</v>
      </c>
      <c r="AF23" s="84">
        <v>31106888</v>
      </c>
      <c r="AG23" s="84">
        <v>29068732</v>
      </c>
      <c r="AH23" s="84">
        <v>49546528</v>
      </c>
      <c r="AI23" s="84">
        <v>53339697</v>
      </c>
      <c r="AJ23" s="84">
        <v>42243988</v>
      </c>
      <c r="AK23" s="84">
        <v>44039914</v>
      </c>
      <c r="AL23" s="84">
        <v>42483640</v>
      </c>
      <c r="AM23" s="84">
        <v>36988970</v>
      </c>
      <c r="AN23" s="84">
        <v>41433319</v>
      </c>
      <c r="AO23" s="84">
        <v>34276142</v>
      </c>
      <c r="AP23" s="84">
        <v>50125053</v>
      </c>
      <c r="AQ23" s="84">
        <v>45647718</v>
      </c>
      <c r="AR23" s="84">
        <v>36277302</v>
      </c>
      <c r="AS23" s="84">
        <v>46648019</v>
      </c>
      <c r="AT23" s="84">
        <v>47556345</v>
      </c>
      <c r="AU23" s="84">
        <v>44360833</v>
      </c>
      <c r="AV23" s="84">
        <v>53992310</v>
      </c>
      <c r="AW23" s="85">
        <v>60139549</v>
      </c>
      <c r="AY23" s="50">
        <f t="shared" si="0"/>
        <v>60139549</v>
      </c>
    </row>
    <row r="24" spans="1:51" ht="14.4">
      <c r="A24" s="46" t="s">
        <v>164</v>
      </c>
      <c r="B24" s="82" t="s">
        <v>51</v>
      </c>
      <c r="C24" s="83">
        <v>29906823</v>
      </c>
      <c r="D24" s="84">
        <v>27440215</v>
      </c>
      <c r="E24" s="84">
        <v>25944263</v>
      </c>
      <c r="F24" s="84">
        <v>26131759</v>
      </c>
      <c r="G24" s="84">
        <v>19768990</v>
      </c>
      <c r="H24" s="84">
        <v>21557607</v>
      </c>
      <c r="I24" s="84">
        <v>22835575</v>
      </c>
      <c r="J24" s="84">
        <v>21231721</v>
      </c>
      <c r="K24" s="84">
        <v>20803611</v>
      </c>
      <c r="L24" s="84">
        <v>16246855</v>
      </c>
      <c r="M24" s="84">
        <v>18147809</v>
      </c>
      <c r="N24" s="84">
        <v>18293524</v>
      </c>
      <c r="O24" s="84">
        <v>22339156</v>
      </c>
      <c r="P24" s="84">
        <v>21554118</v>
      </c>
      <c r="Q24" s="84">
        <v>22067746</v>
      </c>
      <c r="R24" s="84">
        <v>20029629</v>
      </c>
      <c r="S24" s="84">
        <v>24210496</v>
      </c>
      <c r="T24" s="84">
        <v>21820124</v>
      </c>
      <c r="U24" s="84">
        <v>22584162</v>
      </c>
      <c r="V24" s="84">
        <v>23226750</v>
      </c>
      <c r="W24" s="84">
        <v>22834014</v>
      </c>
      <c r="X24" s="84">
        <v>27805383</v>
      </c>
      <c r="Y24" s="84">
        <v>24515957</v>
      </c>
      <c r="Z24" s="84">
        <v>23715167</v>
      </c>
      <c r="AA24" s="84">
        <v>23592151</v>
      </c>
      <c r="AB24" s="84">
        <v>24251787</v>
      </c>
      <c r="AC24" s="84">
        <v>21741626</v>
      </c>
      <c r="AD24" s="84">
        <v>25120114</v>
      </c>
      <c r="AE24" s="84">
        <v>27781044</v>
      </c>
      <c r="AF24" s="84">
        <v>19310419</v>
      </c>
      <c r="AG24" s="84">
        <v>17687273</v>
      </c>
      <c r="AH24" s="84">
        <v>29502639</v>
      </c>
      <c r="AI24" s="84">
        <v>35147180</v>
      </c>
      <c r="AJ24" s="84">
        <v>32342618</v>
      </c>
      <c r="AK24" s="84">
        <v>33361110</v>
      </c>
      <c r="AL24" s="84">
        <v>32653138</v>
      </c>
      <c r="AM24" s="84">
        <v>30028238</v>
      </c>
      <c r="AN24" s="84">
        <v>35796315</v>
      </c>
      <c r="AO24" s="84">
        <v>32748511</v>
      </c>
      <c r="AP24" s="84">
        <v>49289373</v>
      </c>
      <c r="AQ24" s="84">
        <v>54361105</v>
      </c>
      <c r="AR24" s="84">
        <v>48823626</v>
      </c>
      <c r="AS24" s="84">
        <v>60041264</v>
      </c>
      <c r="AT24" s="84">
        <v>60566630</v>
      </c>
      <c r="AU24" s="84">
        <v>59999763</v>
      </c>
      <c r="AV24" s="84">
        <v>50583771</v>
      </c>
      <c r="AW24" s="85">
        <v>42038946</v>
      </c>
      <c r="AY24" s="50">
        <f t="shared" si="0"/>
        <v>60566630</v>
      </c>
    </row>
    <row r="25" spans="1:51" ht="14.4">
      <c r="A25" s="46" t="s">
        <v>164</v>
      </c>
      <c r="B25" s="81" t="s">
        <v>99</v>
      </c>
      <c r="C25" s="86">
        <v>117845882</v>
      </c>
      <c r="D25" s="87">
        <v>91052320</v>
      </c>
      <c r="E25" s="87">
        <v>118668114</v>
      </c>
      <c r="F25" s="87">
        <v>146166169</v>
      </c>
      <c r="G25" s="87">
        <v>196310054</v>
      </c>
      <c r="H25" s="87">
        <v>188023386</v>
      </c>
      <c r="I25" s="87">
        <v>234117215</v>
      </c>
      <c r="J25" s="87">
        <v>205373592</v>
      </c>
      <c r="K25" s="87">
        <v>191736423</v>
      </c>
      <c r="L25" s="87">
        <v>197193144</v>
      </c>
      <c r="M25" s="87">
        <v>166421592</v>
      </c>
      <c r="N25" s="87">
        <v>197299070</v>
      </c>
      <c r="O25" s="87">
        <v>170084768</v>
      </c>
      <c r="P25" s="87">
        <v>117733357</v>
      </c>
      <c r="Q25" s="87">
        <v>101264095</v>
      </c>
      <c r="R25" s="87">
        <v>66324957</v>
      </c>
      <c r="S25" s="87">
        <v>62432776</v>
      </c>
      <c r="T25" s="87">
        <v>46976057</v>
      </c>
      <c r="U25" s="87">
        <v>39954948</v>
      </c>
      <c r="V25" s="87">
        <v>41717376</v>
      </c>
      <c r="W25" s="87">
        <v>45120522</v>
      </c>
      <c r="X25" s="87">
        <v>13400981</v>
      </c>
      <c r="Y25" s="87">
        <v>30720786</v>
      </c>
      <c r="Z25" s="87">
        <v>16075270</v>
      </c>
      <c r="AA25" s="87">
        <v>16567094</v>
      </c>
      <c r="AB25" s="87">
        <v>18106660</v>
      </c>
      <c r="AC25" s="87">
        <v>28331768</v>
      </c>
      <c r="AD25" s="87">
        <v>33247042</v>
      </c>
      <c r="AE25" s="87">
        <v>55737331</v>
      </c>
      <c r="AF25" s="87">
        <v>33293836</v>
      </c>
      <c r="AG25" s="87">
        <v>42220678</v>
      </c>
      <c r="AH25" s="87">
        <v>29460121</v>
      </c>
      <c r="AI25" s="87">
        <v>33094914</v>
      </c>
      <c r="AJ25" s="87">
        <v>28804956</v>
      </c>
      <c r="AK25" s="87">
        <v>29702165</v>
      </c>
      <c r="AL25" s="87">
        <v>45048054</v>
      </c>
      <c r="AM25" s="87">
        <v>34346624</v>
      </c>
      <c r="AN25" s="87">
        <v>51881655</v>
      </c>
      <c r="AO25" s="87">
        <v>86081538</v>
      </c>
      <c r="AP25" s="87">
        <v>89248002</v>
      </c>
      <c r="AQ25" s="87">
        <v>96391719</v>
      </c>
      <c r="AR25" s="87">
        <v>65154227</v>
      </c>
      <c r="AS25" s="87">
        <v>138316637</v>
      </c>
      <c r="AT25" s="87">
        <v>73583532</v>
      </c>
      <c r="AU25" s="87">
        <v>92666691</v>
      </c>
      <c r="AV25" s="87">
        <v>94455497</v>
      </c>
      <c r="AW25" s="88">
        <v>86071985</v>
      </c>
      <c r="AY25" s="50">
        <f t="shared" si="0"/>
        <v>138316637</v>
      </c>
    </row>
    <row r="26" spans="1:51" ht="14.4">
      <c r="A26" s="46" t="s">
        <v>164</v>
      </c>
      <c r="B26" s="81" t="s">
        <v>166</v>
      </c>
      <c r="C26" s="86">
        <v>0</v>
      </c>
      <c r="D26" s="87">
        <v>0</v>
      </c>
      <c r="E26" s="87">
        <v>0</v>
      </c>
      <c r="F26" s="87">
        <v>0</v>
      </c>
      <c r="G26" s="87">
        <v>0</v>
      </c>
      <c r="H26" s="87">
        <v>0</v>
      </c>
      <c r="I26" s="87">
        <v>0</v>
      </c>
      <c r="J26" s="87">
        <v>0</v>
      </c>
      <c r="K26" s="87">
        <v>0</v>
      </c>
      <c r="L26" s="87">
        <v>0</v>
      </c>
      <c r="M26" s="87">
        <v>0</v>
      </c>
      <c r="N26" s="87">
        <v>0</v>
      </c>
      <c r="O26" s="87">
        <v>0</v>
      </c>
      <c r="P26" s="87">
        <v>0</v>
      </c>
      <c r="Q26" s="87">
        <v>0</v>
      </c>
      <c r="R26" s="87">
        <v>0</v>
      </c>
      <c r="S26" s="87">
        <v>0</v>
      </c>
      <c r="T26" s="87">
        <v>0</v>
      </c>
      <c r="U26" s="87">
        <v>0</v>
      </c>
      <c r="V26" s="87">
        <v>0</v>
      </c>
      <c r="W26" s="87">
        <v>0</v>
      </c>
      <c r="X26" s="87">
        <v>0</v>
      </c>
      <c r="Y26" s="87">
        <v>0</v>
      </c>
      <c r="Z26" s="87">
        <v>0</v>
      </c>
      <c r="AA26" s="87">
        <v>0</v>
      </c>
      <c r="AB26" s="87">
        <v>0</v>
      </c>
      <c r="AC26" s="87">
        <v>0</v>
      </c>
      <c r="AD26" s="87">
        <v>0</v>
      </c>
      <c r="AE26" s="87">
        <v>0</v>
      </c>
      <c r="AF26" s="87">
        <v>0</v>
      </c>
      <c r="AG26" s="87">
        <v>0</v>
      </c>
      <c r="AH26" s="87">
        <v>0</v>
      </c>
      <c r="AI26" s="87">
        <v>0</v>
      </c>
      <c r="AJ26" s="87">
        <v>0</v>
      </c>
      <c r="AK26" s="87">
        <v>0</v>
      </c>
      <c r="AL26" s="87">
        <v>0</v>
      </c>
      <c r="AM26" s="87">
        <v>0</v>
      </c>
      <c r="AN26" s="87">
        <v>0</v>
      </c>
      <c r="AO26" s="87">
        <v>0</v>
      </c>
      <c r="AP26" s="87">
        <v>0</v>
      </c>
      <c r="AQ26" s="87">
        <v>0</v>
      </c>
      <c r="AR26" s="87">
        <v>0</v>
      </c>
      <c r="AS26" s="87">
        <v>0</v>
      </c>
      <c r="AT26" s="87">
        <v>0</v>
      </c>
      <c r="AU26" s="87">
        <v>0</v>
      </c>
      <c r="AV26" s="87">
        <v>0</v>
      </c>
      <c r="AW26" s="88">
        <v>0</v>
      </c>
      <c r="AY26" s="50">
        <f t="shared" si="0"/>
        <v>0</v>
      </c>
    </row>
    <row r="27" spans="1:51" ht="14.4">
      <c r="A27" s="46" t="s">
        <v>164</v>
      </c>
      <c r="B27" s="81" t="s">
        <v>167</v>
      </c>
      <c r="C27" s="86">
        <v>0</v>
      </c>
      <c r="D27" s="87">
        <v>0</v>
      </c>
      <c r="E27" s="87">
        <v>0</v>
      </c>
      <c r="F27" s="87">
        <v>0</v>
      </c>
      <c r="G27" s="87">
        <v>0</v>
      </c>
      <c r="H27" s="87">
        <v>0</v>
      </c>
      <c r="I27" s="87">
        <v>0</v>
      </c>
      <c r="J27" s="87">
        <v>0</v>
      </c>
      <c r="K27" s="87">
        <v>0</v>
      </c>
      <c r="L27" s="87">
        <v>0</v>
      </c>
      <c r="M27" s="87">
        <v>0</v>
      </c>
      <c r="N27" s="87">
        <v>0</v>
      </c>
      <c r="O27" s="87">
        <v>0</v>
      </c>
      <c r="P27" s="87">
        <v>0</v>
      </c>
      <c r="Q27" s="87">
        <v>0</v>
      </c>
      <c r="R27" s="87">
        <v>0</v>
      </c>
      <c r="S27" s="87">
        <v>0</v>
      </c>
      <c r="T27" s="87">
        <v>0</v>
      </c>
      <c r="U27" s="87">
        <v>0</v>
      </c>
      <c r="V27" s="87">
        <v>0</v>
      </c>
      <c r="W27" s="87">
        <v>0</v>
      </c>
      <c r="X27" s="87">
        <v>0</v>
      </c>
      <c r="Y27" s="87">
        <v>0</v>
      </c>
      <c r="Z27" s="87">
        <v>0</v>
      </c>
      <c r="AA27" s="87">
        <v>0</v>
      </c>
      <c r="AB27" s="87">
        <v>0</v>
      </c>
      <c r="AC27" s="87">
        <v>0</v>
      </c>
      <c r="AD27" s="87">
        <v>0</v>
      </c>
      <c r="AE27" s="87">
        <v>0</v>
      </c>
      <c r="AF27" s="87">
        <v>0</v>
      </c>
      <c r="AG27" s="87">
        <v>0</v>
      </c>
      <c r="AH27" s="87">
        <v>0</v>
      </c>
      <c r="AI27" s="87">
        <v>0</v>
      </c>
      <c r="AJ27" s="87">
        <v>0</v>
      </c>
      <c r="AK27" s="87">
        <v>0</v>
      </c>
      <c r="AL27" s="87">
        <v>0</v>
      </c>
      <c r="AM27" s="87">
        <v>0</v>
      </c>
      <c r="AN27" s="87">
        <v>0</v>
      </c>
      <c r="AO27" s="87">
        <v>0</v>
      </c>
      <c r="AP27" s="87">
        <v>0</v>
      </c>
      <c r="AQ27" s="87">
        <v>151174</v>
      </c>
      <c r="AR27" s="87">
        <v>252251</v>
      </c>
      <c r="AS27" s="87">
        <v>210326</v>
      </c>
      <c r="AT27" s="87">
        <v>239425</v>
      </c>
      <c r="AU27" s="87">
        <v>1128707</v>
      </c>
      <c r="AV27" s="87">
        <v>5525365</v>
      </c>
      <c r="AW27" s="88">
        <v>6963050</v>
      </c>
      <c r="AY27" s="50">
        <f t="shared" si="0"/>
        <v>6963050</v>
      </c>
    </row>
    <row r="28" spans="1:51" ht="14.4">
      <c r="A28" s="63" t="s">
        <v>164</v>
      </c>
      <c r="B28" s="64" t="s">
        <v>168</v>
      </c>
      <c r="C28" s="65">
        <v>71457026</v>
      </c>
      <c r="D28" s="66">
        <v>72720893</v>
      </c>
      <c r="E28" s="66">
        <v>81199128</v>
      </c>
      <c r="F28" s="66">
        <v>84453473</v>
      </c>
      <c r="G28" s="66">
        <v>93407107</v>
      </c>
      <c r="H28" s="66">
        <v>102565518</v>
      </c>
      <c r="I28" s="66">
        <v>87694729</v>
      </c>
      <c r="J28" s="66">
        <v>94037731</v>
      </c>
      <c r="K28" s="66">
        <v>86288155</v>
      </c>
      <c r="L28" s="66">
        <v>73164625</v>
      </c>
      <c r="M28" s="66">
        <v>90617651</v>
      </c>
      <c r="N28" s="66">
        <v>101039927</v>
      </c>
      <c r="O28" s="66">
        <v>97595427</v>
      </c>
      <c r="P28" s="66">
        <v>103613355</v>
      </c>
      <c r="Q28" s="66">
        <v>99181476</v>
      </c>
      <c r="R28" s="66">
        <v>125501650</v>
      </c>
      <c r="S28" s="66">
        <v>103782664</v>
      </c>
      <c r="T28" s="66">
        <v>79209736</v>
      </c>
      <c r="U28" s="66">
        <v>67538170</v>
      </c>
      <c r="V28" s="66">
        <v>68745599</v>
      </c>
      <c r="W28" s="66">
        <v>90373889</v>
      </c>
      <c r="X28" s="66">
        <v>84825573</v>
      </c>
      <c r="Y28" s="66">
        <v>100185314</v>
      </c>
      <c r="Z28" s="66">
        <v>101169344</v>
      </c>
      <c r="AA28" s="66">
        <v>121422160</v>
      </c>
      <c r="AB28" s="66">
        <v>147006547</v>
      </c>
      <c r="AC28" s="66">
        <v>122662776</v>
      </c>
      <c r="AD28" s="66">
        <v>154852339</v>
      </c>
      <c r="AE28" s="66">
        <v>133112842</v>
      </c>
      <c r="AF28" s="66">
        <v>146265588</v>
      </c>
      <c r="AG28" s="66">
        <v>144389148</v>
      </c>
      <c r="AH28" s="66">
        <v>159836256</v>
      </c>
      <c r="AI28" s="66">
        <v>216193020</v>
      </c>
      <c r="AJ28" s="66">
        <v>206571983</v>
      </c>
      <c r="AK28" s="66">
        <v>251608123</v>
      </c>
      <c r="AL28" s="66">
        <v>238951156</v>
      </c>
      <c r="AM28" s="66">
        <v>265123855</v>
      </c>
      <c r="AN28" s="66">
        <v>312559975</v>
      </c>
      <c r="AO28" s="66">
        <v>333436784</v>
      </c>
      <c r="AP28" s="66">
        <v>443681250</v>
      </c>
      <c r="AQ28" s="66">
        <v>568417489</v>
      </c>
      <c r="AR28" s="66">
        <v>586757511</v>
      </c>
      <c r="AS28" s="66">
        <v>558032892</v>
      </c>
      <c r="AT28" s="66">
        <v>508207211</v>
      </c>
      <c r="AU28" s="66">
        <v>478721324</v>
      </c>
      <c r="AV28" s="66">
        <v>516881156</v>
      </c>
      <c r="AW28" s="67">
        <v>490879729</v>
      </c>
      <c r="AY28" s="50">
        <f t="shared" si="0"/>
        <v>586757511</v>
      </c>
    </row>
    <row r="29" spans="1:51" ht="14.4">
      <c r="A29" s="46" t="s">
        <v>170</v>
      </c>
      <c r="B29" s="24" t="s">
        <v>142</v>
      </c>
      <c r="C29" s="47">
        <v>0</v>
      </c>
      <c r="D29" s="48">
        <v>42</v>
      </c>
      <c r="E29" s="48">
        <v>636</v>
      </c>
      <c r="F29" s="48">
        <v>127</v>
      </c>
      <c r="G29" s="48">
        <v>763</v>
      </c>
      <c r="H29" s="48">
        <v>0</v>
      </c>
      <c r="I29" s="48">
        <v>0</v>
      </c>
      <c r="J29" s="48">
        <v>0</v>
      </c>
      <c r="K29" s="48">
        <v>0</v>
      </c>
      <c r="L29" s="48">
        <v>0</v>
      </c>
      <c r="M29" s="48">
        <v>85</v>
      </c>
      <c r="N29" s="48">
        <v>5043946</v>
      </c>
      <c r="O29" s="48">
        <v>6218850</v>
      </c>
      <c r="P29" s="48">
        <v>4853401</v>
      </c>
      <c r="Q29" s="48">
        <v>1207510</v>
      </c>
      <c r="R29" s="48">
        <v>8791979</v>
      </c>
      <c r="S29" s="48">
        <v>30529442</v>
      </c>
      <c r="T29" s="48">
        <v>47393325</v>
      </c>
      <c r="U29" s="48">
        <v>34087097</v>
      </c>
      <c r="V29" s="48">
        <v>44213163</v>
      </c>
      <c r="W29" s="48">
        <v>35877949</v>
      </c>
      <c r="X29" s="48">
        <v>74234847</v>
      </c>
      <c r="Y29" s="48">
        <v>83439942</v>
      </c>
      <c r="Z29" s="48">
        <v>96770839</v>
      </c>
      <c r="AA29" s="48">
        <v>118256924</v>
      </c>
      <c r="AB29" s="48">
        <v>181644604</v>
      </c>
      <c r="AC29" s="48">
        <v>189009244</v>
      </c>
      <c r="AD29" s="48">
        <v>218421730</v>
      </c>
      <c r="AE29" s="48">
        <v>252323267</v>
      </c>
      <c r="AF29" s="48">
        <v>202957370</v>
      </c>
      <c r="AG29" s="48">
        <v>223787626</v>
      </c>
      <c r="AH29" s="48">
        <v>302271338</v>
      </c>
      <c r="AI29" s="48">
        <v>356384473</v>
      </c>
      <c r="AJ29" s="48">
        <v>473626553</v>
      </c>
      <c r="AK29" s="48">
        <v>575964575</v>
      </c>
      <c r="AL29" s="48">
        <v>513159592</v>
      </c>
      <c r="AM29" s="48">
        <v>590239070</v>
      </c>
      <c r="AN29" s="48">
        <v>574098977</v>
      </c>
      <c r="AO29" s="48">
        <v>642420559</v>
      </c>
      <c r="AP29" s="48">
        <v>585939629</v>
      </c>
      <c r="AQ29" s="48">
        <v>497478954</v>
      </c>
      <c r="AR29" s="48">
        <v>404314810</v>
      </c>
      <c r="AS29" s="48">
        <v>372225329</v>
      </c>
      <c r="AT29" s="48">
        <v>367920169</v>
      </c>
      <c r="AU29" s="48">
        <v>331207285</v>
      </c>
      <c r="AV29" s="48">
        <v>296672224</v>
      </c>
      <c r="AW29" s="49">
        <v>253531053</v>
      </c>
      <c r="AY29" s="50">
        <f t="shared" si="0"/>
        <v>642420559</v>
      </c>
    </row>
    <row r="30" spans="1:51" ht="14.4">
      <c r="A30" s="46" t="s">
        <v>170</v>
      </c>
      <c r="B30" s="24" t="s">
        <v>165</v>
      </c>
      <c r="C30" s="47">
        <v>0</v>
      </c>
      <c r="D30" s="48">
        <v>0</v>
      </c>
      <c r="E30" s="48">
        <v>0</v>
      </c>
      <c r="F30" s="48">
        <v>0</v>
      </c>
      <c r="G30" s="48">
        <v>0</v>
      </c>
      <c r="H30" s="48">
        <v>0</v>
      </c>
      <c r="I30" s="48">
        <v>0</v>
      </c>
      <c r="J30" s="48">
        <v>0</v>
      </c>
      <c r="K30" s="48">
        <v>4468173</v>
      </c>
      <c r="L30" s="48">
        <v>9057693</v>
      </c>
      <c r="M30" s="48">
        <v>10931523</v>
      </c>
      <c r="N30" s="48">
        <v>12719283</v>
      </c>
      <c r="O30" s="48">
        <v>14368474</v>
      </c>
      <c r="P30" s="48">
        <v>18342896</v>
      </c>
      <c r="Q30" s="48">
        <v>16401757</v>
      </c>
      <c r="R30" s="48">
        <v>1253250</v>
      </c>
      <c r="S30" s="48">
        <v>0</v>
      </c>
      <c r="T30" s="48">
        <v>0</v>
      </c>
      <c r="U30" s="48">
        <v>1</v>
      </c>
      <c r="V30" s="48">
        <v>2148</v>
      </c>
      <c r="W30" s="48">
        <v>1275</v>
      </c>
      <c r="X30" s="48">
        <v>1161216</v>
      </c>
      <c r="Y30" s="48">
        <v>1153734</v>
      </c>
      <c r="Z30" s="48">
        <v>919171</v>
      </c>
      <c r="AA30" s="48">
        <v>559679</v>
      </c>
      <c r="AB30" s="48">
        <v>655792</v>
      </c>
      <c r="AC30" s="48">
        <v>837998</v>
      </c>
      <c r="AD30" s="48">
        <v>7749913</v>
      </c>
      <c r="AE30" s="48">
        <v>8386889</v>
      </c>
      <c r="AF30" s="48">
        <v>7885326</v>
      </c>
      <c r="AG30" s="48">
        <v>697385</v>
      </c>
      <c r="AH30" s="48">
        <v>1701738</v>
      </c>
      <c r="AI30" s="48">
        <v>1024424</v>
      </c>
      <c r="AJ30" s="48">
        <v>1327292</v>
      </c>
      <c r="AK30" s="48">
        <v>157831</v>
      </c>
      <c r="AL30" s="48">
        <v>1163642</v>
      </c>
      <c r="AM30" s="48">
        <v>2251528</v>
      </c>
      <c r="AN30" s="48">
        <v>1409702</v>
      </c>
      <c r="AO30" s="48">
        <v>179932</v>
      </c>
      <c r="AP30" s="48">
        <v>155886</v>
      </c>
      <c r="AQ30" s="48">
        <v>3538632</v>
      </c>
      <c r="AR30" s="48">
        <v>2755297</v>
      </c>
      <c r="AS30" s="48">
        <v>6295023</v>
      </c>
      <c r="AT30" s="48">
        <v>4346348</v>
      </c>
      <c r="AU30" s="48">
        <v>2791747</v>
      </c>
      <c r="AV30" s="48">
        <v>480959</v>
      </c>
      <c r="AW30" s="49">
        <v>1011221</v>
      </c>
      <c r="AY30" s="50">
        <f t="shared" si="0"/>
        <v>6295023</v>
      </c>
    </row>
    <row r="31" spans="1:51" ht="14.4">
      <c r="A31" s="46" t="s">
        <v>170</v>
      </c>
      <c r="B31" s="24" t="s">
        <v>98</v>
      </c>
      <c r="C31" s="47">
        <v>0</v>
      </c>
      <c r="D31" s="48">
        <v>0</v>
      </c>
      <c r="E31" s="48">
        <v>0</v>
      </c>
      <c r="F31" s="48">
        <v>0</v>
      </c>
      <c r="G31" s="48">
        <v>0</v>
      </c>
      <c r="H31" s="48">
        <v>0</v>
      </c>
      <c r="I31" s="48">
        <v>0</v>
      </c>
      <c r="J31" s="48">
        <v>0</v>
      </c>
      <c r="K31" s="48">
        <v>0</v>
      </c>
      <c r="L31" s="48">
        <v>0</v>
      </c>
      <c r="M31" s="48">
        <v>0</v>
      </c>
      <c r="N31" s="48">
        <v>0</v>
      </c>
      <c r="O31" s="48">
        <v>0</v>
      </c>
      <c r="P31" s="48">
        <v>0</v>
      </c>
      <c r="Q31" s="48">
        <v>0</v>
      </c>
      <c r="R31" s="48">
        <v>0</v>
      </c>
      <c r="S31" s="48">
        <v>0</v>
      </c>
      <c r="T31" s="48">
        <v>0</v>
      </c>
      <c r="U31" s="48">
        <v>0</v>
      </c>
      <c r="V31" s="48">
        <v>0</v>
      </c>
      <c r="W31" s="48">
        <v>0</v>
      </c>
      <c r="X31" s="48">
        <v>0</v>
      </c>
      <c r="Y31" s="48">
        <v>0</v>
      </c>
      <c r="Z31" s="48">
        <v>0</v>
      </c>
      <c r="AA31" s="48">
        <v>0</v>
      </c>
      <c r="AB31" s="48">
        <v>0</v>
      </c>
      <c r="AC31" s="48">
        <v>0</v>
      </c>
      <c r="AD31" s="48">
        <v>0</v>
      </c>
      <c r="AE31" s="48">
        <v>0</v>
      </c>
      <c r="AF31" s="48">
        <v>0</v>
      </c>
      <c r="AG31" s="48">
        <v>0</v>
      </c>
      <c r="AH31" s="48">
        <v>0</v>
      </c>
      <c r="AI31" s="48">
        <v>0</v>
      </c>
      <c r="AJ31" s="48">
        <v>0</v>
      </c>
      <c r="AK31" s="48">
        <v>0</v>
      </c>
      <c r="AL31" s="48">
        <v>0</v>
      </c>
      <c r="AM31" s="48">
        <v>0</v>
      </c>
      <c r="AN31" s="48">
        <v>0</v>
      </c>
      <c r="AO31" s="48">
        <v>0</v>
      </c>
      <c r="AP31" s="48">
        <v>0</v>
      </c>
      <c r="AQ31" s="48">
        <v>0</v>
      </c>
      <c r="AR31" s="48">
        <v>0</v>
      </c>
      <c r="AS31" s="48">
        <v>0</v>
      </c>
      <c r="AT31" s="48">
        <v>0</v>
      </c>
      <c r="AU31" s="48">
        <v>0</v>
      </c>
      <c r="AV31" s="48">
        <v>0</v>
      </c>
      <c r="AW31" s="49">
        <v>0</v>
      </c>
      <c r="AY31" s="50">
        <f t="shared" si="0"/>
        <v>0</v>
      </c>
    </row>
    <row r="32" spans="1:51" ht="14.4">
      <c r="A32" s="46" t="s">
        <v>170</v>
      </c>
      <c r="B32" s="24" t="s">
        <v>75</v>
      </c>
      <c r="C32" s="47">
        <v>485295</v>
      </c>
      <c r="D32" s="48">
        <v>796470</v>
      </c>
      <c r="E32" s="48">
        <v>503827</v>
      </c>
      <c r="F32" s="48">
        <v>344644</v>
      </c>
      <c r="G32" s="48">
        <v>410013</v>
      </c>
      <c r="H32" s="48">
        <v>153190</v>
      </c>
      <c r="I32" s="48">
        <v>222847</v>
      </c>
      <c r="J32" s="48">
        <v>476812</v>
      </c>
      <c r="K32" s="48">
        <v>212844</v>
      </c>
      <c r="L32" s="48">
        <v>462014</v>
      </c>
      <c r="M32" s="48">
        <v>99391</v>
      </c>
      <c r="N32" s="48">
        <v>976075</v>
      </c>
      <c r="O32" s="48">
        <v>1015292</v>
      </c>
      <c r="P32" s="48">
        <v>386222</v>
      </c>
      <c r="Q32" s="48">
        <v>573963</v>
      </c>
      <c r="R32" s="48">
        <v>345650</v>
      </c>
      <c r="S32" s="48">
        <v>708786</v>
      </c>
      <c r="T32" s="48">
        <v>704434</v>
      </c>
      <c r="U32" s="48">
        <v>1072524</v>
      </c>
      <c r="V32" s="48">
        <v>1386163</v>
      </c>
      <c r="W32" s="48">
        <v>2109300</v>
      </c>
      <c r="X32" s="48">
        <v>2805697</v>
      </c>
      <c r="Y32" s="48">
        <v>2959922</v>
      </c>
      <c r="Z32" s="48">
        <v>2095306</v>
      </c>
      <c r="AA32" s="48">
        <v>3043077</v>
      </c>
      <c r="AB32" s="48">
        <v>3027047</v>
      </c>
      <c r="AC32" s="48">
        <v>2847025</v>
      </c>
      <c r="AD32" s="48">
        <v>2049161</v>
      </c>
      <c r="AE32" s="48">
        <v>1664050</v>
      </c>
      <c r="AF32" s="48">
        <v>1682521</v>
      </c>
      <c r="AG32" s="48">
        <v>3181344</v>
      </c>
      <c r="AH32" s="48">
        <v>5064160</v>
      </c>
      <c r="AI32" s="48">
        <v>3447077</v>
      </c>
      <c r="AJ32" s="48">
        <v>10095438</v>
      </c>
      <c r="AK32" s="48">
        <v>7089280</v>
      </c>
      <c r="AL32" s="48">
        <v>6423808</v>
      </c>
      <c r="AM32" s="48">
        <v>5485478</v>
      </c>
      <c r="AN32" s="48">
        <v>4139586</v>
      </c>
      <c r="AO32" s="48">
        <v>4702534</v>
      </c>
      <c r="AP32" s="48">
        <v>3056700</v>
      </c>
      <c r="AQ32" s="48">
        <v>3984888</v>
      </c>
      <c r="AR32" s="48">
        <v>4337616</v>
      </c>
      <c r="AS32" s="48">
        <v>3481882</v>
      </c>
      <c r="AT32" s="48">
        <v>4480015</v>
      </c>
      <c r="AU32" s="48">
        <v>5805714</v>
      </c>
      <c r="AV32" s="48">
        <v>4390092</v>
      </c>
      <c r="AW32" s="49">
        <v>6381304</v>
      </c>
      <c r="AY32" s="50">
        <f t="shared" si="0"/>
        <v>7089280</v>
      </c>
    </row>
    <row r="33" spans="1:51" ht="14.4">
      <c r="A33" s="46" t="s">
        <v>170</v>
      </c>
      <c r="B33" s="24" t="s">
        <v>100</v>
      </c>
      <c r="C33" s="47">
        <v>3915435</v>
      </c>
      <c r="D33" s="48">
        <v>846162</v>
      </c>
      <c r="E33" s="48">
        <v>1836613</v>
      </c>
      <c r="F33" s="48">
        <v>1219000</v>
      </c>
      <c r="G33" s="48">
        <v>5505752</v>
      </c>
      <c r="H33" s="48">
        <v>2152815</v>
      </c>
      <c r="I33" s="48">
        <v>4626834</v>
      </c>
      <c r="J33" s="48">
        <v>8043454</v>
      </c>
      <c r="K33" s="48">
        <v>5432889</v>
      </c>
      <c r="L33" s="48">
        <v>4161602</v>
      </c>
      <c r="M33" s="48">
        <v>2424995</v>
      </c>
      <c r="N33" s="48">
        <v>3173760</v>
      </c>
      <c r="O33" s="48">
        <v>3032777</v>
      </c>
      <c r="P33" s="48">
        <v>1769537</v>
      </c>
      <c r="Q33" s="48">
        <v>2638275</v>
      </c>
      <c r="R33" s="48">
        <v>3067434</v>
      </c>
      <c r="S33" s="48">
        <v>4281148</v>
      </c>
      <c r="T33" s="48">
        <v>3591675</v>
      </c>
      <c r="U33" s="48">
        <v>6175917</v>
      </c>
      <c r="V33" s="48">
        <v>12108552</v>
      </c>
      <c r="W33" s="48">
        <v>13378524</v>
      </c>
      <c r="X33" s="48">
        <v>13142882</v>
      </c>
      <c r="Y33" s="48">
        <v>10900130</v>
      </c>
      <c r="Z33" s="48">
        <v>14161616</v>
      </c>
      <c r="AA33" s="48">
        <v>15917518</v>
      </c>
      <c r="AB33" s="48">
        <v>15337304</v>
      </c>
      <c r="AC33" s="48">
        <v>20819794</v>
      </c>
      <c r="AD33" s="48">
        <v>16584620</v>
      </c>
      <c r="AE33" s="48">
        <v>17458513</v>
      </c>
      <c r="AF33" s="48">
        <v>20924810</v>
      </c>
      <c r="AG33" s="48">
        <v>21503660</v>
      </c>
      <c r="AH33" s="48">
        <v>18215628</v>
      </c>
      <c r="AI33" s="48">
        <v>15296311</v>
      </c>
      <c r="AJ33" s="48">
        <v>13483912</v>
      </c>
      <c r="AK33" s="48">
        <v>12059690</v>
      </c>
      <c r="AL33" s="48">
        <v>10953969</v>
      </c>
      <c r="AM33" s="48">
        <v>10640783</v>
      </c>
      <c r="AN33" s="48">
        <v>10857037</v>
      </c>
      <c r="AO33" s="48">
        <v>11317563</v>
      </c>
      <c r="AP33" s="48">
        <v>8855189</v>
      </c>
      <c r="AQ33" s="48">
        <v>11638972</v>
      </c>
      <c r="AR33" s="48">
        <v>12206684</v>
      </c>
      <c r="AS33" s="48">
        <v>8738279</v>
      </c>
      <c r="AT33" s="48">
        <v>8603788</v>
      </c>
      <c r="AU33" s="48">
        <v>8665999</v>
      </c>
      <c r="AV33" s="48">
        <v>9162081</v>
      </c>
      <c r="AW33" s="49">
        <v>20765080</v>
      </c>
      <c r="AY33" s="50">
        <f t="shared" si="0"/>
        <v>20765080</v>
      </c>
    </row>
    <row r="34" spans="1:51" ht="14.4">
      <c r="A34" s="46" t="s">
        <v>170</v>
      </c>
      <c r="B34" s="24" t="s">
        <v>77</v>
      </c>
      <c r="C34" s="47">
        <v>10372488</v>
      </c>
      <c r="D34" s="48">
        <v>12099264</v>
      </c>
      <c r="E34" s="48">
        <v>12125277</v>
      </c>
      <c r="F34" s="48">
        <v>13269196</v>
      </c>
      <c r="G34" s="48">
        <v>17225913</v>
      </c>
      <c r="H34" s="48">
        <v>23988118</v>
      </c>
      <c r="I34" s="48">
        <v>21755872</v>
      </c>
      <c r="J34" s="48">
        <v>23512489</v>
      </c>
      <c r="K34" s="48">
        <v>24293532</v>
      </c>
      <c r="L34" s="48">
        <v>25066266</v>
      </c>
      <c r="M34" s="48">
        <v>24461486</v>
      </c>
      <c r="N34" s="48">
        <v>21475863</v>
      </c>
      <c r="O34" s="48">
        <v>22155333</v>
      </c>
      <c r="P34" s="48">
        <v>24264126</v>
      </c>
      <c r="Q34" s="48">
        <v>15840003</v>
      </c>
      <c r="R34" s="48">
        <v>17134569</v>
      </c>
      <c r="S34" s="48">
        <v>11942449</v>
      </c>
      <c r="T34" s="48">
        <v>14543736</v>
      </c>
      <c r="U34" s="48">
        <v>17697716</v>
      </c>
      <c r="V34" s="48">
        <v>16055428</v>
      </c>
      <c r="W34" s="48">
        <v>17967949</v>
      </c>
      <c r="X34" s="48">
        <v>20206103</v>
      </c>
      <c r="Y34" s="48">
        <v>21576175</v>
      </c>
      <c r="Z34" s="48">
        <v>22325759</v>
      </c>
      <c r="AA34" s="48">
        <v>16140332</v>
      </c>
      <c r="AB34" s="48">
        <v>17455509</v>
      </c>
      <c r="AC34" s="48">
        <v>14519279</v>
      </c>
      <c r="AD34" s="48">
        <v>19302485</v>
      </c>
      <c r="AE34" s="48">
        <v>16802662</v>
      </c>
      <c r="AF34" s="48">
        <v>22046700</v>
      </c>
      <c r="AG34" s="48">
        <v>53271236</v>
      </c>
      <c r="AH34" s="48">
        <v>48636821</v>
      </c>
      <c r="AI34" s="48">
        <v>28086275</v>
      </c>
      <c r="AJ34" s="48">
        <v>34201719</v>
      </c>
      <c r="AK34" s="48">
        <v>48820968</v>
      </c>
      <c r="AL34" s="48">
        <v>43289826</v>
      </c>
      <c r="AM34" s="48">
        <v>39113594</v>
      </c>
      <c r="AN34" s="48">
        <v>36267263</v>
      </c>
      <c r="AO34" s="48">
        <v>35719847</v>
      </c>
      <c r="AP34" s="48">
        <v>37434896</v>
      </c>
      <c r="AQ34" s="48">
        <v>37758929</v>
      </c>
      <c r="AR34" s="48">
        <v>39483291</v>
      </c>
      <c r="AS34" s="48">
        <v>40032811</v>
      </c>
      <c r="AT34" s="48">
        <v>41795268</v>
      </c>
      <c r="AU34" s="48">
        <v>34108807</v>
      </c>
      <c r="AV34" s="48">
        <v>33146198</v>
      </c>
      <c r="AW34" s="49">
        <v>42409131</v>
      </c>
      <c r="AY34" s="50">
        <f t="shared" si="0"/>
        <v>48820968</v>
      </c>
    </row>
    <row r="35" spans="1:51" ht="14.4">
      <c r="A35" s="46" t="s">
        <v>170</v>
      </c>
      <c r="B35" s="24" t="s">
        <v>96</v>
      </c>
      <c r="C35" s="47">
        <v>1216085</v>
      </c>
      <c r="D35" s="48">
        <v>716271</v>
      </c>
      <c r="E35" s="48">
        <v>566326</v>
      </c>
      <c r="F35" s="48">
        <v>905931</v>
      </c>
      <c r="G35" s="48">
        <v>831242</v>
      </c>
      <c r="H35" s="48">
        <v>1032951</v>
      </c>
      <c r="I35" s="48">
        <v>1057441</v>
      </c>
      <c r="J35" s="48">
        <v>1634034</v>
      </c>
      <c r="K35" s="48">
        <v>1428341</v>
      </c>
      <c r="L35" s="48">
        <v>1013298</v>
      </c>
      <c r="M35" s="48">
        <v>1666274</v>
      </c>
      <c r="N35" s="48">
        <v>786956</v>
      </c>
      <c r="O35" s="48">
        <v>339127</v>
      </c>
      <c r="P35" s="48">
        <v>911239</v>
      </c>
      <c r="Q35" s="48">
        <v>106619</v>
      </c>
      <c r="R35" s="48">
        <v>48994</v>
      </c>
      <c r="S35" s="48">
        <v>124676</v>
      </c>
      <c r="T35" s="48">
        <v>644425</v>
      </c>
      <c r="U35" s="48">
        <v>3092461</v>
      </c>
      <c r="V35" s="48">
        <v>4912570</v>
      </c>
      <c r="W35" s="48">
        <v>3773383</v>
      </c>
      <c r="X35" s="48">
        <v>299788</v>
      </c>
      <c r="Y35" s="48">
        <v>2860866</v>
      </c>
      <c r="Z35" s="48">
        <v>2882644</v>
      </c>
      <c r="AA35" s="48">
        <v>2077061</v>
      </c>
      <c r="AB35" s="48">
        <v>2356313</v>
      </c>
      <c r="AC35" s="48">
        <v>3969004</v>
      </c>
      <c r="AD35" s="48">
        <v>3741044</v>
      </c>
      <c r="AE35" s="48">
        <v>2547977</v>
      </c>
      <c r="AF35" s="48">
        <v>12309074</v>
      </c>
      <c r="AG35" s="48">
        <v>16717962</v>
      </c>
      <c r="AH35" s="48">
        <v>16562537</v>
      </c>
      <c r="AI35" s="48">
        <v>12136193</v>
      </c>
      <c r="AJ35" s="48">
        <v>27804502</v>
      </c>
      <c r="AK35" s="48">
        <v>26346961</v>
      </c>
      <c r="AL35" s="48">
        <v>25658098</v>
      </c>
      <c r="AM35" s="48">
        <v>24882344</v>
      </c>
      <c r="AN35" s="48">
        <v>27207992</v>
      </c>
      <c r="AO35" s="48">
        <v>29056586</v>
      </c>
      <c r="AP35" s="48">
        <v>41893657</v>
      </c>
      <c r="AQ35" s="48">
        <v>30200387</v>
      </c>
      <c r="AR35" s="48">
        <v>45188997</v>
      </c>
      <c r="AS35" s="48">
        <v>25469945</v>
      </c>
      <c r="AT35" s="48">
        <v>32019391</v>
      </c>
      <c r="AU35" s="48">
        <v>20554460</v>
      </c>
      <c r="AV35" s="48">
        <v>17053417</v>
      </c>
      <c r="AW35" s="49">
        <v>12638723</v>
      </c>
      <c r="AY35" s="50">
        <f t="shared" si="0"/>
        <v>45188997</v>
      </c>
    </row>
    <row r="36" spans="1:51" ht="14.4">
      <c r="A36" s="46" t="s">
        <v>170</v>
      </c>
      <c r="B36" s="82" t="s">
        <v>69</v>
      </c>
      <c r="C36" s="83">
        <v>12223174</v>
      </c>
      <c r="D36" s="84">
        <v>13434231</v>
      </c>
      <c r="E36" s="84">
        <v>10330454</v>
      </c>
      <c r="F36" s="84">
        <v>10460219</v>
      </c>
      <c r="G36" s="84">
        <v>14303134</v>
      </c>
      <c r="H36" s="84">
        <v>18441831</v>
      </c>
      <c r="I36" s="84">
        <v>23522661</v>
      </c>
      <c r="J36" s="84">
        <v>26568153</v>
      </c>
      <c r="K36" s="84">
        <v>25899770</v>
      </c>
      <c r="L36" s="84">
        <v>41578303</v>
      </c>
      <c r="M36" s="84">
        <v>47026577</v>
      </c>
      <c r="N36" s="84">
        <v>38476203</v>
      </c>
      <c r="O36" s="84">
        <v>35901332</v>
      </c>
      <c r="P36" s="84">
        <v>39156803</v>
      </c>
      <c r="Q36" s="84">
        <v>25908817</v>
      </c>
      <c r="R36" s="84">
        <v>28258593</v>
      </c>
      <c r="S36" s="84">
        <v>20644062</v>
      </c>
      <c r="T36" s="84">
        <v>29147039</v>
      </c>
      <c r="U36" s="84">
        <v>30242272</v>
      </c>
      <c r="V36" s="84">
        <v>29371139</v>
      </c>
      <c r="W36" s="84">
        <v>29367557</v>
      </c>
      <c r="X36" s="84">
        <v>25381235</v>
      </c>
      <c r="Y36" s="84">
        <v>26716086</v>
      </c>
      <c r="Z36" s="84">
        <v>31516710</v>
      </c>
      <c r="AA36" s="84">
        <v>31249682</v>
      </c>
      <c r="AB36" s="84">
        <v>37222119</v>
      </c>
      <c r="AC36" s="84">
        <v>48537109</v>
      </c>
      <c r="AD36" s="84">
        <v>50836014</v>
      </c>
      <c r="AE36" s="84">
        <v>53695385</v>
      </c>
      <c r="AF36" s="84">
        <v>53958051</v>
      </c>
      <c r="AG36" s="84">
        <v>47278869</v>
      </c>
      <c r="AH36" s="84">
        <v>38979594</v>
      </c>
      <c r="AI36" s="84">
        <v>37378273</v>
      </c>
      <c r="AJ36" s="84">
        <v>36379300</v>
      </c>
      <c r="AK36" s="84">
        <v>35684531</v>
      </c>
      <c r="AL36" s="84">
        <v>28452271</v>
      </c>
      <c r="AM36" s="84">
        <v>27235325</v>
      </c>
      <c r="AN36" s="84">
        <v>36102238</v>
      </c>
      <c r="AO36" s="84">
        <v>32075546</v>
      </c>
      <c r="AP36" s="84">
        <v>30791141</v>
      </c>
      <c r="AQ36" s="84">
        <v>49830336</v>
      </c>
      <c r="AR36" s="84">
        <v>31748428</v>
      </c>
      <c r="AS36" s="84">
        <v>31958951</v>
      </c>
      <c r="AT36" s="84">
        <v>34350058</v>
      </c>
      <c r="AU36" s="84">
        <v>32921067</v>
      </c>
      <c r="AV36" s="84">
        <v>39998435</v>
      </c>
      <c r="AW36" s="85">
        <v>46109256</v>
      </c>
      <c r="AY36" s="50">
        <f t="shared" si="0"/>
        <v>49830336</v>
      </c>
    </row>
    <row r="37" spans="1:51" ht="14.4">
      <c r="A37" s="46" t="s">
        <v>170</v>
      </c>
      <c r="B37" s="82" t="s">
        <v>51</v>
      </c>
      <c r="C37" s="83">
        <v>5713473</v>
      </c>
      <c r="D37" s="84">
        <v>6420884</v>
      </c>
      <c r="E37" s="84">
        <v>5809805</v>
      </c>
      <c r="F37" s="84">
        <v>8909355</v>
      </c>
      <c r="G37" s="84">
        <v>7454822</v>
      </c>
      <c r="H37" s="84">
        <v>10852717</v>
      </c>
      <c r="I37" s="84">
        <v>12057370</v>
      </c>
      <c r="J37" s="84">
        <v>16637286</v>
      </c>
      <c r="K37" s="84">
        <v>17793261</v>
      </c>
      <c r="L37" s="84">
        <v>4625275</v>
      </c>
      <c r="M37" s="84">
        <v>5150176</v>
      </c>
      <c r="N37" s="84">
        <v>4483627</v>
      </c>
      <c r="O37" s="84">
        <v>5224874</v>
      </c>
      <c r="P37" s="84">
        <v>5994817</v>
      </c>
      <c r="Q37" s="84">
        <v>4988518</v>
      </c>
      <c r="R37" s="84">
        <v>6153459</v>
      </c>
      <c r="S37" s="84">
        <v>5339118</v>
      </c>
      <c r="T37" s="84">
        <v>8733865</v>
      </c>
      <c r="U37" s="84">
        <v>10702733</v>
      </c>
      <c r="V37" s="84">
        <v>9489775</v>
      </c>
      <c r="W37" s="84">
        <v>11046462</v>
      </c>
      <c r="X37" s="84">
        <v>9868640</v>
      </c>
      <c r="Y37" s="84">
        <v>11377163</v>
      </c>
      <c r="Z37" s="84">
        <v>15438674</v>
      </c>
      <c r="AA37" s="84">
        <v>17534666</v>
      </c>
      <c r="AB37" s="84">
        <v>20533403</v>
      </c>
      <c r="AC37" s="84">
        <v>26864493</v>
      </c>
      <c r="AD37" s="84">
        <v>28546643</v>
      </c>
      <c r="AE37" s="84">
        <v>33631199</v>
      </c>
      <c r="AF37" s="84">
        <v>16848569</v>
      </c>
      <c r="AG37" s="84">
        <v>17195948</v>
      </c>
      <c r="AH37" s="84">
        <v>11725517</v>
      </c>
      <c r="AI37" s="84">
        <v>5261970</v>
      </c>
      <c r="AJ37" s="84">
        <v>10800604</v>
      </c>
      <c r="AK37" s="84">
        <v>18782911</v>
      </c>
      <c r="AL37" s="84">
        <v>18229716</v>
      </c>
      <c r="AM37" s="84">
        <v>14586320</v>
      </c>
      <c r="AN37" s="84">
        <v>19350884</v>
      </c>
      <c r="AO37" s="84">
        <v>18938223</v>
      </c>
      <c r="AP37" s="84">
        <v>18572086</v>
      </c>
      <c r="AQ37" s="84">
        <v>26536230</v>
      </c>
      <c r="AR37" s="84">
        <v>30044881</v>
      </c>
      <c r="AS37" s="84">
        <v>24374944</v>
      </c>
      <c r="AT37" s="84">
        <v>39197258</v>
      </c>
      <c r="AU37" s="84">
        <v>25180340</v>
      </c>
      <c r="AV37" s="84">
        <v>25884963</v>
      </c>
      <c r="AW37" s="85">
        <v>25655285</v>
      </c>
      <c r="AY37" s="50">
        <f t="shared" si="0"/>
        <v>39197258</v>
      </c>
    </row>
    <row r="38" spans="1:51" ht="14.4">
      <c r="A38" s="46" t="s">
        <v>170</v>
      </c>
      <c r="B38" s="81" t="s">
        <v>99</v>
      </c>
      <c r="C38" s="86">
        <v>16496632</v>
      </c>
      <c r="D38" s="87">
        <v>26161381</v>
      </c>
      <c r="E38" s="87">
        <v>30470178</v>
      </c>
      <c r="F38" s="87">
        <v>45559005</v>
      </c>
      <c r="G38" s="87">
        <v>46580380</v>
      </c>
      <c r="H38" s="87">
        <v>54587998</v>
      </c>
      <c r="I38" s="87">
        <v>59721097</v>
      </c>
      <c r="J38" s="87">
        <v>66689802</v>
      </c>
      <c r="K38" s="87">
        <v>40293186</v>
      </c>
      <c r="L38" s="87">
        <v>30627341</v>
      </c>
      <c r="M38" s="87">
        <v>30668225</v>
      </c>
      <c r="N38" s="87">
        <v>20298701</v>
      </c>
      <c r="O38" s="87">
        <v>18932248</v>
      </c>
      <c r="P38" s="87">
        <v>18161133</v>
      </c>
      <c r="Q38" s="87">
        <v>16242335</v>
      </c>
      <c r="R38" s="87">
        <v>14690566</v>
      </c>
      <c r="S38" s="87">
        <v>21257452</v>
      </c>
      <c r="T38" s="87">
        <v>32334429</v>
      </c>
      <c r="U38" s="87">
        <v>44704109</v>
      </c>
      <c r="V38" s="87">
        <v>37516363</v>
      </c>
      <c r="W38" s="87">
        <v>51532084</v>
      </c>
      <c r="X38" s="87">
        <v>52601999</v>
      </c>
      <c r="Y38" s="87">
        <v>79066721</v>
      </c>
      <c r="Z38" s="87">
        <v>79929607</v>
      </c>
      <c r="AA38" s="87">
        <v>75832760</v>
      </c>
      <c r="AB38" s="87">
        <v>75395555</v>
      </c>
      <c r="AC38" s="87">
        <v>91337961</v>
      </c>
      <c r="AD38" s="87">
        <v>88874529</v>
      </c>
      <c r="AE38" s="87">
        <v>86717696</v>
      </c>
      <c r="AF38" s="87">
        <v>74105560</v>
      </c>
      <c r="AG38" s="87">
        <v>68945438</v>
      </c>
      <c r="AH38" s="87">
        <v>48648328</v>
      </c>
      <c r="AI38" s="87">
        <v>41963587</v>
      </c>
      <c r="AJ38" s="87">
        <v>61431920</v>
      </c>
      <c r="AK38" s="87">
        <v>55367063</v>
      </c>
      <c r="AL38" s="87">
        <v>45373236</v>
      </c>
      <c r="AM38" s="87">
        <v>58621301</v>
      </c>
      <c r="AN38" s="87">
        <v>86746374</v>
      </c>
      <c r="AO38" s="87">
        <v>123816354</v>
      </c>
      <c r="AP38" s="87">
        <v>125078469</v>
      </c>
      <c r="AQ38" s="87">
        <v>126875996</v>
      </c>
      <c r="AR38" s="87">
        <v>137445612</v>
      </c>
      <c r="AS38" s="87">
        <v>166481069</v>
      </c>
      <c r="AT38" s="87">
        <v>122439323</v>
      </c>
      <c r="AU38" s="87">
        <v>107091131</v>
      </c>
      <c r="AV38" s="87">
        <v>95167031</v>
      </c>
      <c r="AW38" s="88">
        <v>128988988</v>
      </c>
      <c r="AY38" s="50">
        <f t="shared" si="0"/>
        <v>166481069</v>
      </c>
    </row>
    <row r="39" spans="1:51" ht="14.4">
      <c r="A39" s="46" t="s">
        <v>170</v>
      </c>
      <c r="B39" s="81" t="s">
        <v>166</v>
      </c>
      <c r="C39" s="86">
        <v>0</v>
      </c>
      <c r="D39" s="87">
        <v>0</v>
      </c>
      <c r="E39" s="87">
        <v>0</v>
      </c>
      <c r="F39" s="87">
        <v>0</v>
      </c>
      <c r="G39" s="87">
        <v>0</v>
      </c>
      <c r="H39" s="87">
        <v>0</v>
      </c>
      <c r="I39" s="87">
        <v>0</v>
      </c>
      <c r="J39" s="87">
        <v>0</v>
      </c>
      <c r="K39" s="87">
        <v>0</v>
      </c>
      <c r="L39" s="87">
        <v>0</v>
      </c>
      <c r="M39" s="87">
        <v>0</v>
      </c>
      <c r="N39" s="87">
        <v>0</v>
      </c>
      <c r="O39" s="87">
        <v>0</v>
      </c>
      <c r="P39" s="87">
        <v>0</v>
      </c>
      <c r="Q39" s="87">
        <v>0</v>
      </c>
      <c r="R39" s="87">
        <v>0</v>
      </c>
      <c r="S39" s="87">
        <v>0</v>
      </c>
      <c r="T39" s="87">
        <v>0</v>
      </c>
      <c r="U39" s="87">
        <v>0</v>
      </c>
      <c r="V39" s="87">
        <v>0</v>
      </c>
      <c r="W39" s="87">
        <v>0</v>
      </c>
      <c r="X39" s="87">
        <v>0</v>
      </c>
      <c r="Y39" s="87">
        <v>0</v>
      </c>
      <c r="Z39" s="87">
        <v>0</v>
      </c>
      <c r="AA39" s="87">
        <v>0</v>
      </c>
      <c r="AB39" s="87">
        <v>0</v>
      </c>
      <c r="AC39" s="87">
        <v>0</v>
      </c>
      <c r="AD39" s="87">
        <v>0</v>
      </c>
      <c r="AE39" s="87">
        <v>0</v>
      </c>
      <c r="AF39" s="87">
        <v>0</v>
      </c>
      <c r="AG39" s="87">
        <v>0</v>
      </c>
      <c r="AH39" s="87">
        <v>0</v>
      </c>
      <c r="AI39" s="87">
        <v>0</v>
      </c>
      <c r="AJ39" s="87">
        <v>0</v>
      </c>
      <c r="AK39" s="87">
        <v>0</v>
      </c>
      <c r="AL39" s="87">
        <v>0</v>
      </c>
      <c r="AM39" s="87">
        <v>0</v>
      </c>
      <c r="AN39" s="87">
        <v>0</v>
      </c>
      <c r="AO39" s="87">
        <v>0</v>
      </c>
      <c r="AP39" s="87">
        <v>0</v>
      </c>
      <c r="AQ39" s="87">
        <v>0</v>
      </c>
      <c r="AR39" s="87">
        <v>0</v>
      </c>
      <c r="AS39" s="87">
        <v>0</v>
      </c>
      <c r="AT39" s="87">
        <v>0</v>
      </c>
      <c r="AU39" s="87">
        <v>0</v>
      </c>
      <c r="AV39" s="87">
        <v>0</v>
      </c>
      <c r="AW39" s="88">
        <v>0</v>
      </c>
      <c r="AY39" s="50">
        <f t="shared" si="0"/>
        <v>0</v>
      </c>
    </row>
    <row r="40" spans="1:51" ht="14.4">
      <c r="A40" s="46" t="s">
        <v>170</v>
      </c>
      <c r="B40" s="81" t="s">
        <v>167</v>
      </c>
      <c r="C40" s="86">
        <v>0</v>
      </c>
      <c r="D40" s="87">
        <v>0</v>
      </c>
      <c r="E40" s="87">
        <v>0</v>
      </c>
      <c r="F40" s="87">
        <v>0</v>
      </c>
      <c r="G40" s="87">
        <v>0</v>
      </c>
      <c r="H40" s="87">
        <v>0</v>
      </c>
      <c r="I40" s="87">
        <v>0</v>
      </c>
      <c r="J40" s="87">
        <v>0</v>
      </c>
      <c r="K40" s="87">
        <v>0</v>
      </c>
      <c r="L40" s="87">
        <v>0</v>
      </c>
      <c r="M40" s="87">
        <v>0</v>
      </c>
      <c r="N40" s="87">
        <v>0</v>
      </c>
      <c r="O40" s="87">
        <v>0</v>
      </c>
      <c r="P40" s="87">
        <v>0</v>
      </c>
      <c r="Q40" s="87">
        <v>0</v>
      </c>
      <c r="R40" s="87">
        <v>0</v>
      </c>
      <c r="S40" s="87">
        <v>0</v>
      </c>
      <c r="T40" s="87">
        <v>0</v>
      </c>
      <c r="U40" s="87">
        <v>0</v>
      </c>
      <c r="V40" s="87">
        <v>0</v>
      </c>
      <c r="W40" s="87">
        <v>0</v>
      </c>
      <c r="X40" s="87">
        <v>0</v>
      </c>
      <c r="Y40" s="87">
        <v>0</v>
      </c>
      <c r="Z40" s="87">
        <v>0</v>
      </c>
      <c r="AA40" s="87">
        <v>0</v>
      </c>
      <c r="AB40" s="87">
        <v>0</v>
      </c>
      <c r="AC40" s="87">
        <v>0</v>
      </c>
      <c r="AD40" s="87">
        <v>0</v>
      </c>
      <c r="AE40" s="87">
        <v>0</v>
      </c>
      <c r="AF40" s="87">
        <v>0</v>
      </c>
      <c r="AG40" s="87">
        <v>0</v>
      </c>
      <c r="AH40" s="87">
        <v>0</v>
      </c>
      <c r="AI40" s="87">
        <v>0</v>
      </c>
      <c r="AJ40" s="87">
        <v>0</v>
      </c>
      <c r="AK40" s="87">
        <v>0</v>
      </c>
      <c r="AL40" s="87">
        <v>940000</v>
      </c>
      <c r="AM40" s="87">
        <v>1504000</v>
      </c>
      <c r="AN40" s="87">
        <v>1692000</v>
      </c>
      <c r="AO40" s="87">
        <v>2444000</v>
      </c>
      <c r="AP40" s="87">
        <v>2632000</v>
      </c>
      <c r="AQ40" s="87">
        <v>2632000</v>
      </c>
      <c r="AR40" s="87">
        <v>2632000</v>
      </c>
      <c r="AS40" s="87">
        <v>3660750</v>
      </c>
      <c r="AT40" s="87">
        <v>3122250</v>
      </c>
      <c r="AU40" s="87">
        <v>2845800</v>
      </c>
      <c r="AV40" s="87">
        <v>2092133</v>
      </c>
      <c r="AW40" s="88">
        <v>1488045</v>
      </c>
      <c r="AY40" s="50">
        <f t="shared" si="0"/>
        <v>3660750</v>
      </c>
    </row>
    <row r="41" spans="1:51" ht="15" thickBot="1">
      <c r="A41" s="74" t="s">
        <v>170</v>
      </c>
      <c r="B41" s="75" t="s">
        <v>168</v>
      </c>
      <c r="C41" s="76">
        <v>0</v>
      </c>
      <c r="D41" s="77">
        <v>0</v>
      </c>
      <c r="E41" s="77">
        <v>0</v>
      </c>
      <c r="F41" s="77">
        <v>0</v>
      </c>
      <c r="G41" s="77">
        <v>0</v>
      </c>
      <c r="H41" s="77">
        <v>0</v>
      </c>
      <c r="I41" s="77">
        <v>0</v>
      </c>
      <c r="J41" s="77">
        <v>0</v>
      </c>
      <c r="K41" s="77">
        <v>0</v>
      </c>
      <c r="L41" s="77">
        <v>0</v>
      </c>
      <c r="M41" s="77">
        <v>0</v>
      </c>
      <c r="N41" s="77">
        <v>0</v>
      </c>
      <c r="O41" s="77">
        <v>0</v>
      </c>
      <c r="P41" s="77">
        <v>0</v>
      </c>
      <c r="Q41" s="77">
        <v>0</v>
      </c>
      <c r="R41" s="77">
        <v>0</v>
      </c>
      <c r="S41" s="77">
        <v>0</v>
      </c>
      <c r="T41" s="77">
        <v>0</v>
      </c>
      <c r="U41" s="77">
        <v>0</v>
      </c>
      <c r="V41" s="77">
        <v>0</v>
      </c>
      <c r="W41" s="77">
        <v>0</v>
      </c>
      <c r="X41" s="77">
        <v>0</v>
      </c>
      <c r="Y41" s="77">
        <v>0</v>
      </c>
      <c r="Z41" s="77">
        <v>0</v>
      </c>
      <c r="AA41" s="77">
        <v>0</v>
      </c>
      <c r="AB41" s="77">
        <v>0</v>
      </c>
      <c r="AC41" s="77">
        <v>0</v>
      </c>
      <c r="AD41" s="77">
        <v>0</v>
      </c>
      <c r="AE41" s="77">
        <v>0</v>
      </c>
      <c r="AF41" s="77">
        <v>0</v>
      </c>
      <c r="AG41" s="77">
        <v>0</v>
      </c>
      <c r="AH41" s="77">
        <v>0</v>
      </c>
      <c r="AI41" s="77">
        <v>0</v>
      </c>
      <c r="AJ41" s="77">
        <v>0</v>
      </c>
      <c r="AK41" s="77">
        <v>0</v>
      </c>
      <c r="AL41" s="77">
        <v>0</v>
      </c>
      <c r="AM41" s="77">
        <v>0</v>
      </c>
      <c r="AN41" s="77">
        <v>0</v>
      </c>
      <c r="AO41" s="77">
        <v>0</v>
      </c>
      <c r="AP41" s="77">
        <v>0</v>
      </c>
      <c r="AQ41" s="77">
        <v>0</v>
      </c>
      <c r="AR41" s="77">
        <v>0</v>
      </c>
      <c r="AS41" s="77">
        <v>0</v>
      </c>
      <c r="AT41" s="77">
        <v>0</v>
      </c>
      <c r="AU41" s="77">
        <v>0</v>
      </c>
      <c r="AV41" s="77">
        <v>0</v>
      </c>
      <c r="AW41" s="78">
        <v>0</v>
      </c>
      <c r="AY41" s="50">
        <f t="shared" si="0"/>
        <v>0</v>
      </c>
    </row>
    <row r="42" spans="1:51" ht="13.8" thickTop="1"/>
  </sheetData>
  <mergeCells count="9">
    <mergeCell ref="I1:I2"/>
    <mergeCell ref="J1:J2"/>
    <mergeCell ref="M2:P2"/>
    <mergeCell ref="A1:A2"/>
    <mergeCell ref="B1:B2"/>
    <mergeCell ref="C1:C2"/>
    <mergeCell ref="D1:D2"/>
    <mergeCell ref="E1:F1"/>
    <mergeCell ref="G1:H1"/>
  </mergeCells>
  <conditionalFormatting sqref="A8:B9">
    <cfRule type="containsBlanks" dxfId="1" priority="2">
      <formula>LEN(TRIM(A8))=0</formula>
    </cfRule>
  </conditionalFormatting>
  <conditionalFormatting sqref="C8:C9">
    <cfRule type="containsBlanks" dxfId="0" priority="1">
      <formula>LEN(TRIM(C8))=0</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9"/>
  </sheetPr>
  <dimension ref="B1:C18"/>
  <sheetViews>
    <sheetView topLeftCell="A4" workbookViewId="0">
      <selection activeCell="C19" sqref="C19"/>
    </sheetView>
  </sheetViews>
  <sheetFormatPr defaultColWidth="9.21875" defaultRowHeight="14.4"/>
  <cols>
    <col min="1" max="1" width="9.21875" style="474"/>
    <col min="2" max="2" width="28.44140625" style="474" customWidth="1"/>
    <col min="3" max="3" width="138.44140625" style="474" customWidth="1"/>
    <col min="4" max="16384" width="9.21875" style="474"/>
  </cols>
  <sheetData>
    <row r="1" spans="2:3" ht="18">
      <c r="B1" s="473" t="s">
        <v>660</v>
      </c>
    </row>
    <row r="3" spans="2:3">
      <c r="B3" s="475" t="s">
        <v>661</v>
      </c>
      <c r="C3" s="479" t="s">
        <v>670</v>
      </c>
    </row>
    <row r="4" spans="2:3">
      <c r="B4" s="475" t="s">
        <v>662</v>
      </c>
      <c r="C4" s="474" t="s">
        <v>663</v>
      </c>
    </row>
    <row r="5" spans="2:3">
      <c r="B5" s="475"/>
    </row>
    <row r="6" spans="2:3">
      <c r="B6" s="475" t="s">
        <v>664</v>
      </c>
      <c r="C6" s="479" t="s">
        <v>669</v>
      </c>
    </row>
    <row r="7" spans="2:3">
      <c r="B7" s="475"/>
    </row>
    <row r="8" spans="2:3">
      <c r="B8" s="476" t="s">
        <v>665</v>
      </c>
    </row>
    <row r="9" spans="2:3">
      <c r="B9" s="475"/>
    </row>
    <row r="10" spans="2:3">
      <c r="B10" s="477" t="s">
        <v>666</v>
      </c>
      <c r="C10" s="479" t="s">
        <v>671</v>
      </c>
    </row>
    <row r="11" spans="2:3">
      <c r="B11" s="477" t="s">
        <v>667</v>
      </c>
      <c r="C11" s="474" t="s">
        <v>668</v>
      </c>
    </row>
    <row r="12" spans="2:3">
      <c r="B12" s="477" t="s">
        <v>275</v>
      </c>
      <c r="C12" s="479" t="s">
        <v>672</v>
      </c>
    </row>
    <row r="13" spans="2:3">
      <c r="B13" s="477" t="s">
        <v>574</v>
      </c>
      <c r="C13" s="479" t="s">
        <v>673</v>
      </c>
    </row>
    <row r="14" spans="2:3">
      <c r="B14" s="477" t="s">
        <v>287</v>
      </c>
      <c r="C14" s="479" t="s">
        <v>677</v>
      </c>
    </row>
    <row r="15" spans="2:3">
      <c r="B15" s="477" t="s">
        <v>216</v>
      </c>
      <c r="C15" s="479" t="s">
        <v>674</v>
      </c>
    </row>
    <row r="16" spans="2:3">
      <c r="B16" s="478" t="s">
        <v>496</v>
      </c>
      <c r="C16" s="479" t="s">
        <v>678</v>
      </c>
    </row>
    <row r="17" spans="2:3">
      <c r="B17" s="478" t="s">
        <v>675</v>
      </c>
      <c r="C17" s="479" t="s">
        <v>679</v>
      </c>
    </row>
    <row r="18" spans="2:3">
      <c r="B18" s="478" t="s">
        <v>676</v>
      </c>
      <c r="C18" s="479" t="s">
        <v>680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DJ111"/>
  <sheetViews>
    <sheetView zoomScaleNormal="100" workbookViewId="0">
      <selection activeCell="D8" sqref="D8"/>
    </sheetView>
  </sheetViews>
  <sheetFormatPr defaultColWidth="9.21875" defaultRowHeight="13.2"/>
  <cols>
    <col min="1" max="1" width="19.44140625" style="116" bestFit="1" customWidth="1"/>
    <col min="2" max="2" width="18.44140625" style="116" bestFit="1" customWidth="1"/>
    <col min="3" max="3" width="15.44140625" style="116" customWidth="1"/>
    <col min="4" max="4" width="14.44140625" style="116" customWidth="1"/>
    <col min="5" max="6" width="11.44140625" style="116" bestFit="1" customWidth="1"/>
    <col min="7" max="7" width="13.21875" style="116" bestFit="1" customWidth="1"/>
    <col min="8" max="9" width="12" style="116" bestFit="1" customWidth="1"/>
    <col min="10" max="10" width="12.44140625" style="116" customWidth="1"/>
    <col min="11" max="11" width="11.44140625" style="116" customWidth="1"/>
    <col min="12" max="12" width="12.44140625" style="116" customWidth="1"/>
    <col min="13" max="13" width="14.44140625" style="116" customWidth="1"/>
    <col min="14" max="14" width="13.44140625" style="116" customWidth="1"/>
    <col min="15" max="16" width="12.44140625" style="116" customWidth="1"/>
    <col min="17" max="17" width="12.21875" style="116" customWidth="1"/>
    <col min="18" max="18" width="11.44140625" style="116" customWidth="1"/>
    <col min="19" max="19" width="12" style="116" customWidth="1"/>
    <col min="20" max="20" width="12.44140625" style="116" customWidth="1"/>
    <col min="21" max="21" width="12" style="116" customWidth="1"/>
    <col min="22" max="22" width="12.21875" style="116" customWidth="1"/>
    <col min="23" max="23" width="12" style="116" customWidth="1"/>
    <col min="24" max="24" width="12.21875" style="116" customWidth="1"/>
    <col min="25" max="27" width="11.44140625" style="116" customWidth="1"/>
    <col min="28" max="28" width="12" style="116" customWidth="1"/>
    <col min="29" max="29" width="11.44140625" style="116" customWidth="1"/>
    <col min="30" max="49" width="11.21875" style="116" bestFit="1" customWidth="1"/>
    <col min="50" max="50" width="15.44140625" style="116" customWidth="1"/>
    <col min="51" max="51" width="28" style="116" bestFit="1" customWidth="1"/>
    <col min="52" max="52" width="11.44140625" style="116" bestFit="1" customWidth="1"/>
    <col min="53" max="94" width="10.44140625" style="116" bestFit="1" customWidth="1"/>
    <col min="95" max="95" width="12" style="116" bestFit="1" customWidth="1"/>
    <col min="96" max="96" width="13.21875" style="116" bestFit="1" customWidth="1"/>
    <col min="97" max="97" width="10.44140625" style="116" bestFit="1" customWidth="1"/>
    <col min="98" max="98" width="13.21875" style="116" bestFit="1" customWidth="1"/>
    <col min="99" max="99" width="9.21875" style="116"/>
    <col min="100" max="102" width="11.44140625" style="116" bestFit="1" customWidth="1"/>
    <col min="103" max="103" width="9.21875" style="116"/>
    <col min="104" max="104" width="9.44140625" style="116" bestFit="1" customWidth="1"/>
    <col min="105" max="107" width="11.44140625" style="116" bestFit="1" customWidth="1"/>
    <col min="108" max="16384" width="9.21875" style="116"/>
  </cols>
  <sheetData>
    <row r="1" spans="1:49" ht="15.6">
      <c r="A1" s="1349"/>
      <c r="B1" s="1348"/>
      <c r="C1" s="1348"/>
      <c r="D1" s="1348"/>
      <c r="E1" s="1348"/>
      <c r="F1" s="1348"/>
      <c r="G1" s="1348"/>
      <c r="H1" s="1348"/>
      <c r="I1" s="1348"/>
      <c r="J1" s="1348"/>
      <c r="K1" s="113"/>
      <c r="L1" s="114"/>
      <c r="M1" s="115"/>
      <c r="N1" s="115"/>
    </row>
    <row r="2" spans="1:49" ht="14.4">
      <c r="A2" s="1349"/>
      <c r="B2" s="1348"/>
      <c r="C2" s="1348"/>
      <c r="D2" s="1348"/>
      <c r="E2" s="117"/>
      <c r="F2" s="117"/>
      <c r="G2" s="117"/>
      <c r="H2" s="117"/>
      <c r="I2" s="1348"/>
      <c r="J2" s="1348"/>
      <c r="K2" s="113"/>
      <c r="L2" s="118"/>
      <c r="M2" s="118"/>
      <c r="N2" s="118"/>
    </row>
    <row r="3" spans="1:49">
      <c r="A3" s="119" t="s">
        <v>219</v>
      </c>
    </row>
    <row r="5" spans="1:49" ht="15" thickBot="1">
      <c r="A5" s="120" t="s">
        <v>220</v>
      </c>
    </row>
    <row r="6" spans="1:49" ht="15.6" thickTop="1" thickBot="1">
      <c r="A6" s="121" t="s">
        <v>221</v>
      </c>
      <c r="B6" s="122" t="s">
        <v>222</v>
      </c>
      <c r="C6" s="122" t="s">
        <v>223</v>
      </c>
      <c r="D6" s="122" t="s">
        <v>75</v>
      </c>
      <c r="E6" s="122" t="s">
        <v>100</v>
      </c>
      <c r="F6" s="122" t="s">
        <v>77</v>
      </c>
      <c r="G6" s="122" t="s">
        <v>96</v>
      </c>
      <c r="H6" s="122" t="s">
        <v>51</v>
      </c>
      <c r="I6" s="122" t="s">
        <v>224</v>
      </c>
      <c r="J6" s="122" t="s">
        <v>225</v>
      </c>
      <c r="K6" s="122" t="s">
        <v>226</v>
      </c>
      <c r="L6" s="122" t="s">
        <v>70</v>
      </c>
      <c r="M6" s="122" t="s">
        <v>227</v>
      </c>
      <c r="N6" s="123" t="s">
        <v>228</v>
      </c>
    </row>
    <row r="7" spans="1:49" ht="14.4">
      <c r="A7" s="124" t="s">
        <v>128</v>
      </c>
      <c r="B7" s="125" t="s">
        <v>229</v>
      </c>
      <c r="C7" s="125" t="s">
        <v>121</v>
      </c>
      <c r="D7" s="125" t="s">
        <v>122</v>
      </c>
      <c r="E7" s="125" t="s">
        <v>127</v>
      </c>
      <c r="F7" s="125" t="s">
        <v>123</v>
      </c>
      <c r="G7" s="125" t="s">
        <v>124</v>
      </c>
      <c r="H7" s="125" t="s">
        <v>125</v>
      </c>
      <c r="I7" s="125" t="s">
        <v>126</v>
      </c>
      <c r="J7" s="125" t="s">
        <v>230</v>
      </c>
      <c r="K7" s="125" t="s">
        <v>231</v>
      </c>
      <c r="L7" s="125" t="s">
        <v>232</v>
      </c>
      <c r="M7" s="125" t="s">
        <v>233</v>
      </c>
      <c r="N7" s="126" t="s">
        <v>234</v>
      </c>
    </row>
    <row r="8" spans="1:49" ht="14.4">
      <c r="A8" s="124"/>
      <c r="B8" s="125"/>
      <c r="C8" s="125"/>
      <c r="D8" s="125" t="s">
        <v>129</v>
      </c>
      <c r="E8" s="125"/>
      <c r="F8" s="125" t="s">
        <v>130</v>
      </c>
      <c r="G8" s="125" t="s">
        <v>131</v>
      </c>
      <c r="H8" s="125" t="s">
        <v>235</v>
      </c>
      <c r="I8" s="125" t="s">
        <v>132</v>
      </c>
      <c r="J8" s="125" t="s">
        <v>236</v>
      </c>
      <c r="K8" s="125"/>
      <c r="L8" s="125"/>
      <c r="M8" s="125"/>
      <c r="N8" s="126"/>
    </row>
    <row r="9" spans="1:49" ht="14.4">
      <c r="A9" s="124"/>
      <c r="B9" s="125"/>
      <c r="C9" s="125"/>
      <c r="D9" s="125"/>
      <c r="E9" s="125"/>
      <c r="F9" s="125" t="s">
        <v>133</v>
      </c>
      <c r="G9" s="125" t="s">
        <v>134</v>
      </c>
      <c r="H9" s="125"/>
      <c r="I9" s="125"/>
      <c r="J9" s="125" t="s">
        <v>237</v>
      </c>
      <c r="K9" s="125"/>
      <c r="L9" s="125"/>
      <c r="M9" s="125"/>
      <c r="N9" s="126"/>
    </row>
    <row r="10" spans="1:49" ht="15" thickBot="1">
      <c r="A10" s="127"/>
      <c r="B10" s="128"/>
      <c r="C10" s="128"/>
      <c r="D10" s="128"/>
      <c r="E10" s="128"/>
      <c r="F10" s="128"/>
      <c r="G10" s="128" t="s">
        <v>135</v>
      </c>
      <c r="H10" s="128"/>
      <c r="I10" s="128"/>
      <c r="J10" s="128"/>
      <c r="K10" s="128"/>
      <c r="L10" s="128"/>
      <c r="M10" s="128"/>
      <c r="N10" s="129"/>
    </row>
    <row r="11" spans="1:49" ht="13.8" thickTop="1"/>
    <row r="13" spans="1:49" ht="14.4">
      <c r="A13" s="120" t="s">
        <v>238</v>
      </c>
      <c r="C13" s="116">
        <f>C19</f>
        <v>1966</v>
      </c>
      <c r="D13" s="116">
        <f t="shared" ref="D13:AW13" si="0">D19</f>
        <v>1967</v>
      </c>
      <c r="E13" s="116">
        <f t="shared" si="0"/>
        <v>1968</v>
      </c>
      <c r="F13" s="116">
        <f t="shared" si="0"/>
        <v>1969</v>
      </c>
      <c r="G13" s="116">
        <f t="shared" si="0"/>
        <v>1970</v>
      </c>
      <c r="H13" s="116">
        <f t="shared" si="0"/>
        <v>1971</v>
      </c>
      <c r="I13" s="116">
        <f t="shared" si="0"/>
        <v>1972</v>
      </c>
      <c r="J13" s="116">
        <f t="shared" si="0"/>
        <v>1973</v>
      </c>
      <c r="K13" s="116">
        <f t="shared" si="0"/>
        <v>1974</v>
      </c>
      <c r="L13" s="116">
        <f t="shared" si="0"/>
        <v>1975</v>
      </c>
      <c r="M13" s="116">
        <f t="shared" si="0"/>
        <v>1976</v>
      </c>
      <c r="N13" s="116">
        <f t="shared" si="0"/>
        <v>1977</v>
      </c>
      <c r="O13" s="116">
        <f t="shared" si="0"/>
        <v>1978</v>
      </c>
      <c r="P13" s="116">
        <f t="shared" si="0"/>
        <v>1979</v>
      </c>
      <c r="Q13" s="116">
        <f t="shared" si="0"/>
        <v>1980</v>
      </c>
      <c r="R13" s="116">
        <f t="shared" si="0"/>
        <v>1981</v>
      </c>
      <c r="S13" s="116">
        <f t="shared" si="0"/>
        <v>1982</v>
      </c>
      <c r="T13" s="116">
        <f t="shared" si="0"/>
        <v>1983</v>
      </c>
      <c r="U13" s="116">
        <f t="shared" si="0"/>
        <v>1984</v>
      </c>
      <c r="V13" s="116">
        <f t="shared" si="0"/>
        <v>1985</v>
      </c>
      <c r="W13" s="116">
        <f t="shared" si="0"/>
        <v>1986</v>
      </c>
      <c r="X13" s="116">
        <f t="shared" si="0"/>
        <v>1987</v>
      </c>
      <c r="Y13" s="116">
        <f t="shared" si="0"/>
        <v>1988</v>
      </c>
      <c r="Z13" s="116">
        <f t="shared" si="0"/>
        <v>1989</v>
      </c>
      <c r="AA13" s="116">
        <f t="shared" si="0"/>
        <v>1990</v>
      </c>
      <c r="AB13" s="116">
        <f t="shared" si="0"/>
        <v>1991</v>
      </c>
      <c r="AC13" s="116">
        <f t="shared" si="0"/>
        <v>1992</v>
      </c>
      <c r="AD13" s="116">
        <f t="shared" si="0"/>
        <v>1993</v>
      </c>
      <c r="AE13" s="116">
        <f t="shared" si="0"/>
        <v>1994</v>
      </c>
      <c r="AF13" s="116">
        <f t="shared" si="0"/>
        <v>1995</v>
      </c>
      <c r="AG13" s="116">
        <f t="shared" si="0"/>
        <v>1996</v>
      </c>
      <c r="AH13" s="116">
        <f t="shared" si="0"/>
        <v>1997</v>
      </c>
      <c r="AI13" s="116">
        <f t="shared" si="0"/>
        <v>1998</v>
      </c>
      <c r="AJ13" s="116">
        <f t="shared" si="0"/>
        <v>1999</v>
      </c>
      <c r="AK13" s="116">
        <f t="shared" si="0"/>
        <v>2000</v>
      </c>
      <c r="AL13" s="116">
        <f t="shared" si="0"/>
        <v>2001</v>
      </c>
      <c r="AM13" s="116">
        <f t="shared" si="0"/>
        <v>2002</v>
      </c>
      <c r="AN13" s="116">
        <f t="shared" si="0"/>
        <v>2003</v>
      </c>
      <c r="AO13" s="116">
        <f t="shared" si="0"/>
        <v>2004</v>
      </c>
      <c r="AP13" s="116">
        <f t="shared" si="0"/>
        <v>2005</v>
      </c>
      <c r="AQ13" s="116">
        <f t="shared" si="0"/>
        <v>2006</v>
      </c>
      <c r="AR13" s="116">
        <f t="shared" si="0"/>
        <v>2007</v>
      </c>
      <c r="AS13" s="116">
        <f t="shared" si="0"/>
        <v>2008</v>
      </c>
      <c r="AT13" s="116">
        <f t="shared" si="0"/>
        <v>2009</v>
      </c>
      <c r="AU13" s="116">
        <f t="shared" si="0"/>
        <v>2010</v>
      </c>
      <c r="AV13" s="116">
        <f t="shared" si="0"/>
        <v>2011</v>
      </c>
      <c r="AW13" s="116">
        <f t="shared" si="0"/>
        <v>2012</v>
      </c>
    </row>
    <row r="14" spans="1:49">
      <c r="A14" s="119" t="s">
        <v>239</v>
      </c>
      <c r="C14" s="130">
        <f t="shared" ref="C14:AW14" si="1">SUM(C20:C33)/C37</f>
        <v>0.99971324958170915</v>
      </c>
      <c r="D14" s="130">
        <f t="shared" si="1"/>
        <v>0.9386694592656698</v>
      </c>
      <c r="E14" s="130">
        <f t="shared" si="1"/>
        <v>0.97891871130519703</v>
      </c>
      <c r="F14" s="130">
        <f t="shared" si="1"/>
        <v>0.92788728196621739</v>
      </c>
      <c r="G14" s="130">
        <f t="shared" si="1"/>
        <v>0.95907408347135203</v>
      </c>
      <c r="H14" s="130">
        <f t="shared" si="1"/>
        <v>0.98956750041324748</v>
      </c>
      <c r="I14" s="130">
        <f t="shared" si="1"/>
        <v>0.97409260022690913</v>
      </c>
      <c r="J14" s="130">
        <f t="shared" si="1"/>
        <v>0.91093512254792297</v>
      </c>
      <c r="K14" s="130">
        <f t="shared" si="1"/>
        <v>0.93168167262016899</v>
      </c>
      <c r="L14" s="130">
        <f t="shared" si="1"/>
        <v>0.99732568143711975</v>
      </c>
      <c r="M14" s="130">
        <f t="shared" si="1"/>
        <v>1.0448397164948047</v>
      </c>
      <c r="N14" s="130">
        <f t="shared" si="1"/>
        <v>1.012683036968768</v>
      </c>
      <c r="O14" s="130">
        <f t="shared" si="1"/>
        <v>1.0059976530878547</v>
      </c>
      <c r="P14" s="130">
        <f t="shared" si="1"/>
        <v>1.0367875218910647</v>
      </c>
      <c r="Q14" s="130">
        <f t="shared" si="1"/>
        <v>1.080310540402269</v>
      </c>
      <c r="R14" s="130">
        <f t="shared" si="1"/>
        <v>1.0617087861714194</v>
      </c>
      <c r="S14" s="130">
        <f t="shared" si="1"/>
        <v>1.1379179798011689</v>
      </c>
      <c r="T14" s="130">
        <f t="shared" si="1"/>
        <v>1.0906838246304673</v>
      </c>
      <c r="U14" s="130">
        <f t="shared" si="1"/>
        <v>1.0883657291397635</v>
      </c>
      <c r="V14" s="130">
        <f t="shared" si="1"/>
        <v>1.0546015713139747</v>
      </c>
      <c r="W14" s="130">
        <f t="shared" si="1"/>
        <v>1.0698631243333847</v>
      </c>
      <c r="X14" s="130">
        <f t="shared" si="1"/>
        <v>1.0882602957302334</v>
      </c>
      <c r="Y14" s="130">
        <f t="shared" si="1"/>
        <v>1.0941005317018644</v>
      </c>
      <c r="Z14" s="130">
        <f t="shared" si="1"/>
        <v>1.0876472933388903</v>
      </c>
      <c r="AA14" s="130">
        <f t="shared" si="1"/>
        <v>1.0759188408148379</v>
      </c>
      <c r="AB14" s="130">
        <f t="shared" si="1"/>
        <v>1.0417788397807244</v>
      </c>
      <c r="AC14" s="130">
        <f t="shared" si="1"/>
        <v>1.0077152739722475</v>
      </c>
      <c r="AD14" s="130">
        <f t="shared" si="1"/>
        <v>1.035019602292633</v>
      </c>
      <c r="AE14" s="130">
        <f t="shared" si="1"/>
        <v>1.0322608116348859</v>
      </c>
      <c r="AF14" s="130">
        <f t="shared" si="1"/>
        <v>1.0142434107296672</v>
      </c>
      <c r="AG14" s="130">
        <f t="shared" si="1"/>
        <v>1.0259817392235322</v>
      </c>
      <c r="AH14" s="130">
        <f t="shared" si="1"/>
        <v>1.0158211589344759</v>
      </c>
      <c r="AI14" s="130">
        <f t="shared" si="1"/>
        <v>0.99599229065103967</v>
      </c>
      <c r="AJ14" s="130">
        <f t="shared" si="1"/>
        <v>1.0169909632468461</v>
      </c>
      <c r="AK14" s="130">
        <f t="shared" si="1"/>
        <v>1.0241370135623036</v>
      </c>
      <c r="AL14" s="130">
        <f t="shared" si="1"/>
        <v>1.0358092568020993</v>
      </c>
      <c r="AM14" s="130">
        <f t="shared" si="1"/>
        <v>1.0216634157279378</v>
      </c>
      <c r="AN14" s="130">
        <f t="shared" si="1"/>
        <v>1.0055409827568671</v>
      </c>
      <c r="AO14" s="130">
        <f t="shared" si="1"/>
        <v>0.99816572816425353</v>
      </c>
      <c r="AP14" s="130">
        <f t="shared" si="1"/>
        <v>0.99869959691354637</v>
      </c>
      <c r="AQ14" s="130">
        <f t="shared" si="1"/>
        <v>1.0091910673742228</v>
      </c>
      <c r="AR14" s="130">
        <f t="shared" si="1"/>
        <v>1.0188577573407216</v>
      </c>
      <c r="AS14" s="130">
        <f t="shared" si="1"/>
        <v>1.0351881023668079</v>
      </c>
      <c r="AT14" s="130">
        <f t="shared" si="1"/>
        <v>1.0237459002311977</v>
      </c>
      <c r="AU14" s="130">
        <f t="shared" si="1"/>
        <v>1.0457724442255836</v>
      </c>
      <c r="AV14" s="130">
        <f t="shared" si="1"/>
        <v>1.0168160085485036</v>
      </c>
      <c r="AW14" s="130">
        <f t="shared" si="1"/>
        <v>1.0143530385297808</v>
      </c>
    </row>
    <row r="15" spans="1:49">
      <c r="A15" s="131" t="s">
        <v>240</v>
      </c>
      <c r="B15" s="131"/>
      <c r="C15" s="132">
        <f t="shared" ref="C15:AW15" si="2">SUM(C20:C33)/SUM(C37:C38)</f>
        <v>0.99971324958170915</v>
      </c>
      <c r="D15" s="132">
        <f t="shared" si="2"/>
        <v>0.9386694592656698</v>
      </c>
      <c r="E15" s="132">
        <f t="shared" si="2"/>
        <v>0.97891871130519703</v>
      </c>
      <c r="F15" s="132">
        <f t="shared" si="2"/>
        <v>0.92788728196621739</v>
      </c>
      <c r="G15" s="132">
        <f t="shared" si="2"/>
        <v>0.95907408347135203</v>
      </c>
      <c r="H15" s="132">
        <f t="shared" si="2"/>
        <v>0.98956750041324748</v>
      </c>
      <c r="I15" s="132">
        <f t="shared" si="2"/>
        <v>0.97409260022690913</v>
      </c>
      <c r="J15" s="132">
        <f t="shared" si="2"/>
        <v>0.91093512254792297</v>
      </c>
      <c r="K15" s="132">
        <f t="shared" si="2"/>
        <v>0.93031515320643832</v>
      </c>
      <c r="L15" s="132">
        <f t="shared" si="2"/>
        <v>0.99422165091952031</v>
      </c>
      <c r="M15" s="132">
        <f t="shared" si="2"/>
        <v>0.99115054358254828</v>
      </c>
      <c r="N15" s="132">
        <f t="shared" si="2"/>
        <v>0.98822678278892562</v>
      </c>
      <c r="O15" s="132">
        <f t="shared" si="2"/>
        <v>0.98525584633938368</v>
      </c>
      <c r="P15" s="132">
        <f t="shared" si="2"/>
        <v>0.99227845916788582</v>
      </c>
      <c r="Q15" s="132">
        <f t="shared" si="2"/>
        <v>0.940175410953077</v>
      </c>
      <c r="R15" s="132">
        <f t="shared" si="2"/>
        <v>0.9855104613992699</v>
      </c>
      <c r="S15" s="132">
        <f t="shared" si="2"/>
        <v>0.98195548868960603</v>
      </c>
      <c r="T15" s="132">
        <f t="shared" si="2"/>
        <v>0.98745562846712442</v>
      </c>
      <c r="U15" s="132">
        <f t="shared" si="2"/>
        <v>1.0073943369735952</v>
      </c>
      <c r="V15" s="132">
        <f t="shared" si="2"/>
        <v>0.99249846864526947</v>
      </c>
      <c r="W15" s="132">
        <f t="shared" si="2"/>
        <v>0.98802817518584696</v>
      </c>
      <c r="X15" s="132">
        <f t="shared" si="2"/>
        <v>1.0001575545723</v>
      </c>
      <c r="Y15" s="132">
        <f t="shared" si="2"/>
        <v>0.99670807267209294</v>
      </c>
      <c r="Z15" s="132">
        <f t="shared" si="2"/>
        <v>0.9837586491949607</v>
      </c>
      <c r="AA15" s="132">
        <f t="shared" si="2"/>
        <v>0.98974980067726581</v>
      </c>
      <c r="AB15" s="132">
        <f t="shared" si="2"/>
        <v>0.99155629245539434</v>
      </c>
      <c r="AC15" s="132">
        <f t="shared" si="2"/>
        <v>0.98708931870790462</v>
      </c>
      <c r="AD15" s="132">
        <f t="shared" si="2"/>
        <v>0.97308021500790876</v>
      </c>
      <c r="AE15" s="132">
        <f t="shared" si="2"/>
        <v>1.0001805502821794</v>
      </c>
      <c r="AF15" s="132">
        <f t="shared" si="2"/>
        <v>0.99542600741164156</v>
      </c>
      <c r="AG15" s="132">
        <f t="shared" si="2"/>
        <v>1.0144510579268426</v>
      </c>
      <c r="AH15" s="132">
        <f t="shared" si="2"/>
        <v>1.0066474998304233</v>
      </c>
      <c r="AI15" s="132">
        <f t="shared" si="2"/>
        <v>0.98778553531420821</v>
      </c>
      <c r="AJ15" s="132">
        <f t="shared" si="2"/>
        <v>0.98546621367577902</v>
      </c>
      <c r="AK15" s="132">
        <f t="shared" si="2"/>
        <v>1.0075033397553534</v>
      </c>
      <c r="AL15" s="132">
        <f t="shared" si="2"/>
        <v>1.027618554535213</v>
      </c>
      <c r="AM15" s="132">
        <f t="shared" si="2"/>
        <v>1.0133324765597054</v>
      </c>
      <c r="AN15" s="132">
        <f t="shared" si="2"/>
        <v>0.9982290068070625</v>
      </c>
      <c r="AO15" s="132">
        <f t="shared" si="2"/>
        <v>0.99606147265323708</v>
      </c>
      <c r="AP15" s="132">
        <f t="shared" si="2"/>
        <v>0.98997275809571494</v>
      </c>
      <c r="AQ15" s="132">
        <f t="shared" si="2"/>
        <v>0.99741178955276766</v>
      </c>
      <c r="AR15" s="132">
        <f t="shared" si="2"/>
        <v>1.0152177808950613</v>
      </c>
      <c r="AS15" s="132">
        <f t="shared" si="2"/>
        <v>1.0310703294009813</v>
      </c>
      <c r="AT15" s="132">
        <f t="shared" si="2"/>
        <v>1.0182730495141552</v>
      </c>
      <c r="AU15" s="132">
        <f t="shared" si="2"/>
        <v>1.0384561173065334</v>
      </c>
      <c r="AV15" s="132">
        <f t="shared" si="2"/>
        <v>1.0093708173955545</v>
      </c>
      <c r="AW15" s="132">
        <f t="shared" si="2"/>
        <v>1.0122844099143604</v>
      </c>
    </row>
    <row r="16" spans="1:49">
      <c r="A16" s="119" t="s">
        <v>241</v>
      </c>
      <c r="C16" s="130">
        <f>(SUM(C59:C64))/(C74+C75)</f>
        <v>0.97414622529378481</v>
      </c>
      <c r="D16" s="130">
        <f t="shared" ref="D16:AW16" si="3">(SUM(D59:D64))/(D74+D75)</f>
        <v>0.92116210588242409</v>
      </c>
      <c r="E16" s="130">
        <f t="shared" si="3"/>
        <v>0.95923300239725406</v>
      </c>
      <c r="F16" s="130">
        <f t="shared" si="3"/>
        <v>0.909222941215312</v>
      </c>
      <c r="G16" s="130">
        <f t="shared" si="3"/>
        <v>0.9385918334270531</v>
      </c>
      <c r="H16" s="130">
        <f t="shared" si="3"/>
        <v>0.96988247645129022</v>
      </c>
      <c r="I16" s="130">
        <f t="shared" si="3"/>
        <v>0.95184268288326179</v>
      </c>
      <c r="J16" s="130">
        <f t="shared" si="3"/>
        <v>0.89277234684846407</v>
      </c>
      <c r="K16" s="130">
        <f t="shared" si="3"/>
        <v>0.91074344750086533</v>
      </c>
      <c r="L16" s="130">
        <f t="shared" si="3"/>
        <v>0.92611395879821268</v>
      </c>
      <c r="M16" s="130">
        <f t="shared" si="3"/>
        <v>0.93115394143508257</v>
      </c>
      <c r="N16" s="130">
        <f t="shared" si="3"/>
        <v>0.92519123193623809</v>
      </c>
      <c r="O16" s="130">
        <f t="shared" si="3"/>
        <v>0.93339715245183874</v>
      </c>
      <c r="P16" s="130">
        <f t="shared" si="3"/>
        <v>0.93900737817089952</v>
      </c>
      <c r="Q16" s="130">
        <f t="shared" si="3"/>
        <v>0.88755559353951907</v>
      </c>
      <c r="R16" s="130">
        <f t="shared" si="3"/>
        <v>0.91829442302846376</v>
      </c>
      <c r="S16" s="130">
        <f t="shared" si="3"/>
        <v>0.91715279027341501</v>
      </c>
      <c r="T16" s="130">
        <f t="shared" si="3"/>
        <v>0.93648078170559701</v>
      </c>
      <c r="U16" s="130">
        <f t="shared" si="3"/>
        <v>0.95601349878020536</v>
      </c>
      <c r="V16" s="130">
        <f t="shared" si="3"/>
        <v>0.93942437829262038</v>
      </c>
      <c r="W16" s="130">
        <f t="shared" si="3"/>
        <v>0.93933500640655243</v>
      </c>
      <c r="X16" s="130">
        <f t="shared" si="3"/>
        <v>0.95184586466737842</v>
      </c>
      <c r="Y16" s="130">
        <f t="shared" si="3"/>
        <v>0.94597813671044551</v>
      </c>
      <c r="Z16" s="130">
        <f t="shared" si="3"/>
        <v>0.93770162033724302</v>
      </c>
      <c r="AA16" s="130">
        <f t="shared" si="3"/>
        <v>0.94321265977467672</v>
      </c>
      <c r="AB16" s="130">
        <f t="shared" si="3"/>
        <v>0.94351289958826434</v>
      </c>
      <c r="AC16" s="130">
        <f t="shared" si="3"/>
        <v>0.93585662444873774</v>
      </c>
      <c r="AD16" s="130">
        <f t="shared" si="3"/>
        <v>0.92281149245327843</v>
      </c>
      <c r="AE16" s="130">
        <f t="shared" si="3"/>
        <v>0.94865830051698496</v>
      </c>
      <c r="AF16" s="130">
        <f t="shared" si="3"/>
        <v>0.94259015965260662</v>
      </c>
      <c r="AG16" s="130">
        <f t="shared" si="3"/>
        <v>0.96204768257313333</v>
      </c>
      <c r="AH16" s="130">
        <f t="shared" si="3"/>
        <v>0.95605468080331579</v>
      </c>
      <c r="AI16" s="130">
        <f t="shared" si="3"/>
        <v>0.93960386296821785</v>
      </c>
      <c r="AJ16" s="130">
        <f t="shared" si="3"/>
        <v>0.9210920147181878</v>
      </c>
      <c r="AK16" s="130">
        <f t="shared" si="3"/>
        <v>0.94127795574163764</v>
      </c>
      <c r="AL16" s="130">
        <f t="shared" si="3"/>
        <v>0.95505806547322025</v>
      </c>
      <c r="AM16" s="130">
        <f t="shared" si="3"/>
        <v>0.94381895297795082</v>
      </c>
      <c r="AN16" s="130">
        <f t="shared" si="3"/>
        <v>0.93597707006052944</v>
      </c>
      <c r="AO16" s="130">
        <f t="shared" si="3"/>
        <v>0.93428673416228647</v>
      </c>
      <c r="AP16" s="130">
        <f t="shared" si="3"/>
        <v>0.92857144928227087</v>
      </c>
      <c r="AQ16" s="130">
        <f t="shared" si="3"/>
        <v>0.93767904472045227</v>
      </c>
      <c r="AR16" s="130">
        <f t="shared" si="3"/>
        <v>0.95297496095970646</v>
      </c>
      <c r="AS16" s="130">
        <f t="shared" si="3"/>
        <v>0.93712510490814094</v>
      </c>
      <c r="AT16" s="130">
        <f t="shared" si="3"/>
        <v>0.93676195774884319</v>
      </c>
      <c r="AU16" s="130">
        <f t="shared" si="3"/>
        <v>0.9554443053405679</v>
      </c>
      <c r="AV16" s="130">
        <f t="shared" si="3"/>
        <v>0.92652401501752812</v>
      </c>
      <c r="AW16" s="130">
        <f t="shared" si="3"/>
        <v>0.93850532367061368</v>
      </c>
    </row>
    <row r="18" spans="1:114" ht="15" thickBot="1">
      <c r="A18" s="120" t="s">
        <v>242</v>
      </c>
    </row>
    <row r="19" spans="1:114" ht="30" thickTop="1" thickBot="1">
      <c r="A19" s="133" t="s">
        <v>136</v>
      </c>
      <c r="B19" s="134" t="s">
        <v>137</v>
      </c>
      <c r="C19" s="135">
        <v>1966</v>
      </c>
      <c r="D19" s="136">
        <v>1967</v>
      </c>
      <c r="E19" s="136">
        <v>1968</v>
      </c>
      <c r="F19" s="136">
        <v>1969</v>
      </c>
      <c r="G19" s="136">
        <v>1970</v>
      </c>
      <c r="H19" s="136">
        <v>1971</v>
      </c>
      <c r="I19" s="136">
        <v>1972</v>
      </c>
      <c r="J19" s="136">
        <v>1973</v>
      </c>
      <c r="K19" s="136">
        <v>1974</v>
      </c>
      <c r="L19" s="136">
        <v>1975</v>
      </c>
      <c r="M19" s="136">
        <v>1976</v>
      </c>
      <c r="N19" s="136">
        <v>1977</v>
      </c>
      <c r="O19" s="136">
        <v>1978</v>
      </c>
      <c r="P19" s="136">
        <v>1979</v>
      </c>
      <c r="Q19" s="136">
        <v>1980</v>
      </c>
      <c r="R19" s="136">
        <v>1981</v>
      </c>
      <c r="S19" s="136">
        <v>1982</v>
      </c>
      <c r="T19" s="136">
        <v>1983</v>
      </c>
      <c r="U19" s="136">
        <v>1984</v>
      </c>
      <c r="V19" s="136">
        <v>1985</v>
      </c>
      <c r="W19" s="136">
        <v>1986</v>
      </c>
      <c r="X19" s="136">
        <v>1987</v>
      </c>
      <c r="Y19" s="136">
        <v>1988</v>
      </c>
      <c r="Z19" s="136">
        <v>1989</v>
      </c>
      <c r="AA19" s="136">
        <v>1990</v>
      </c>
      <c r="AB19" s="136">
        <v>1991</v>
      </c>
      <c r="AC19" s="136">
        <v>1992</v>
      </c>
      <c r="AD19" s="136">
        <v>1993</v>
      </c>
      <c r="AE19" s="136">
        <v>1994</v>
      </c>
      <c r="AF19" s="136">
        <v>1995</v>
      </c>
      <c r="AG19" s="136">
        <v>1996</v>
      </c>
      <c r="AH19" s="136">
        <v>1997</v>
      </c>
      <c r="AI19" s="136">
        <v>1998</v>
      </c>
      <c r="AJ19" s="136">
        <v>1999</v>
      </c>
      <c r="AK19" s="136">
        <v>2000</v>
      </c>
      <c r="AL19" s="136">
        <v>2001</v>
      </c>
      <c r="AM19" s="136">
        <v>2002</v>
      </c>
      <c r="AN19" s="136">
        <v>2003</v>
      </c>
      <c r="AO19" s="136">
        <v>2004</v>
      </c>
      <c r="AP19" s="136">
        <v>2005</v>
      </c>
      <c r="AQ19" s="136">
        <v>2006</v>
      </c>
      <c r="AR19" s="136">
        <v>2007</v>
      </c>
      <c r="AS19" s="136">
        <v>2008</v>
      </c>
      <c r="AT19" s="136">
        <v>2009</v>
      </c>
      <c r="AU19" s="136">
        <v>2010</v>
      </c>
      <c r="AV19" s="136">
        <v>2011</v>
      </c>
      <c r="AW19" s="137">
        <v>2012</v>
      </c>
      <c r="CW19" s="119" t="s">
        <v>243</v>
      </c>
      <c r="DB19" s="119" t="s">
        <v>244</v>
      </c>
    </row>
    <row r="20" spans="1:114" ht="15.6" thickTop="1" thickBot="1">
      <c r="A20" s="138" t="s">
        <v>245</v>
      </c>
      <c r="B20" s="139" t="s">
        <v>221</v>
      </c>
      <c r="C20" s="140">
        <v>0</v>
      </c>
      <c r="D20" s="141">
        <v>0</v>
      </c>
      <c r="E20" s="141">
        <v>0</v>
      </c>
      <c r="F20" s="141">
        <v>0</v>
      </c>
      <c r="G20" s="141">
        <v>0</v>
      </c>
      <c r="H20" s="141">
        <v>0</v>
      </c>
      <c r="I20" s="141">
        <v>0</v>
      </c>
      <c r="J20" s="141">
        <v>0</v>
      </c>
      <c r="K20" s="141">
        <v>0</v>
      </c>
      <c r="L20" s="141">
        <v>0</v>
      </c>
      <c r="M20" s="141">
        <v>0</v>
      </c>
      <c r="N20" s="141">
        <v>0</v>
      </c>
      <c r="O20" s="141">
        <v>0</v>
      </c>
      <c r="P20" s="141">
        <v>0</v>
      </c>
      <c r="Q20" s="141">
        <v>0</v>
      </c>
      <c r="R20" s="141">
        <v>0</v>
      </c>
      <c r="S20" s="141">
        <v>0</v>
      </c>
      <c r="T20" s="141">
        <v>0</v>
      </c>
      <c r="U20" s="141">
        <v>0</v>
      </c>
      <c r="V20" s="141">
        <v>0</v>
      </c>
      <c r="W20" s="141">
        <v>0</v>
      </c>
      <c r="X20" s="141">
        <v>0</v>
      </c>
      <c r="Y20" s="141">
        <v>0</v>
      </c>
      <c r="Z20" s="141">
        <v>0</v>
      </c>
      <c r="AA20" s="141">
        <v>0</v>
      </c>
      <c r="AB20" s="141">
        <v>0</v>
      </c>
      <c r="AC20" s="141">
        <v>0</v>
      </c>
      <c r="AD20" s="141">
        <v>0</v>
      </c>
      <c r="AE20" s="141">
        <v>0</v>
      </c>
      <c r="AF20" s="141">
        <v>0</v>
      </c>
      <c r="AG20" s="141">
        <v>0</v>
      </c>
      <c r="AH20" s="141">
        <v>0</v>
      </c>
      <c r="AI20" s="141">
        <v>0</v>
      </c>
      <c r="AJ20" s="141">
        <v>0</v>
      </c>
      <c r="AK20" s="141">
        <v>0</v>
      </c>
      <c r="AL20" s="141">
        <v>0</v>
      </c>
      <c r="AM20" s="141">
        <v>0</v>
      </c>
      <c r="AN20" s="141">
        <v>0</v>
      </c>
      <c r="AO20" s="141">
        <v>0</v>
      </c>
      <c r="AP20" s="141">
        <v>0</v>
      </c>
      <c r="AQ20" s="141">
        <v>0</v>
      </c>
      <c r="AR20" s="141">
        <v>0</v>
      </c>
      <c r="AS20" s="141">
        <v>0</v>
      </c>
      <c r="AT20" s="141">
        <v>0</v>
      </c>
      <c r="AU20" s="141">
        <v>0</v>
      </c>
      <c r="AV20" s="141">
        <v>0</v>
      </c>
      <c r="AW20" s="142">
        <v>0</v>
      </c>
      <c r="AX20" s="143"/>
      <c r="AY20" s="144"/>
      <c r="AZ20" s="136">
        <v>1966</v>
      </c>
      <c r="BA20" s="136">
        <v>1967</v>
      </c>
      <c r="BB20" s="136">
        <v>1968</v>
      </c>
      <c r="BC20" s="136">
        <v>1969</v>
      </c>
      <c r="BD20" s="136">
        <v>1970</v>
      </c>
      <c r="BE20" s="136">
        <v>1971</v>
      </c>
      <c r="BF20" s="136">
        <v>1972</v>
      </c>
      <c r="BG20" s="136">
        <v>1973</v>
      </c>
      <c r="BH20" s="136">
        <v>1974</v>
      </c>
      <c r="BI20" s="136">
        <v>1975</v>
      </c>
      <c r="BJ20" s="136">
        <v>1976</v>
      </c>
      <c r="BK20" s="136">
        <v>1977</v>
      </c>
      <c r="BL20" s="136">
        <v>1978</v>
      </c>
      <c r="BM20" s="136">
        <v>1979</v>
      </c>
      <c r="BN20" s="136">
        <v>1980</v>
      </c>
      <c r="BO20" s="136">
        <v>1981</v>
      </c>
      <c r="BP20" s="136">
        <v>1982</v>
      </c>
      <c r="BQ20" s="136">
        <v>1983</v>
      </c>
      <c r="BR20" s="136">
        <v>1984</v>
      </c>
      <c r="BS20" s="136">
        <v>1985</v>
      </c>
      <c r="BT20" s="136">
        <v>1986</v>
      </c>
      <c r="BU20" s="136">
        <v>1987</v>
      </c>
      <c r="BV20" s="136">
        <v>1988</v>
      </c>
      <c r="BW20" s="136">
        <v>1989</v>
      </c>
      <c r="BX20" s="136">
        <v>1990</v>
      </c>
      <c r="BY20" s="136">
        <v>1991</v>
      </c>
      <c r="BZ20" s="136">
        <v>1992</v>
      </c>
      <c r="CA20" s="136">
        <v>1993</v>
      </c>
      <c r="CB20" s="136">
        <v>1994</v>
      </c>
      <c r="CC20" s="136">
        <v>1995</v>
      </c>
      <c r="CD20" s="136">
        <v>1996</v>
      </c>
      <c r="CE20" s="136">
        <v>1997</v>
      </c>
      <c r="CF20" s="53">
        <v>1998</v>
      </c>
      <c r="CG20" s="136">
        <v>1999</v>
      </c>
      <c r="CH20" s="136">
        <v>2000</v>
      </c>
      <c r="CI20" s="136">
        <v>2001</v>
      </c>
      <c r="CJ20" s="136">
        <v>2002</v>
      </c>
      <c r="CK20" s="136">
        <v>2003</v>
      </c>
      <c r="CL20" s="136">
        <v>2004</v>
      </c>
      <c r="CM20" s="136">
        <v>2005</v>
      </c>
      <c r="CN20" s="136">
        <v>2006</v>
      </c>
      <c r="CO20" s="136">
        <v>2007</v>
      </c>
      <c r="CP20" s="136">
        <v>2008</v>
      </c>
      <c r="CQ20" s="136">
        <v>2009</v>
      </c>
      <c r="CR20" s="136">
        <v>2010</v>
      </c>
      <c r="CS20" s="136">
        <v>2011</v>
      </c>
      <c r="CT20" s="137">
        <v>2012</v>
      </c>
      <c r="CU20" s="143"/>
      <c r="CV20" s="143" t="s">
        <v>138</v>
      </c>
      <c r="CW20" s="143" t="s">
        <v>139</v>
      </c>
      <c r="CX20" s="143" t="s">
        <v>140</v>
      </c>
      <c r="CY20" s="143"/>
      <c r="CZ20" s="143" t="s">
        <v>141</v>
      </c>
      <c r="DA20" s="143" t="s">
        <v>138</v>
      </c>
      <c r="DB20" s="143" t="s">
        <v>139</v>
      </c>
      <c r="DC20" s="143" t="s">
        <v>140</v>
      </c>
      <c r="DD20" s="143"/>
      <c r="DE20" s="143"/>
      <c r="DF20" s="143"/>
      <c r="DG20" s="143"/>
      <c r="DH20" s="143"/>
      <c r="DI20" s="143"/>
      <c r="DJ20" s="143"/>
    </row>
    <row r="21" spans="1:114" ht="14.4">
      <c r="A21" s="138" t="s">
        <v>245</v>
      </c>
      <c r="B21" s="139" t="s">
        <v>222</v>
      </c>
      <c r="C21" s="140">
        <v>0</v>
      </c>
      <c r="D21" s="141">
        <v>0</v>
      </c>
      <c r="E21" s="141">
        <v>0</v>
      </c>
      <c r="F21" s="141">
        <v>0</v>
      </c>
      <c r="G21" s="141">
        <v>0</v>
      </c>
      <c r="H21" s="141">
        <v>0</v>
      </c>
      <c r="I21" s="141">
        <v>0</v>
      </c>
      <c r="J21" s="141">
        <v>0</v>
      </c>
      <c r="K21" s="141">
        <v>4038819</v>
      </c>
      <c r="L21" s="141">
        <v>8658083</v>
      </c>
      <c r="M21" s="141">
        <v>11469162</v>
      </c>
      <c r="N21" s="141">
        <v>13424070</v>
      </c>
      <c r="O21" s="141">
        <v>15272774</v>
      </c>
      <c r="P21" s="141">
        <v>18400013</v>
      </c>
      <c r="Q21" s="141">
        <v>16825661</v>
      </c>
      <c r="R21" s="141">
        <v>4223274</v>
      </c>
      <c r="S21" s="141">
        <v>1255405</v>
      </c>
      <c r="T21" s="141">
        <v>160410</v>
      </c>
      <c r="U21" s="141">
        <v>0</v>
      </c>
      <c r="V21" s="141">
        <v>0</v>
      </c>
      <c r="W21" s="141">
        <v>0</v>
      </c>
      <c r="X21" s="141">
        <v>0</v>
      </c>
      <c r="Y21" s="141">
        <v>0</v>
      </c>
      <c r="Z21" s="141">
        <v>0</v>
      </c>
      <c r="AA21" s="141">
        <v>0</v>
      </c>
      <c r="AB21" s="141">
        <v>0</v>
      </c>
      <c r="AC21" s="141">
        <v>0</v>
      </c>
      <c r="AD21" s="141">
        <v>179338</v>
      </c>
      <c r="AE21" s="141">
        <v>0</v>
      </c>
      <c r="AF21" s="141">
        <v>10240900</v>
      </c>
      <c r="AG21" s="141">
        <v>720512</v>
      </c>
      <c r="AH21" s="141">
        <v>56672</v>
      </c>
      <c r="AI21" s="141">
        <v>1858646</v>
      </c>
      <c r="AJ21" s="141">
        <v>2033844</v>
      </c>
      <c r="AK21" s="141">
        <v>603095</v>
      </c>
      <c r="AL21" s="141">
        <v>418759</v>
      </c>
      <c r="AM21" s="141">
        <v>577005</v>
      </c>
      <c r="AN21" s="141">
        <v>589772</v>
      </c>
      <c r="AO21" s="141">
        <v>531402</v>
      </c>
      <c r="AP21" s="141">
        <v>570728</v>
      </c>
      <c r="AQ21" s="141">
        <v>660014</v>
      </c>
      <c r="AR21" s="141">
        <v>550085</v>
      </c>
      <c r="AS21" s="141">
        <v>854023</v>
      </c>
      <c r="AT21" s="141">
        <v>485934</v>
      </c>
      <c r="AU21" s="141">
        <v>139942</v>
      </c>
      <c r="AV21" s="141">
        <v>5903</v>
      </c>
      <c r="AW21" s="142">
        <v>5167</v>
      </c>
      <c r="AX21" s="145" t="s">
        <v>75</v>
      </c>
      <c r="AY21" s="146" t="s">
        <v>75</v>
      </c>
      <c r="AZ21" s="147">
        <f t="shared" ref="AZ21:CT26" si="4">C59/SUM(C$59:C$64)</f>
        <v>3.2988477488742639E-2</v>
      </c>
      <c r="BA21" s="147">
        <f t="shared" si="4"/>
        <v>2.8008219136295906E-2</v>
      </c>
      <c r="BB21" s="147">
        <f t="shared" si="4"/>
        <v>2.9247314860320374E-2</v>
      </c>
      <c r="BC21" s="147">
        <f t="shared" si="4"/>
        <v>2.6512036055193176E-2</v>
      </c>
      <c r="BD21" s="147">
        <f t="shared" si="4"/>
        <v>2.3021272490604039E-2</v>
      </c>
      <c r="BE21" s="147">
        <f t="shared" si="4"/>
        <v>2.1128670835618996E-2</v>
      </c>
      <c r="BF21" s="147">
        <f t="shared" si="4"/>
        <v>2.2743088401453445E-2</v>
      </c>
      <c r="BG21" s="147">
        <f t="shared" si="4"/>
        <v>2.231918385476685E-2</v>
      </c>
      <c r="BH21" s="147">
        <f t="shared" si="4"/>
        <v>2.0172163764593184E-2</v>
      </c>
      <c r="BI21" s="147">
        <f t="shared" si="4"/>
        <v>1.6804482254449384E-2</v>
      </c>
      <c r="BJ21" s="147">
        <f t="shared" si="4"/>
        <v>1.8494531926320418E-2</v>
      </c>
      <c r="BK21" s="147">
        <f t="shared" si="4"/>
        <v>2.1274951671942294E-2</v>
      </c>
      <c r="BL21" s="147">
        <f t="shared" si="4"/>
        <v>2.0974148960440059E-2</v>
      </c>
      <c r="BM21" s="147">
        <f t="shared" si="4"/>
        <v>1.7974262998814199E-2</v>
      </c>
      <c r="BN21" s="147">
        <f t="shared" si="4"/>
        <v>2.1602424257766727E-2</v>
      </c>
      <c r="BO21" s="147">
        <f t="shared" si="4"/>
        <v>2.2367210394707501E-2</v>
      </c>
      <c r="BP21" s="147">
        <f t="shared" si="4"/>
        <v>2.5851983120397923E-2</v>
      </c>
      <c r="BQ21" s="147">
        <f t="shared" si="4"/>
        <v>2.1892159821625116E-2</v>
      </c>
      <c r="BR21" s="147">
        <f t="shared" si="4"/>
        <v>2.2862047014854441E-2</v>
      </c>
      <c r="BS21" s="147">
        <f t="shared" si="4"/>
        <v>2.1747379311276412E-2</v>
      </c>
      <c r="BT21" s="147">
        <f t="shared" si="4"/>
        <v>2.2518489803622664E-2</v>
      </c>
      <c r="BU21" s="147">
        <f t="shared" si="4"/>
        <v>2.3842780012971378E-2</v>
      </c>
      <c r="BV21" s="147">
        <f t="shared" si="4"/>
        <v>2.2136254569772678E-2</v>
      </c>
      <c r="BW21" s="147">
        <f t="shared" si="4"/>
        <v>1.9669338522627099E-2</v>
      </c>
      <c r="BX21" s="147">
        <f t="shared" si="4"/>
        <v>2.0573268161460264E-2</v>
      </c>
      <c r="BY21" s="147">
        <f t="shared" si="4"/>
        <v>1.9478061508629428E-2</v>
      </c>
      <c r="BZ21" s="147">
        <f t="shared" si="4"/>
        <v>1.778756804096367E-2</v>
      </c>
      <c r="CA21" s="147">
        <f t="shared" si="4"/>
        <v>2.0509463528101825E-2</v>
      </c>
      <c r="CB21" s="147">
        <f t="shared" si="4"/>
        <v>1.9720566024033059E-2</v>
      </c>
      <c r="CC21" s="147">
        <f t="shared" si="4"/>
        <v>1.7795895417559469E-2</v>
      </c>
      <c r="CD21" s="147">
        <f t="shared" si="4"/>
        <v>1.6991531381570567E-2</v>
      </c>
      <c r="CE21" s="147">
        <f t="shared" si="4"/>
        <v>2.3499905794932455E-2</v>
      </c>
      <c r="CF21" s="147">
        <f t="shared" si="4"/>
        <v>2.0419163344182142E-2</v>
      </c>
      <c r="CG21" s="147">
        <f t="shared" si="4"/>
        <v>2.3305671453114872E-2</v>
      </c>
      <c r="CH21" s="147">
        <f t="shared" si="4"/>
        <v>2.6209679369957096E-2</v>
      </c>
      <c r="CI21" s="147">
        <f t="shared" si="4"/>
        <v>2.5489299544864792E-2</v>
      </c>
      <c r="CJ21" s="147">
        <f t="shared" si="4"/>
        <v>2.3423570547292102E-2</v>
      </c>
      <c r="CK21" s="147">
        <f t="shared" si="4"/>
        <v>2.5213819640943984E-2</v>
      </c>
      <c r="CL21" s="147">
        <f t="shared" si="4"/>
        <v>2.5902539048912456E-2</v>
      </c>
      <c r="CM21" s="147">
        <f t="shared" si="4"/>
        <v>2.1427464047289301E-2</v>
      </c>
      <c r="CN21" s="147">
        <f t="shared" si="4"/>
        <v>2.2712450145405669E-2</v>
      </c>
      <c r="CO21" s="147">
        <f t="shared" si="4"/>
        <v>2.2407386980394781E-2</v>
      </c>
      <c r="CP21" s="147">
        <f t="shared" si="4"/>
        <v>1.7177091872849815E-2</v>
      </c>
      <c r="CQ21" s="147">
        <f t="shared" si="4"/>
        <v>2.0455551757717936E-2</v>
      </c>
      <c r="CR21" s="147">
        <f t="shared" si="4"/>
        <v>2.2963077063261395E-2</v>
      </c>
      <c r="CS21" s="147">
        <f t="shared" si="4"/>
        <v>2.0009641213521421E-2</v>
      </c>
      <c r="CT21" s="147">
        <f t="shared" si="4"/>
        <v>2.1959855754299481E-2</v>
      </c>
      <c r="CV21" s="148">
        <f t="shared" ref="CV21:CV28" ca="1" si="5">MIN(CT21:DE21)</f>
        <v>0</v>
      </c>
      <c r="CW21" s="148">
        <f t="shared" ref="CW21:CW28" ca="1" si="6">AVERAGE(CT21:DE21)</f>
        <v>0</v>
      </c>
      <c r="CX21" s="148">
        <f t="shared" ref="CX21:CX28" ca="1" si="7">MAX(CT21:DE21)</f>
        <v>0</v>
      </c>
      <c r="DA21" s="148">
        <f t="shared" ref="DA21:DA28" si="8">MIN(CF21:CT21)</f>
        <v>1.7177091872849815E-2</v>
      </c>
      <c r="DB21" s="148">
        <f t="shared" ref="DB21:DB28" si="9">AVERAGE(CF21:CT21)</f>
        <v>2.2605084118933819E-2</v>
      </c>
      <c r="DC21" s="148">
        <f t="shared" ref="DC21:DC28" si="10">MAX(CF21:CT21)</f>
        <v>2.6209679369957096E-2</v>
      </c>
      <c r="DE21" s="399" t="s">
        <v>595</v>
      </c>
      <c r="DF21" s="400" t="s">
        <v>75</v>
      </c>
    </row>
    <row r="22" spans="1:114" ht="14.4">
      <c r="A22" s="138" t="s">
        <v>245</v>
      </c>
      <c r="B22" s="139" t="s">
        <v>223</v>
      </c>
      <c r="C22" s="140">
        <v>0</v>
      </c>
      <c r="D22" s="141">
        <v>0</v>
      </c>
      <c r="E22" s="141">
        <v>0</v>
      </c>
      <c r="F22" s="141">
        <v>0</v>
      </c>
      <c r="G22" s="141">
        <v>0</v>
      </c>
      <c r="H22" s="141">
        <v>0</v>
      </c>
      <c r="I22" s="141">
        <v>0</v>
      </c>
      <c r="J22" s="141">
        <v>0</v>
      </c>
      <c r="K22" s="141">
        <v>0</v>
      </c>
      <c r="L22" s="141">
        <v>16323187</v>
      </c>
      <c r="M22" s="141">
        <v>15047699</v>
      </c>
      <c r="N22" s="141">
        <v>15637362</v>
      </c>
      <c r="O22" s="141">
        <v>13193154</v>
      </c>
      <c r="P22" s="141">
        <v>14051245</v>
      </c>
      <c r="Q22" s="141">
        <v>11201509</v>
      </c>
      <c r="R22" s="141">
        <v>13766937</v>
      </c>
      <c r="S22" s="141">
        <v>13831447</v>
      </c>
      <c r="T22" s="141">
        <v>12413750</v>
      </c>
      <c r="U22" s="141">
        <v>13392263</v>
      </c>
      <c r="V22" s="141">
        <v>11667536</v>
      </c>
      <c r="W22" s="141">
        <v>13168000</v>
      </c>
      <c r="X22" s="141">
        <v>13253000</v>
      </c>
      <c r="Y22" s="141">
        <v>13619000</v>
      </c>
      <c r="Z22" s="141">
        <v>14632000</v>
      </c>
      <c r="AA22" s="141">
        <v>14169000</v>
      </c>
      <c r="AB22" s="141">
        <v>14537000</v>
      </c>
      <c r="AC22" s="141">
        <v>14865000</v>
      </c>
      <c r="AD22" s="141">
        <v>15405000</v>
      </c>
      <c r="AE22" s="141">
        <v>15895000</v>
      </c>
      <c r="AF22" s="141">
        <v>19345000</v>
      </c>
      <c r="AG22" s="141">
        <v>21440796</v>
      </c>
      <c r="AH22" s="141">
        <v>16905304</v>
      </c>
      <c r="AI22" s="141">
        <v>15225340</v>
      </c>
      <c r="AJ22" s="141">
        <v>15723812</v>
      </c>
      <c r="AK22" s="141">
        <v>15556268</v>
      </c>
      <c r="AL22" s="141">
        <v>15755428</v>
      </c>
      <c r="AM22" s="141">
        <v>15197000</v>
      </c>
      <c r="AN22" s="141">
        <v>16554512</v>
      </c>
      <c r="AO22" s="141">
        <v>15890576</v>
      </c>
      <c r="AP22" s="141">
        <v>15347072</v>
      </c>
      <c r="AQ22" s="141">
        <v>16115632</v>
      </c>
      <c r="AR22" s="141">
        <v>15916264</v>
      </c>
      <c r="AS22" s="141">
        <v>14782248</v>
      </c>
      <c r="AT22" s="141">
        <v>15419352</v>
      </c>
      <c r="AU22" s="141">
        <v>13679796</v>
      </c>
      <c r="AV22" s="141">
        <v>14957592</v>
      </c>
      <c r="AW22" s="142">
        <v>15632500</v>
      </c>
      <c r="AX22" s="145" t="s">
        <v>100</v>
      </c>
      <c r="AY22" s="146" t="s">
        <v>100</v>
      </c>
      <c r="AZ22" s="147">
        <f t="shared" si="4"/>
        <v>5.2846997229167615E-2</v>
      </c>
      <c r="BA22" s="147">
        <f t="shared" si="4"/>
        <v>3.7524041109538983E-2</v>
      </c>
      <c r="BB22" s="147">
        <f t="shared" si="4"/>
        <v>3.5428377919582942E-2</v>
      </c>
      <c r="BC22" s="147">
        <f t="shared" si="4"/>
        <v>3.7466884769569574E-2</v>
      </c>
      <c r="BD22" s="147">
        <f t="shared" si="4"/>
        <v>3.8579583484112515E-2</v>
      </c>
      <c r="BE22" s="147">
        <f t="shared" si="4"/>
        <v>2.8760908562002675E-2</v>
      </c>
      <c r="BF22" s="147">
        <f t="shared" si="4"/>
        <v>2.6279580636569329E-2</v>
      </c>
      <c r="BG22" s="147">
        <f t="shared" si="4"/>
        <v>2.6729068245373442E-2</v>
      </c>
      <c r="BH22" s="147">
        <f t="shared" si="4"/>
        <v>2.4988376960035492E-2</v>
      </c>
      <c r="BI22" s="147">
        <f t="shared" si="4"/>
        <v>2.2544351753393459E-2</v>
      </c>
      <c r="BJ22" s="147">
        <f t="shared" si="4"/>
        <v>1.4494276501082497E-2</v>
      </c>
      <c r="BK22" s="147">
        <f t="shared" si="4"/>
        <v>2.0618855553481658E-2</v>
      </c>
      <c r="BL22" s="147">
        <f t="shared" si="4"/>
        <v>2.0325654822170563E-2</v>
      </c>
      <c r="BM22" s="147">
        <f t="shared" si="4"/>
        <v>1.2108096162469061E-2</v>
      </c>
      <c r="BN22" s="147">
        <f t="shared" si="4"/>
        <v>2.0532158479420748E-2</v>
      </c>
      <c r="BO22" s="147">
        <f t="shared" si="4"/>
        <v>1.7924109404440034E-2</v>
      </c>
      <c r="BP22" s="147">
        <f t="shared" si="4"/>
        <v>2.3321705750765146E-2</v>
      </c>
      <c r="BQ22" s="147">
        <f t="shared" si="4"/>
        <v>1.7056141340036197E-2</v>
      </c>
      <c r="BR22" s="147">
        <f t="shared" si="4"/>
        <v>1.6450192246961884E-2</v>
      </c>
      <c r="BS22" s="147">
        <f t="shared" si="4"/>
        <v>2.0256999510432239E-2</v>
      </c>
      <c r="BT22" s="147">
        <f t="shared" si="4"/>
        <v>1.5159913794684768E-2</v>
      </c>
      <c r="BU22" s="147">
        <f t="shared" si="4"/>
        <v>1.7562410230185999E-2</v>
      </c>
      <c r="BV22" s="147">
        <f t="shared" si="4"/>
        <v>3.5017860855637101E-2</v>
      </c>
      <c r="BW22" s="147">
        <f t="shared" si="4"/>
        <v>3.7514889090675609E-2</v>
      </c>
      <c r="BX22" s="147">
        <f t="shared" si="4"/>
        <v>3.5827102119888078E-2</v>
      </c>
      <c r="BY22" s="147">
        <f t="shared" si="4"/>
        <v>4.3302228025177421E-2</v>
      </c>
      <c r="BZ22" s="147">
        <f t="shared" si="4"/>
        <v>5.173926352639277E-2</v>
      </c>
      <c r="CA22" s="147">
        <f t="shared" si="4"/>
        <v>3.8728612017402006E-2</v>
      </c>
      <c r="CB22" s="147">
        <f t="shared" si="4"/>
        <v>4.5456473727247836E-2</v>
      </c>
      <c r="CC22" s="147">
        <f t="shared" si="4"/>
        <v>4.2541749888150487E-2</v>
      </c>
      <c r="CD22" s="147">
        <f t="shared" si="4"/>
        <v>4.1840520535666219E-2</v>
      </c>
      <c r="CE22" s="147">
        <f t="shared" si="4"/>
        <v>3.1347166767224668E-2</v>
      </c>
      <c r="CF22" s="147">
        <f t="shared" si="4"/>
        <v>3.6493960464235059E-2</v>
      </c>
      <c r="CG22" s="147">
        <f t="shared" si="4"/>
        <v>2.8754021287538806E-2</v>
      </c>
      <c r="CH22" s="147">
        <f t="shared" si="4"/>
        <v>1.8856710271188924E-2</v>
      </c>
      <c r="CI22" s="147">
        <f t="shared" si="4"/>
        <v>1.8256981301149017E-2</v>
      </c>
      <c r="CJ22" s="147">
        <f t="shared" si="4"/>
        <v>1.8471985179919166E-2</v>
      </c>
      <c r="CK22" s="147">
        <f t="shared" si="4"/>
        <v>2.0104595461626119E-2</v>
      </c>
      <c r="CL22" s="147">
        <f t="shared" si="4"/>
        <v>2.0109974279746205E-2</v>
      </c>
      <c r="CM22" s="147">
        <f t="shared" si="4"/>
        <v>2.7620751398117156E-2</v>
      </c>
      <c r="CN22" s="147">
        <f t="shared" si="4"/>
        <v>3.2074499129942813E-2</v>
      </c>
      <c r="CO22" s="147">
        <f t="shared" si="4"/>
        <v>2.9839212256829444E-2</v>
      </c>
      <c r="CP22" s="147">
        <f t="shared" si="4"/>
        <v>7.8816209622916446E-3</v>
      </c>
      <c r="CQ22" s="147">
        <f t="shared" si="4"/>
        <v>1.0781054912565901E-2</v>
      </c>
      <c r="CR22" s="147">
        <f t="shared" si="4"/>
        <v>9.5723328931499145E-3</v>
      </c>
      <c r="CS22" s="147">
        <f t="shared" si="4"/>
        <v>2.5595789987060753E-2</v>
      </c>
      <c r="CT22" s="147">
        <f t="shared" si="4"/>
        <v>3.7578979000014598E-2</v>
      </c>
      <c r="CV22" s="148">
        <f t="shared" ca="1" si="5"/>
        <v>0</v>
      </c>
      <c r="CW22" s="148">
        <f t="shared" ca="1" si="6"/>
        <v>0</v>
      </c>
      <c r="CX22" s="148">
        <f t="shared" ca="1" si="7"/>
        <v>0</v>
      </c>
      <c r="DA22" s="148">
        <f t="shared" si="8"/>
        <v>7.8816209622916446E-3</v>
      </c>
      <c r="DB22" s="148">
        <f t="shared" si="9"/>
        <v>2.2799497919025035E-2</v>
      </c>
      <c r="DC22" s="148">
        <f t="shared" si="10"/>
        <v>3.7578979000014598E-2</v>
      </c>
      <c r="DE22" s="399" t="s">
        <v>595</v>
      </c>
      <c r="DF22" s="146" t="s">
        <v>100</v>
      </c>
    </row>
    <row r="23" spans="1:114" ht="14.4">
      <c r="A23" s="138" t="s">
        <v>245</v>
      </c>
      <c r="B23" s="139" t="s">
        <v>75</v>
      </c>
      <c r="C23" s="140">
        <v>6676432</v>
      </c>
      <c r="D23" s="141">
        <v>7859220</v>
      </c>
      <c r="E23" s="141">
        <v>8812154</v>
      </c>
      <c r="F23" s="141">
        <v>10264856</v>
      </c>
      <c r="G23" s="141">
        <v>10175837</v>
      </c>
      <c r="H23" s="141">
        <v>9968525</v>
      </c>
      <c r="I23" s="141">
        <v>10166202</v>
      </c>
      <c r="J23" s="141">
        <v>9700915</v>
      </c>
      <c r="K23" s="141">
        <v>8423300</v>
      </c>
      <c r="L23" s="141">
        <v>6171453</v>
      </c>
      <c r="M23" s="141">
        <v>6437036</v>
      </c>
      <c r="N23" s="141">
        <v>6844652</v>
      </c>
      <c r="O23" s="141">
        <v>6503576</v>
      </c>
      <c r="P23" s="141">
        <v>6131143</v>
      </c>
      <c r="Q23" s="141">
        <v>5656140</v>
      </c>
      <c r="R23" s="141">
        <v>5327136</v>
      </c>
      <c r="S23" s="141">
        <v>6013331</v>
      </c>
      <c r="T23" s="141">
        <v>6021303</v>
      </c>
      <c r="U23" s="141">
        <v>6790510</v>
      </c>
      <c r="V23" s="141">
        <v>6072893</v>
      </c>
      <c r="W23" s="141">
        <v>6973048</v>
      </c>
      <c r="X23" s="141">
        <v>7333320</v>
      </c>
      <c r="Y23" s="141">
        <v>7146560</v>
      </c>
      <c r="Z23" s="141">
        <v>6589612</v>
      </c>
      <c r="AA23" s="141">
        <v>6511902</v>
      </c>
      <c r="AB23" s="141">
        <v>6413318</v>
      </c>
      <c r="AC23" s="141">
        <v>6058795</v>
      </c>
      <c r="AD23" s="141">
        <v>7202518</v>
      </c>
      <c r="AE23" s="141">
        <v>7082177</v>
      </c>
      <c r="AF23" s="141">
        <v>6898514</v>
      </c>
      <c r="AG23" s="141">
        <v>7400480</v>
      </c>
      <c r="AH23" s="141">
        <v>8277608</v>
      </c>
      <c r="AI23" s="141">
        <v>6549250</v>
      </c>
      <c r="AJ23" s="141">
        <v>7471320</v>
      </c>
      <c r="AK23" s="141">
        <v>8669068</v>
      </c>
      <c r="AL23" s="141">
        <v>8428948</v>
      </c>
      <c r="AM23" s="141">
        <v>7411934</v>
      </c>
      <c r="AN23" s="141">
        <v>8359488</v>
      </c>
      <c r="AO23" s="141">
        <v>8345734</v>
      </c>
      <c r="AP23" s="141">
        <v>6656522</v>
      </c>
      <c r="AQ23" s="141">
        <v>7388750</v>
      </c>
      <c r="AR23" s="141">
        <v>7132808</v>
      </c>
      <c r="AS23" s="141">
        <v>5394483</v>
      </c>
      <c r="AT23" s="141">
        <v>6456683</v>
      </c>
      <c r="AU23" s="141">
        <v>6938324</v>
      </c>
      <c r="AV23" s="141">
        <v>6112342</v>
      </c>
      <c r="AW23" s="142">
        <v>7483740</v>
      </c>
      <c r="AX23" s="145" t="s">
        <v>77</v>
      </c>
      <c r="AY23" s="146" t="s">
        <v>76</v>
      </c>
      <c r="AZ23" s="147">
        <f t="shared" si="4"/>
        <v>0.18668017997868361</v>
      </c>
      <c r="BA23" s="147">
        <f t="shared" si="4"/>
        <v>0.19167031515367289</v>
      </c>
      <c r="BB23" s="147">
        <f t="shared" si="4"/>
        <v>0.17947872262134443</v>
      </c>
      <c r="BC23" s="147">
        <f t="shared" si="4"/>
        <v>0.16422528392116445</v>
      </c>
      <c r="BD23" s="147">
        <f t="shared" si="4"/>
        <v>0.14293415183864372</v>
      </c>
      <c r="BE23" s="147">
        <f t="shared" si="4"/>
        <v>0.15250918073997943</v>
      </c>
      <c r="BF23" s="147">
        <f t="shared" si="4"/>
        <v>0.15884158478118895</v>
      </c>
      <c r="BG23" s="147">
        <f t="shared" si="4"/>
        <v>0.16542340367700487</v>
      </c>
      <c r="BH23" s="147">
        <f t="shared" si="4"/>
        <v>0.1805191712939522</v>
      </c>
      <c r="BI23" s="147">
        <f t="shared" si="4"/>
        <v>0.19488191610168679</v>
      </c>
      <c r="BJ23" s="147">
        <f t="shared" si="4"/>
        <v>0.19586581847383019</v>
      </c>
      <c r="BK23" s="147">
        <f t="shared" si="4"/>
        <v>0.20403902154940196</v>
      </c>
      <c r="BL23" s="147">
        <f t="shared" si="4"/>
        <v>0.20377162862847673</v>
      </c>
      <c r="BM23" s="147">
        <f t="shared" si="4"/>
        <v>0.18575423766081717</v>
      </c>
      <c r="BN23" s="147">
        <f t="shared" si="4"/>
        <v>0.18727085236222946</v>
      </c>
      <c r="BO23" s="147">
        <f t="shared" si="4"/>
        <v>0.19437712780740624</v>
      </c>
      <c r="BP23" s="147">
        <f t="shared" si="4"/>
        <v>0.1781500143706059</v>
      </c>
      <c r="BQ23" s="147">
        <f t="shared" si="4"/>
        <v>0.18304694702645699</v>
      </c>
      <c r="BR23" s="147">
        <f t="shared" si="4"/>
        <v>0.17098902243918035</v>
      </c>
      <c r="BS23" s="147">
        <f t="shared" si="4"/>
        <v>0.18404855677925291</v>
      </c>
      <c r="BT23" s="147">
        <f t="shared" si="4"/>
        <v>0.18042686600218394</v>
      </c>
      <c r="BU23" s="147">
        <f t="shared" si="4"/>
        <v>0.19419278371338475</v>
      </c>
      <c r="BV23" s="147">
        <f t="shared" si="4"/>
        <v>0.1944929957209614</v>
      </c>
      <c r="BW23" s="147">
        <f t="shared" si="4"/>
        <v>0.19875741236618252</v>
      </c>
      <c r="BX23" s="147">
        <f t="shared" si="4"/>
        <v>0.18239036018829821</v>
      </c>
      <c r="BY23" s="147">
        <f t="shared" si="4"/>
        <v>0.18866980300169026</v>
      </c>
      <c r="BZ23" s="147">
        <f t="shared" si="4"/>
        <v>0.17760513740431311</v>
      </c>
      <c r="CA23" s="147">
        <f t="shared" si="4"/>
        <v>0.16410973222341774</v>
      </c>
      <c r="CB23" s="147">
        <f t="shared" si="4"/>
        <v>0.17148286911183941</v>
      </c>
      <c r="CC23" s="147">
        <f t="shared" si="4"/>
        <v>0.23328455284295921</v>
      </c>
      <c r="CD23" s="147">
        <f t="shared" si="4"/>
        <v>0.2720484082405874</v>
      </c>
      <c r="CE23" s="147">
        <f t="shared" si="4"/>
        <v>0.26605194905816781</v>
      </c>
      <c r="CF23" s="147">
        <f t="shared" si="4"/>
        <v>0.2571474261312609</v>
      </c>
      <c r="CG23" s="147">
        <f t="shared" si="4"/>
        <v>0.3032999624209245</v>
      </c>
      <c r="CH23" s="147">
        <f t="shared" si="4"/>
        <v>0.28178298597388085</v>
      </c>
      <c r="CI23" s="147">
        <f t="shared" si="4"/>
        <v>0.28004552495177149</v>
      </c>
      <c r="CJ23" s="147">
        <f t="shared" si="4"/>
        <v>0.27401348149916721</v>
      </c>
      <c r="CK23" s="147">
        <f t="shared" si="4"/>
        <v>0.25287884854956061</v>
      </c>
      <c r="CL23" s="147">
        <f t="shared" si="4"/>
        <v>0.25495140662481786</v>
      </c>
      <c r="CM23" s="147">
        <f t="shared" si="4"/>
        <v>0.25676485704898727</v>
      </c>
      <c r="CN23" s="147">
        <f t="shared" si="4"/>
        <v>0.28006647226985698</v>
      </c>
      <c r="CO23" s="147">
        <f t="shared" si="4"/>
        <v>0.26558235157377552</v>
      </c>
      <c r="CP23" s="147">
        <f t="shared" si="4"/>
        <v>0.28056259026738289</v>
      </c>
      <c r="CQ23" s="147">
        <f t="shared" si="4"/>
        <v>0.29049969055538422</v>
      </c>
      <c r="CR23" s="147">
        <f t="shared" si="4"/>
        <v>0.28768438137344149</v>
      </c>
      <c r="CS23" s="147">
        <f t="shared" si="4"/>
        <v>0.27400559619886539</v>
      </c>
      <c r="CT23" s="147">
        <f t="shared" si="4"/>
        <v>0.26567063269258406</v>
      </c>
      <c r="CV23" s="148">
        <f t="shared" ca="1" si="5"/>
        <v>0</v>
      </c>
      <c r="CW23" s="148">
        <f t="shared" ca="1" si="6"/>
        <v>0</v>
      </c>
      <c r="CX23" s="148">
        <f t="shared" ca="1" si="7"/>
        <v>0</v>
      </c>
      <c r="DA23" s="148">
        <f t="shared" si="8"/>
        <v>0.25287884854956061</v>
      </c>
      <c r="DB23" s="148">
        <f t="shared" si="9"/>
        <v>0.2736637472087774</v>
      </c>
      <c r="DC23" s="148">
        <f t="shared" si="10"/>
        <v>0.3032999624209245</v>
      </c>
      <c r="DE23" s="399" t="s">
        <v>595</v>
      </c>
      <c r="DF23" s="146" t="s">
        <v>76</v>
      </c>
    </row>
    <row r="24" spans="1:114" ht="14.4">
      <c r="A24" s="138" t="s">
        <v>245</v>
      </c>
      <c r="B24" s="139" t="s">
        <v>100</v>
      </c>
      <c r="C24" s="140">
        <v>9575307</v>
      </c>
      <c r="D24" s="141">
        <v>9444981</v>
      </c>
      <c r="E24" s="141">
        <v>9592968</v>
      </c>
      <c r="F24" s="141">
        <v>13028293</v>
      </c>
      <c r="G24" s="141">
        <v>15134172</v>
      </c>
      <c r="H24" s="141">
        <v>11910082</v>
      </c>
      <c r="I24" s="141">
        <v>10146244</v>
      </c>
      <c r="J24" s="141">
        <v>10021051</v>
      </c>
      <c r="K24" s="141">
        <v>8920850</v>
      </c>
      <c r="L24" s="141">
        <v>6822453</v>
      </c>
      <c r="M24" s="141">
        <v>4496073</v>
      </c>
      <c r="N24" s="141">
        <v>6061464</v>
      </c>
      <c r="O24" s="141">
        <v>6195792</v>
      </c>
      <c r="P24" s="141">
        <v>4028100</v>
      </c>
      <c r="Q24" s="141">
        <v>5375730</v>
      </c>
      <c r="R24" s="141">
        <v>4268786</v>
      </c>
      <c r="S24" s="141">
        <v>5424624</v>
      </c>
      <c r="T24" s="141">
        <v>4691084</v>
      </c>
      <c r="U24" s="141">
        <v>4885964</v>
      </c>
      <c r="V24" s="141">
        <v>5656610</v>
      </c>
      <c r="W24" s="141">
        <v>4694261</v>
      </c>
      <c r="X24" s="141">
        <v>5401499</v>
      </c>
      <c r="Y24" s="141">
        <v>11304914</v>
      </c>
      <c r="Z24" s="141">
        <v>12567468</v>
      </c>
      <c r="AA24" s="141">
        <v>11339312</v>
      </c>
      <c r="AB24" s="141">
        <v>14225315</v>
      </c>
      <c r="AC24" s="141">
        <v>17570959</v>
      </c>
      <c r="AD24" s="141">
        <v>13556836</v>
      </c>
      <c r="AE24" s="141">
        <v>16260478</v>
      </c>
      <c r="AF24" s="141">
        <v>16423526</v>
      </c>
      <c r="AG24" s="141">
        <v>18222884</v>
      </c>
      <c r="AH24" s="141">
        <v>11039632</v>
      </c>
      <c r="AI24" s="141">
        <v>11702561</v>
      </c>
      <c r="AJ24" s="141">
        <v>14012338</v>
      </c>
      <c r="AK24" s="141">
        <v>12630168</v>
      </c>
      <c r="AL24" s="141">
        <v>13127500</v>
      </c>
      <c r="AM24" s="141">
        <v>10743858</v>
      </c>
      <c r="AN24" s="141">
        <v>9604702</v>
      </c>
      <c r="AO24" s="141">
        <v>8344863</v>
      </c>
      <c r="AP24" s="141">
        <v>10400184</v>
      </c>
      <c r="AQ24" s="141">
        <v>11758814</v>
      </c>
      <c r="AR24" s="141">
        <v>10910845</v>
      </c>
      <c r="AS24" s="141">
        <v>12460072</v>
      </c>
      <c r="AT24" s="141">
        <v>12102315</v>
      </c>
      <c r="AU24" s="141">
        <v>12128322</v>
      </c>
      <c r="AV24" s="141">
        <v>16458691</v>
      </c>
      <c r="AW24" s="142">
        <v>19521794</v>
      </c>
      <c r="AX24" s="145" t="s">
        <v>96</v>
      </c>
      <c r="AY24" s="146" t="s">
        <v>79</v>
      </c>
      <c r="AZ24" s="147">
        <f t="shared" si="4"/>
        <v>2.7642624574246918E-2</v>
      </c>
      <c r="BA24" s="147">
        <f t="shared" si="4"/>
        <v>2.9365829358680508E-2</v>
      </c>
      <c r="BB24" s="147">
        <f t="shared" si="4"/>
        <v>2.6949570255813869E-2</v>
      </c>
      <c r="BC24" s="147">
        <f t="shared" si="4"/>
        <v>2.5271265303359793E-2</v>
      </c>
      <c r="BD24" s="147">
        <f t="shared" si="4"/>
        <v>1.932677765557508E-2</v>
      </c>
      <c r="BE24" s="147">
        <f t="shared" si="4"/>
        <v>1.8593760730177981E-2</v>
      </c>
      <c r="BF24" s="147">
        <f t="shared" si="4"/>
        <v>1.925777873133001E-2</v>
      </c>
      <c r="BG24" s="147">
        <f t="shared" si="4"/>
        <v>1.543359113171958E-2</v>
      </c>
      <c r="BH24" s="147">
        <f t="shared" si="4"/>
        <v>1.221565064694668E-2</v>
      </c>
      <c r="BI24" s="147">
        <f t="shared" si="4"/>
        <v>1.3888463855950694E-2</v>
      </c>
      <c r="BJ24" s="147">
        <f t="shared" si="4"/>
        <v>1.5689564227819221E-2</v>
      </c>
      <c r="BK24" s="147">
        <f t="shared" si="4"/>
        <v>1.4267574220998835E-2</v>
      </c>
      <c r="BL24" s="147">
        <f t="shared" si="4"/>
        <v>1.389269059994234E-2</v>
      </c>
      <c r="BM24" s="147">
        <f t="shared" si="4"/>
        <v>1.3170368857619569E-2</v>
      </c>
      <c r="BN24" s="147">
        <f t="shared" si="4"/>
        <v>1.0586073876636772E-2</v>
      </c>
      <c r="BO24" s="147">
        <f t="shared" si="4"/>
        <v>4.0674610131076778E-3</v>
      </c>
      <c r="BP24" s="147">
        <f t="shared" si="4"/>
        <v>7.5891339130839137E-3</v>
      </c>
      <c r="BQ24" s="147">
        <f t="shared" si="4"/>
        <v>1.036375636828773E-2</v>
      </c>
      <c r="BR24" s="147">
        <f t="shared" si="4"/>
        <v>2.7990120802301111E-2</v>
      </c>
      <c r="BS24" s="147">
        <f t="shared" si="4"/>
        <v>4.0489385982731177E-2</v>
      </c>
      <c r="BT24" s="147">
        <f t="shared" si="4"/>
        <v>3.2703525285536959E-2</v>
      </c>
      <c r="BU24" s="147">
        <f t="shared" si="4"/>
        <v>4.2284198548242752E-2</v>
      </c>
      <c r="BV24" s="147">
        <f t="shared" si="4"/>
        <v>3.6636537778295994E-2</v>
      </c>
      <c r="BW24" s="147">
        <f t="shared" si="4"/>
        <v>3.6184657139354107E-2</v>
      </c>
      <c r="BX24" s="147">
        <f t="shared" si="4"/>
        <v>4.5624696600440579E-2</v>
      </c>
      <c r="BY24" s="147">
        <f t="shared" si="4"/>
        <v>2.6483025776163377E-2</v>
      </c>
      <c r="BZ24" s="147">
        <f t="shared" si="4"/>
        <v>1.7615530392277021E-2</v>
      </c>
      <c r="CA24" s="147">
        <f t="shared" si="4"/>
        <v>2.3354995374335975E-2</v>
      </c>
      <c r="CB24" s="147">
        <f t="shared" si="4"/>
        <v>3.0964542837428936E-2</v>
      </c>
      <c r="CC24" s="147">
        <f t="shared" si="4"/>
        <v>3.0330262684781069E-2</v>
      </c>
      <c r="CD24" s="147">
        <f t="shared" si="4"/>
        <v>4.2882659895348854E-2</v>
      </c>
      <c r="CE24" s="147">
        <f t="shared" si="4"/>
        <v>5.5450999836021024E-2</v>
      </c>
      <c r="CF24" s="147">
        <f t="shared" si="4"/>
        <v>5.752907565715995E-2</v>
      </c>
      <c r="CG24" s="147">
        <f t="shared" si="4"/>
        <v>8.2656034887786903E-2</v>
      </c>
      <c r="CH24" s="147">
        <f t="shared" si="4"/>
        <v>7.5696362040342566E-2</v>
      </c>
      <c r="CI24" s="147">
        <f t="shared" si="4"/>
        <v>7.9692044932276176E-2</v>
      </c>
      <c r="CJ24" s="147">
        <f t="shared" si="4"/>
        <v>8.0084469990764157E-2</v>
      </c>
      <c r="CK24" s="147">
        <f t="shared" si="4"/>
        <v>8.4916147464492317E-2</v>
      </c>
      <c r="CL24" s="147">
        <f t="shared" si="4"/>
        <v>8.2747355921819074E-2</v>
      </c>
      <c r="CM24" s="147">
        <f t="shared" si="4"/>
        <v>9.0572985472252079E-2</v>
      </c>
      <c r="CN24" s="147">
        <f t="shared" si="4"/>
        <v>7.7741693787451008E-2</v>
      </c>
      <c r="CO24" s="147">
        <f t="shared" si="4"/>
        <v>7.2054753605048372E-2</v>
      </c>
      <c r="CP24" s="147">
        <f t="shared" si="4"/>
        <v>8.2714111469160162E-2</v>
      </c>
      <c r="CQ24" s="147">
        <f t="shared" si="4"/>
        <v>5.5209833844451016E-2</v>
      </c>
      <c r="CR24" s="147">
        <f t="shared" si="4"/>
        <v>0.10953963139753704</v>
      </c>
      <c r="CS24" s="147">
        <f t="shared" si="4"/>
        <v>0.12513263625088755</v>
      </c>
      <c r="CT24" s="147">
        <f t="shared" si="4"/>
        <v>0.10111975211050818</v>
      </c>
      <c r="CV24" s="148">
        <f t="shared" ca="1" si="5"/>
        <v>0</v>
      </c>
      <c r="CW24" s="148">
        <f t="shared" ca="1" si="6"/>
        <v>0</v>
      </c>
      <c r="CX24" s="148">
        <f t="shared" ca="1" si="7"/>
        <v>0</v>
      </c>
      <c r="DA24" s="148">
        <f t="shared" si="8"/>
        <v>5.5209833844451016E-2</v>
      </c>
      <c r="DB24" s="148">
        <f t="shared" si="9"/>
        <v>8.3827125922129112E-2</v>
      </c>
      <c r="DC24" s="148">
        <f t="shared" si="10"/>
        <v>0.12513263625088755</v>
      </c>
      <c r="DE24" s="399" t="s">
        <v>595</v>
      </c>
      <c r="DF24" s="146" t="s">
        <v>79</v>
      </c>
    </row>
    <row r="25" spans="1:114" ht="14.4">
      <c r="A25" s="138" t="s">
        <v>245</v>
      </c>
      <c r="B25" s="139" t="s">
        <v>77</v>
      </c>
      <c r="C25" s="140">
        <v>33833131</v>
      </c>
      <c r="D25" s="141">
        <v>48252857</v>
      </c>
      <c r="E25" s="141">
        <v>48605703</v>
      </c>
      <c r="F25" s="141">
        <v>57113486</v>
      </c>
      <c r="G25" s="141">
        <v>56078535</v>
      </c>
      <c r="H25" s="141">
        <v>63162041</v>
      </c>
      <c r="I25" s="141">
        <v>61333145</v>
      </c>
      <c r="J25" s="141">
        <v>62025366</v>
      </c>
      <c r="K25" s="141">
        <v>64450529</v>
      </c>
      <c r="L25" s="141">
        <v>58982042</v>
      </c>
      <c r="M25" s="141">
        <v>60762674</v>
      </c>
      <c r="N25" s="141">
        <v>59988391</v>
      </c>
      <c r="O25" s="141">
        <v>62120632</v>
      </c>
      <c r="P25" s="141">
        <v>61801669</v>
      </c>
      <c r="Q25" s="141">
        <v>49035342</v>
      </c>
      <c r="R25" s="141">
        <v>46296245</v>
      </c>
      <c r="S25" s="141">
        <v>41441026</v>
      </c>
      <c r="T25" s="141">
        <v>50348621</v>
      </c>
      <c r="U25" s="141">
        <v>50790859</v>
      </c>
      <c r="V25" s="141">
        <v>51399589</v>
      </c>
      <c r="W25" s="141">
        <v>55876208</v>
      </c>
      <c r="X25" s="141">
        <v>59738623</v>
      </c>
      <c r="Y25" s="141">
        <v>62800133</v>
      </c>
      <c r="Z25" s="141">
        <v>66589578</v>
      </c>
      <c r="AA25" s="141">
        <v>57733207</v>
      </c>
      <c r="AB25" s="141">
        <v>61986505</v>
      </c>
      <c r="AC25" s="141">
        <v>60322159</v>
      </c>
      <c r="AD25" s="141">
        <v>57452942</v>
      </c>
      <c r="AE25" s="141">
        <v>61346060</v>
      </c>
      <c r="AF25" s="141">
        <v>90062568</v>
      </c>
      <c r="AG25" s="141">
        <v>118487749</v>
      </c>
      <c r="AH25" s="141">
        <v>93698328</v>
      </c>
      <c r="AI25" s="141">
        <v>82462254</v>
      </c>
      <c r="AJ25" s="141">
        <v>97227631</v>
      </c>
      <c r="AK25" s="141">
        <v>93201560</v>
      </c>
      <c r="AL25" s="141">
        <v>92606253</v>
      </c>
      <c r="AM25" s="141">
        <v>86713258</v>
      </c>
      <c r="AN25" s="141">
        <v>83845092</v>
      </c>
      <c r="AO25" s="141">
        <v>82150218</v>
      </c>
      <c r="AP25" s="141">
        <v>79768943</v>
      </c>
      <c r="AQ25" s="141">
        <v>91113286</v>
      </c>
      <c r="AR25" s="141">
        <v>84545651</v>
      </c>
      <c r="AS25" s="141">
        <v>88114059</v>
      </c>
      <c r="AT25" s="141">
        <v>91697205</v>
      </c>
      <c r="AU25" s="141">
        <v>86925896</v>
      </c>
      <c r="AV25" s="141">
        <v>83704909</v>
      </c>
      <c r="AW25" s="142">
        <v>90540929</v>
      </c>
      <c r="AX25" s="145" t="s">
        <v>51</v>
      </c>
      <c r="AY25" s="146" t="s">
        <v>45</v>
      </c>
      <c r="AZ25" s="147">
        <f t="shared" si="4"/>
        <v>0.25645133939662584</v>
      </c>
      <c r="BA25" s="147">
        <f t="shared" si="4"/>
        <v>0.28057164966262682</v>
      </c>
      <c r="BB25" s="147">
        <f t="shared" si="4"/>
        <v>0.28773843829364765</v>
      </c>
      <c r="BC25" s="147">
        <f t="shared" si="4"/>
        <v>0.28841031985739113</v>
      </c>
      <c r="BD25" s="147">
        <f t="shared" si="4"/>
        <v>0.28422274789741619</v>
      </c>
      <c r="BE25" s="147">
        <f t="shared" si="4"/>
        <v>0.32735663873677279</v>
      </c>
      <c r="BF25" s="147">
        <f t="shared" si="4"/>
        <v>0.34518717929714071</v>
      </c>
      <c r="BG25" s="147">
        <f t="shared" si="4"/>
        <v>0.36789294202980316</v>
      </c>
      <c r="BH25" s="147">
        <f t="shared" si="4"/>
        <v>0.38789789053683887</v>
      </c>
      <c r="BI25" s="147">
        <f t="shared" si="4"/>
        <v>0.42770290506584907</v>
      </c>
      <c r="BJ25" s="147">
        <f t="shared" si="4"/>
        <v>0.44244952042357727</v>
      </c>
      <c r="BK25" s="147">
        <f t="shared" si="4"/>
        <v>0.45914864768741248</v>
      </c>
      <c r="BL25" s="147">
        <f t="shared" si="4"/>
        <v>0.45093222533231508</v>
      </c>
      <c r="BM25" s="147">
        <f t="shared" si="4"/>
        <v>0.46196496236017609</v>
      </c>
      <c r="BN25" s="147">
        <f t="shared" si="4"/>
        <v>0.4540248418672258</v>
      </c>
      <c r="BO25" s="147">
        <f t="shared" si="4"/>
        <v>0.48066935061714472</v>
      </c>
      <c r="BP25" s="147">
        <f t="shared" si="4"/>
        <v>0.47108159974482522</v>
      </c>
      <c r="BQ25" s="147">
        <f t="shared" si="4"/>
        <v>0.47277981300491967</v>
      </c>
      <c r="BR25" s="147">
        <f t="shared" si="4"/>
        <v>0.47245731189952883</v>
      </c>
      <c r="BS25" s="147">
        <f t="shared" si="4"/>
        <v>0.46113000724918968</v>
      </c>
      <c r="BT25" s="147">
        <f t="shared" si="4"/>
        <v>0.47344931036626225</v>
      </c>
      <c r="BU25" s="147">
        <f t="shared" si="4"/>
        <v>0.43423315252127165</v>
      </c>
      <c r="BV25" s="147">
        <f t="shared" si="4"/>
        <v>0.41091234478598421</v>
      </c>
      <c r="BW25" s="147">
        <f t="shared" si="4"/>
        <v>0.41171465014044756</v>
      </c>
      <c r="BX25" s="147">
        <f t="shared" si="4"/>
        <v>0.4414023535613103</v>
      </c>
      <c r="BY25" s="147">
        <f t="shared" si="4"/>
        <v>0.47362484689348522</v>
      </c>
      <c r="BZ25" s="147">
        <f t="shared" si="4"/>
        <v>0.49162041494232356</v>
      </c>
      <c r="CA25" s="147">
        <f t="shared" si="4"/>
        <v>0.49332581701019385</v>
      </c>
      <c r="CB25" s="147">
        <f t="shared" si="4"/>
        <v>0.48242217266270387</v>
      </c>
      <c r="CC25" s="147">
        <f t="shared" si="4"/>
        <v>0.45832203393417409</v>
      </c>
      <c r="CD25" s="147">
        <f t="shared" si="4"/>
        <v>0.44780525659790726</v>
      </c>
      <c r="CE25" s="147">
        <f t="shared" si="4"/>
        <v>0.46602233351663991</v>
      </c>
      <c r="CF25" s="147">
        <f t="shared" si="4"/>
        <v>0.43563404842412246</v>
      </c>
      <c r="CG25" s="147">
        <f t="shared" si="4"/>
        <v>0.37712497539959222</v>
      </c>
      <c r="CH25" s="147">
        <f t="shared" si="4"/>
        <v>0.38914202552242272</v>
      </c>
      <c r="CI25" s="147">
        <f t="shared" si="4"/>
        <v>0.39786795126969371</v>
      </c>
      <c r="CJ25" s="147">
        <f t="shared" si="4"/>
        <v>0.3962468117604378</v>
      </c>
      <c r="CK25" s="147">
        <f t="shared" si="4"/>
        <v>0.41315932457565641</v>
      </c>
      <c r="CL25" s="147">
        <f t="shared" si="4"/>
        <v>0.4138814904499008</v>
      </c>
      <c r="CM25" s="147">
        <f t="shared" si="4"/>
        <v>0.40072993809803015</v>
      </c>
      <c r="CN25" s="147">
        <f t="shared" si="4"/>
        <v>0.39675085897917917</v>
      </c>
      <c r="CO25" s="147">
        <f t="shared" si="4"/>
        <v>0.43232634460278896</v>
      </c>
      <c r="CP25" s="147">
        <f t="shared" si="4"/>
        <v>0.37049313457542904</v>
      </c>
      <c r="CQ25" s="147">
        <f t="shared" si="4"/>
        <v>0.42174228212268494</v>
      </c>
      <c r="CR25" s="147">
        <f t="shared" si="4"/>
        <v>0.38762795666507732</v>
      </c>
      <c r="CS25" s="147">
        <f t="shared" si="4"/>
        <v>0.39938963533372662</v>
      </c>
      <c r="CT25" s="147">
        <f t="shared" si="4"/>
        <v>0.42727798049258547</v>
      </c>
      <c r="CV25" s="148">
        <f t="shared" ca="1" si="5"/>
        <v>0</v>
      </c>
      <c r="CW25" s="148">
        <f t="shared" ca="1" si="6"/>
        <v>0</v>
      </c>
      <c r="CX25" s="148">
        <f t="shared" ca="1" si="7"/>
        <v>0</v>
      </c>
      <c r="DA25" s="148">
        <f t="shared" si="8"/>
        <v>0.37049313457542904</v>
      </c>
      <c r="DB25" s="148">
        <f t="shared" si="9"/>
        <v>0.40395965055142186</v>
      </c>
      <c r="DC25" s="148">
        <f>MAX(CF25:CT25)</f>
        <v>0.43563404842412246</v>
      </c>
      <c r="DE25" s="399" t="s">
        <v>595</v>
      </c>
      <c r="DF25" s="146" t="s">
        <v>45</v>
      </c>
    </row>
    <row r="26" spans="1:114" ht="14.4">
      <c r="A26" s="138" t="s">
        <v>245</v>
      </c>
      <c r="B26" s="139" t="s">
        <v>96</v>
      </c>
      <c r="C26" s="140">
        <v>5008546</v>
      </c>
      <c r="D26" s="141">
        <v>7391520</v>
      </c>
      <c r="E26" s="141">
        <v>7297155</v>
      </c>
      <c r="F26" s="141">
        <v>8787532</v>
      </c>
      <c r="G26" s="141">
        <v>7581595</v>
      </c>
      <c r="H26" s="141">
        <v>7699799</v>
      </c>
      <c r="I26" s="141">
        <v>7435207</v>
      </c>
      <c r="J26" s="141">
        <v>5786240</v>
      </c>
      <c r="K26" s="141">
        <v>4360987</v>
      </c>
      <c r="L26" s="141">
        <v>4202977</v>
      </c>
      <c r="M26" s="141">
        <v>4866847</v>
      </c>
      <c r="N26" s="141">
        <v>4194335</v>
      </c>
      <c r="O26" s="141">
        <v>4234856</v>
      </c>
      <c r="P26" s="141">
        <v>4381495</v>
      </c>
      <c r="Q26" s="141">
        <v>2771646</v>
      </c>
      <c r="R26" s="141">
        <v>968702</v>
      </c>
      <c r="S26" s="141">
        <v>1765231</v>
      </c>
      <c r="T26" s="141">
        <v>2850425</v>
      </c>
      <c r="U26" s="141">
        <v>8313503</v>
      </c>
      <c r="V26" s="141">
        <v>11306347</v>
      </c>
      <c r="W26" s="141">
        <v>10126633</v>
      </c>
      <c r="X26" s="141">
        <v>13004938</v>
      </c>
      <c r="Y26" s="141">
        <v>11827476</v>
      </c>
      <c r="Z26" s="141">
        <v>12121841</v>
      </c>
      <c r="AA26" s="141">
        <v>14440260</v>
      </c>
      <c r="AB26" s="141">
        <v>8700000</v>
      </c>
      <c r="AC26" s="141">
        <v>5982338</v>
      </c>
      <c r="AD26" s="141">
        <v>8175347</v>
      </c>
      <c r="AE26" s="141">
        <v>11076492</v>
      </c>
      <c r="AF26" s="141">
        <v>11709200</v>
      </c>
      <c r="AG26" s="141">
        <v>18676769</v>
      </c>
      <c r="AH26" s="141">
        <v>19528356</v>
      </c>
      <c r="AI26" s="141">
        <v>18447916</v>
      </c>
      <c r="AJ26" s="141">
        <v>26496112</v>
      </c>
      <c r="AK26" s="141">
        <v>25036556</v>
      </c>
      <c r="AL26" s="141">
        <v>26352301</v>
      </c>
      <c r="AM26" s="141">
        <v>25340447</v>
      </c>
      <c r="AN26" s="141">
        <v>28152548</v>
      </c>
      <c r="AO26" s="141">
        <v>26660150</v>
      </c>
      <c r="AP26" s="141">
        <v>28135844</v>
      </c>
      <c r="AQ26" s="141">
        <v>25289900</v>
      </c>
      <c r="AR26" s="141">
        <v>22936754</v>
      </c>
      <c r="AS26" s="141">
        <v>25976450</v>
      </c>
      <c r="AT26" s="141">
        <v>17426682</v>
      </c>
      <c r="AU26" s="141">
        <v>33097544</v>
      </c>
      <c r="AV26" s="141">
        <v>38224247</v>
      </c>
      <c r="AW26" s="142">
        <v>34460788</v>
      </c>
      <c r="AX26" s="145" t="s">
        <v>224</v>
      </c>
      <c r="AY26" s="146" t="s">
        <v>44</v>
      </c>
      <c r="AZ26" s="147">
        <f t="shared" si="4"/>
        <v>0.44339038133253333</v>
      </c>
      <c r="BA26" s="147">
        <f t="shared" si="4"/>
        <v>0.43285994557918489</v>
      </c>
      <c r="BB26" s="147">
        <f t="shared" si="4"/>
        <v>0.44115757604929073</v>
      </c>
      <c r="BC26" s="147">
        <f t="shared" si="4"/>
        <v>0.45811421009332187</v>
      </c>
      <c r="BD26" s="147">
        <f t="shared" si="4"/>
        <v>0.49191546663364843</v>
      </c>
      <c r="BE26" s="147">
        <f t="shared" si="4"/>
        <v>0.45165084039544812</v>
      </c>
      <c r="BF26" s="147">
        <f t="shared" si="4"/>
        <v>0.42769078815231754</v>
      </c>
      <c r="BG26" s="147">
        <f t="shared" si="4"/>
        <v>0.40220181106133207</v>
      </c>
      <c r="BH26" s="147">
        <f t="shared" si="4"/>
        <v>0.37420674679763355</v>
      </c>
      <c r="BI26" s="147">
        <f t="shared" si="4"/>
        <v>0.32417788096867062</v>
      </c>
      <c r="BJ26" s="147">
        <f t="shared" si="4"/>
        <v>0.31300628844737038</v>
      </c>
      <c r="BK26" s="147">
        <f t="shared" si="4"/>
        <v>0.28065094931676277</v>
      </c>
      <c r="BL26" s="147">
        <f t="shared" si="4"/>
        <v>0.29010365165665519</v>
      </c>
      <c r="BM26" s="147">
        <f t="shared" si="4"/>
        <v>0.3090280719601039</v>
      </c>
      <c r="BN26" s="147">
        <f t="shared" si="4"/>
        <v>0.30598364915672049</v>
      </c>
      <c r="BO26" s="147">
        <f t="shared" si="4"/>
        <v>0.28059474076319385</v>
      </c>
      <c r="BP26" s="147">
        <f t="shared" si="4"/>
        <v>0.29400556310032189</v>
      </c>
      <c r="BQ26" s="147">
        <f t="shared" si="4"/>
        <v>0.29486118243867432</v>
      </c>
      <c r="BR26" s="147">
        <f t="shared" si="4"/>
        <v>0.28925130559717338</v>
      </c>
      <c r="BS26" s="147">
        <f t="shared" si="4"/>
        <v>0.27232767116711754</v>
      </c>
      <c r="BT26" s="147">
        <f t="shared" ref="BT26:CT26" si="11">W64/SUM(W$59:W$64)</f>
        <v>0.27574189474770938</v>
      </c>
      <c r="BU26" s="147">
        <f t="shared" si="11"/>
        <v>0.28788467497394349</v>
      </c>
      <c r="BV26" s="147">
        <f t="shared" si="11"/>
        <v>0.30080400628934856</v>
      </c>
      <c r="BW26" s="147">
        <f t="shared" si="11"/>
        <v>0.29615905274071314</v>
      </c>
      <c r="BX26" s="147">
        <f t="shared" si="11"/>
        <v>0.2741822193686026</v>
      </c>
      <c r="BY26" s="147">
        <f t="shared" si="11"/>
        <v>0.2484420347948543</v>
      </c>
      <c r="BZ26" s="147">
        <f t="shared" si="11"/>
        <v>0.24363208569372988</v>
      </c>
      <c r="CA26" s="147">
        <f t="shared" si="11"/>
        <v>0.25997137984654861</v>
      </c>
      <c r="CB26" s="147">
        <f t="shared" si="11"/>
        <v>0.24995337563674688</v>
      </c>
      <c r="CC26" s="147">
        <f t="shared" si="11"/>
        <v>0.21772550523237569</v>
      </c>
      <c r="CD26" s="147">
        <f t="shared" si="11"/>
        <v>0.17843162334891968</v>
      </c>
      <c r="CE26" s="147">
        <f t="shared" si="11"/>
        <v>0.1576276450270141</v>
      </c>
      <c r="CF26" s="147">
        <f t="shared" si="11"/>
        <v>0.19277632597903951</v>
      </c>
      <c r="CG26" s="147">
        <f t="shared" si="11"/>
        <v>0.18485933455104267</v>
      </c>
      <c r="CH26" s="147">
        <f t="shared" si="11"/>
        <v>0.2083122368222079</v>
      </c>
      <c r="CI26" s="147">
        <f t="shared" si="11"/>
        <v>0.19864819800024483</v>
      </c>
      <c r="CJ26" s="147">
        <f t="shared" si="11"/>
        <v>0.20775968102241957</v>
      </c>
      <c r="CK26" s="147">
        <f t="shared" si="11"/>
        <v>0.20372726430772056</v>
      </c>
      <c r="CL26" s="147">
        <f t="shared" si="11"/>
        <v>0.20240723367480362</v>
      </c>
      <c r="CM26" s="147">
        <f t="shared" si="11"/>
        <v>0.20288400393532405</v>
      </c>
      <c r="CN26" s="147">
        <f t="shared" si="11"/>
        <v>0.19065402568816434</v>
      </c>
      <c r="CO26" s="147">
        <f t="shared" si="11"/>
        <v>0.1777899509811629</v>
      </c>
      <c r="CP26" s="147">
        <f t="shared" si="11"/>
        <v>0.24117145085288647</v>
      </c>
      <c r="CQ26" s="147">
        <f t="shared" si="11"/>
        <v>0.20131158680719602</v>
      </c>
      <c r="CR26" s="147">
        <f t="shared" si="11"/>
        <v>0.18261262060753281</v>
      </c>
      <c r="CS26" s="147">
        <f>AV64/SUM(AV$59:AV$64)</f>
        <v>0.15586670101593825</v>
      </c>
      <c r="CT26" s="147">
        <f t="shared" si="11"/>
        <v>0.1463927999500082</v>
      </c>
      <c r="CV26" s="148">
        <f t="shared" ca="1" si="5"/>
        <v>0</v>
      </c>
      <c r="CW26" s="148">
        <f t="shared" ca="1" si="6"/>
        <v>0</v>
      </c>
      <c r="CX26" s="148">
        <f t="shared" ca="1" si="7"/>
        <v>0</v>
      </c>
      <c r="DA26" s="148">
        <f t="shared" si="8"/>
        <v>0.1463927999500082</v>
      </c>
      <c r="DB26" s="148">
        <f>AVERAGE(CF26:CT26)</f>
        <v>0.19314489427971279</v>
      </c>
      <c r="DC26" s="148">
        <f t="shared" si="10"/>
        <v>0.24117145085288647</v>
      </c>
      <c r="DE26" s="399" t="s">
        <v>595</v>
      </c>
      <c r="DF26" s="146" t="s">
        <v>44</v>
      </c>
    </row>
    <row r="27" spans="1:114" ht="14.4">
      <c r="A27" s="138" t="s">
        <v>245</v>
      </c>
      <c r="B27" s="139" t="s">
        <v>51</v>
      </c>
      <c r="C27" s="140">
        <v>46508754</v>
      </c>
      <c r="D27" s="141">
        <v>70672171</v>
      </c>
      <c r="E27" s="141">
        <v>77962128</v>
      </c>
      <c r="F27" s="141">
        <v>100345169</v>
      </c>
      <c r="G27" s="141">
        <v>111538506</v>
      </c>
      <c r="H27" s="141">
        <v>135612977</v>
      </c>
      <c r="I27" s="141">
        <v>133331859</v>
      </c>
      <c r="J27" s="141">
        <v>138003152</v>
      </c>
      <c r="K27" s="141">
        <v>138527896</v>
      </c>
      <c r="L27" s="141">
        <v>129530664</v>
      </c>
      <c r="M27" s="141">
        <v>137341305</v>
      </c>
      <c r="N27" s="141">
        <v>135124150</v>
      </c>
      <c r="O27" s="141">
        <v>137599853</v>
      </c>
      <c r="P27" s="141">
        <v>153980000</v>
      </c>
      <c r="Q27" s="141">
        <v>118881497</v>
      </c>
      <c r="R27" s="141">
        <v>114484308</v>
      </c>
      <c r="S27" s="141">
        <v>109623166</v>
      </c>
      <c r="T27" s="141">
        <v>130082057</v>
      </c>
      <c r="U27" s="141">
        <v>140406069</v>
      </c>
      <c r="V27" s="141">
        <v>128874322</v>
      </c>
      <c r="W27" s="141">
        <v>146739328</v>
      </c>
      <c r="X27" s="141">
        <v>133717576</v>
      </c>
      <c r="Y27" s="141">
        <v>132849521</v>
      </c>
      <c r="Z27" s="141">
        <v>138086623</v>
      </c>
      <c r="AA27" s="141">
        <v>139834968</v>
      </c>
      <c r="AB27" s="141">
        <v>155723514</v>
      </c>
      <c r="AC27" s="141">
        <v>167090543</v>
      </c>
      <c r="AD27" s="141">
        <v>172825389</v>
      </c>
      <c r="AE27" s="141">
        <v>172798653</v>
      </c>
      <c r="AF27" s="141">
        <v>176978404</v>
      </c>
      <c r="AG27" s="141">
        <v>195090482</v>
      </c>
      <c r="AH27" s="141">
        <v>164214874</v>
      </c>
      <c r="AI27" s="141">
        <v>139764607</v>
      </c>
      <c r="AJ27" s="141">
        <v>120945572</v>
      </c>
      <c r="AK27" s="141">
        <v>128764241</v>
      </c>
      <c r="AL27" s="141">
        <v>131632485</v>
      </c>
      <c r="AM27" s="141">
        <v>125443163</v>
      </c>
      <c r="AN27" s="141">
        <v>137015010</v>
      </c>
      <c r="AO27" s="141">
        <v>133387879</v>
      </c>
      <c r="AP27" s="141">
        <v>124533548</v>
      </c>
      <c r="AQ27" s="141">
        <v>129089198</v>
      </c>
      <c r="AR27" s="141">
        <v>137627566</v>
      </c>
      <c r="AS27" s="141">
        <v>116362147</v>
      </c>
      <c r="AT27" s="141">
        <v>133128907</v>
      </c>
      <c r="AU27" s="141">
        <v>117131483</v>
      </c>
      <c r="AV27" s="141">
        <v>122018453</v>
      </c>
      <c r="AW27" s="142">
        <v>145640256</v>
      </c>
      <c r="AX27" s="145" t="s">
        <v>246</v>
      </c>
      <c r="AY27" s="149" t="s">
        <v>211</v>
      </c>
      <c r="AZ27" s="150">
        <f t="shared" ref="AZ27:CT27" si="12">C75</f>
        <v>0</v>
      </c>
      <c r="BA27" s="150">
        <f t="shared" si="12"/>
        <v>0</v>
      </c>
      <c r="BB27" s="150">
        <f t="shared" si="12"/>
        <v>0</v>
      </c>
      <c r="BC27" s="150">
        <f t="shared" si="12"/>
        <v>0</v>
      </c>
      <c r="BD27" s="150">
        <f t="shared" si="12"/>
        <v>0</v>
      </c>
      <c r="BE27" s="150">
        <f t="shared" si="12"/>
        <v>0</v>
      </c>
      <c r="BF27" s="150">
        <f t="shared" si="12"/>
        <v>0</v>
      </c>
      <c r="BG27" s="150">
        <f t="shared" si="12"/>
        <v>0</v>
      </c>
      <c r="BH27" s="150">
        <f t="shared" si="12"/>
        <v>-3457958</v>
      </c>
      <c r="BI27" s="150">
        <f t="shared" si="12"/>
        <v>-7614121</v>
      </c>
      <c r="BJ27" s="150">
        <f t="shared" si="12"/>
        <v>6238156</v>
      </c>
      <c r="BK27" s="150">
        <f t="shared" si="12"/>
        <v>-5426302</v>
      </c>
      <c r="BL27" s="150">
        <f t="shared" si="12"/>
        <v>-8224462</v>
      </c>
      <c r="BM27" s="150">
        <f t="shared" si="12"/>
        <v>-2400635</v>
      </c>
      <c r="BN27" s="150">
        <f t="shared" si="12"/>
        <v>23622270</v>
      </c>
      <c r="BO27" s="150">
        <f t="shared" si="12"/>
        <v>14693192</v>
      </c>
      <c r="BP27" s="150">
        <f t="shared" si="12"/>
        <v>33676426</v>
      </c>
      <c r="BQ27" s="150">
        <f t="shared" si="12"/>
        <v>27651458</v>
      </c>
      <c r="BR27" s="150">
        <f t="shared" si="12"/>
        <v>23113835</v>
      </c>
      <c r="BS27" s="150">
        <f t="shared" si="12"/>
        <v>17504277</v>
      </c>
      <c r="BT27" s="150">
        <f t="shared" si="12"/>
        <v>25215094</v>
      </c>
      <c r="BU27" s="150">
        <f t="shared" si="12"/>
        <v>26158943</v>
      </c>
      <c r="BV27" s="150">
        <f t="shared" si="12"/>
        <v>30378383</v>
      </c>
      <c r="BW27" s="150">
        <f t="shared" si="12"/>
        <v>34123962</v>
      </c>
      <c r="BX27" s="150">
        <f t="shared" si="12"/>
        <v>26874299</v>
      </c>
      <c r="BY27" s="150">
        <f t="shared" si="12"/>
        <v>16785219</v>
      </c>
      <c r="BZ27" s="150">
        <f t="shared" si="12"/>
        <v>7427491</v>
      </c>
      <c r="CA27" s="150">
        <f t="shared" si="12"/>
        <v>22531702</v>
      </c>
      <c r="CB27" s="150">
        <f t="shared" si="12"/>
        <v>11718613</v>
      </c>
      <c r="CC27" s="150">
        <f t="shared" si="12"/>
        <v>-2452088</v>
      </c>
      <c r="CD27" s="150">
        <f t="shared" si="12"/>
        <v>4375488</v>
      </c>
      <c r="CE27" s="150">
        <f t="shared" si="12"/>
        <v>3270427</v>
      </c>
      <c r="CF27" s="150">
        <f t="shared" si="12"/>
        <v>968768</v>
      </c>
      <c r="CG27" s="150">
        <f t="shared" si="12"/>
        <v>8817156</v>
      </c>
      <c r="CH27" s="150">
        <f t="shared" si="12"/>
        <v>5113752</v>
      </c>
      <c r="CI27" s="150">
        <f t="shared" si="12"/>
        <v>2322437</v>
      </c>
      <c r="CJ27" s="150">
        <f t="shared" si="12"/>
        <v>2161479</v>
      </c>
      <c r="CK27" s="150">
        <f t="shared" si="12"/>
        <v>1990228</v>
      </c>
      <c r="CL27" s="150">
        <f t="shared" si="12"/>
        <v>196701</v>
      </c>
      <c r="CM27" s="150">
        <f t="shared" si="12"/>
        <v>2357523</v>
      </c>
      <c r="CN27" s="150">
        <f t="shared" si="12"/>
        <v>3397029</v>
      </c>
      <c r="CO27" s="150">
        <f t="shared" si="12"/>
        <v>645244</v>
      </c>
      <c r="CP27" s="150">
        <f t="shared" si="12"/>
        <v>482422</v>
      </c>
      <c r="CQ27" s="150">
        <f t="shared" si="12"/>
        <v>1317982</v>
      </c>
      <c r="CR27" s="150">
        <f t="shared" si="12"/>
        <v>2073495</v>
      </c>
      <c r="CS27" s="150">
        <f t="shared" si="12"/>
        <v>2408184</v>
      </c>
      <c r="CT27" s="150">
        <f t="shared" si="12"/>
        <v>735379</v>
      </c>
      <c r="CV27" s="151">
        <f t="shared" ca="1" si="5"/>
        <v>0</v>
      </c>
      <c r="CW27" s="151">
        <f t="shared" ca="1" si="6"/>
        <v>0</v>
      </c>
      <c r="CX27" s="151">
        <f t="shared" ca="1" si="7"/>
        <v>0</v>
      </c>
      <c r="CY27" s="152"/>
      <c r="CZ27" s="152"/>
      <c r="DA27" s="151">
        <f t="shared" si="8"/>
        <v>196701</v>
      </c>
      <c r="DB27" s="151">
        <f>AVERAGE(CF27:CT27)</f>
        <v>2332518.6</v>
      </c>
      <c r="DC27" s="151">
        <f t="shared" si="10"/>
        <v>8817156</v>
      </c>
      <c r="DE27" s="399" t="s">
        <v>595</v>
      </c>
      <c r="DF27" s="149" t="s">
        <v>211</v>
      </c>
    </row>
    <row r="28" spans="1:114" ht="15" thickBot="1">
      <c r="A28" s="138" t="s">
        <v>245</v>
      </c>
      <c r="B28" s="139" t="s">
        <v>224</v>
      </c>
      <c r="C28" s="140">
        <v>84342480</v>
      </c>
      <c r="D28" s="141">
        <v>112867876</v>
      </c>
      <c r="E28" s="141">
        <v>124057479</v>
      </c>
      <c r="F28" s="141">
        <v>165326973</v>
      </c>
      <c r="G28" s="141">
        <v>200336396</v>
      </c>
      <c r="H28" s="141">
        <v>194158005</v>
      </c>
      <c r="I28" s="141">
        <v>172700908</v>
      </c>
      <c r="J28" s="141">
        <v>157002674</v>
      </c>
      <c r="K28" s="141">
        <v>139706833</v>
      </c>
      <c r="L28" s="141">
        <v>102796155</v>
      </c>
      <c r="M28" s="141">
        <v>101130053</v>
      </c>
      <c r="N28" s="141">
        <v>85997702</v>
      </c>
      <c r="O28" s="141">
        <v>91689012</v>
      </c>
      <c r="P28" s="141">
        <v>107035760</v>
      </c>
      <c r="Q28" s="141">
        <v>83413880</v>
      </c>
      <c r="R28" s="141">
        <v>70418006</v>
      </c>
      <c r="S28" s="141">
        <v>70912978</v>
      </c>
      <c r="T28" s="141">
        <v>83599526</v>
      </c>
      <c r="U28" s="141">
        <v>88399520</v>
      </c>
      <c r="V28" s="141">
        <v>80041127</v>
      </c>
      <c r="W28" s="141">
        <v>88123695</v>
      </c>
      <c r="X28" s="141">
        <v>90721741</v>
      </c>
      <c r="Y28" s="141">
        <v>100597737</v>
      </c>
      <c r="Z28" s="141">
        <v>100866496</v>
      </c>
      <c r="AA28" s="141">
        <v>88088136</v>
      </c>
      <c r="AB28" s="141">
        <v>83654407</v>
      </c>
      <c r="AC28" s="141">
        <v>86307546</v>
      </c>
      <c r="AD28" s="141">
        <v>94492449</v>
      </c>
      <c r="AE28" s="141">
        <v>92684234</v>
      </c>
      <c r="AF28" s="141">
        <v>86232588</v>
      </c>
      <c r="AG28" s="141">
        <v>79946929</v>
      </c>
      <c r="AH28" s="141">
        <v>57145892</v>
      </c>
      <c r="AI28" s="141">
        <v>62940143</v>
      </c>
      <c r="AJ28" s="141">
        <v>61055894</v>
      </c>
      <c r="AK28" s="141">
        <v>70166981</v>
      </c>
      <c r="AL28" s="141">
        <v>66968477</v>
      </c>
      <c r="AM28" s="141">
        <v>67380383</v>
      </c>
      <c r="AN28" s="141">
        <v>68359438</v>
      </c>
      <c r="AO28" s="141">
        <v>66264744</v>
      </c>
      <c r="AP28" s="141">
        <v>63704038</v>
      </c>
      <c r="AQ28" s="141">
        <v>62640431</v>
      </c>
      <c r="AR28" s="141">
        <v>57416743</v>
      </c>
      <c r="AS28" s="141">
        <v>78758521</v>
      </c>
      <c r="AT28" s="141">
        <v>63620014</v>
      </c>
      <c r="AU28" s="141">
        <v>55632005</v>
      </c>
      <c r="AV28" s="141">
        <v>48112486</v>
      </c>
      <c r="AW28" s="142">
        <v>50471365</v>
      </c>
      <c r="AX28" s="145" t="s">
        <v>142</v>
      </c>
      <c r="AY28" s="153" t="s">
        <v>93</v>
      </c>
      <c r="AZ28" s="154">
        <f>C74</f>
        <v>185997985</v>
      </c>
      <c r="BA28" s="154">
        <f t="shared" ref="BA28:CT28" si="13">D74</f>
        <v>273247012</v>
      </c>
      <c r="BB28" s="154">
        <f t="shared" si="13"/>
        <v>282278379</v>
      </c>
      <c r="BC28" s="154">
        <f t="shared" si="13"/>
        <v>382445493</v>
      </c>
      <c r="BD28" s="154">
        <f t="shared" si="13"/>
        <v>417950029</v>
      </c>
      <c r="BE28" s="154">
        <f t="shared" si="13"/>
        <v>426965749</v>
      </c>
      <c r="BF28" s="154">
        <f t="shared" si="13"/>
        <v>405622181</v>
      </c>
      <c r="BG28" s="154">
        <f t="shared" si="13"/>
        <v>419941430</v>
      </c>
      <c r="BH28" s="154">
        <f t="shared" si="13"/>
        <v>395445381</v>
      </c>
      <c r="BI28" s="154">
        <f t="shared" si="13"/>
        <v>334381256</v>
      </c>
      <c r="BJ28" s="154">
        <f t="shared" si="13"/>
        <v>326893057</v>
      </c>
      <c r="BK28" s="154">
        <f t="shared" si="13"/>
        <v>323173307</v>
      </c>
      <c r="BL28" s="154">
        <f t="shared" si="13"/>
        <v>334801625</v>
      </c>
      <c r="BM28" s="154">
        <f t="shared" si="13"/>
        <v>356687766</v>
      </c>
      <c r="BN28" s="154">
        <f t="shared" si="13"/>
        <v>271367717</v>
      </c>
      <c r="BO28" s="154">
        <f t="shared" si="13"/>
        <v>244655971</v>
      </c>
      <c r="BP28" s="154">
        <f t="shared" si="13"/>
        <v>219934312</v>
      </c>
      <c r="BQ28" s="154">
        <f t="shared" si="13"/>
        <v>266041514</v>
      </c>
      <c r="BR28" s="154">
        <f t="shared" si="13"/>
        <v>287567570</v>
      </c>
      <c r="BS28" s="154">
        <f t="shared" si="13"/>
        <v>279743964</v>
      </c>
      <c r="BT28" s="154">
        <f t="shared" si="13"/>
        <v>304432563</v>
      </c>
      <c r="BU28" s="154">
        <f t="shared" si="13"/>
        <v>296960845</v>
      </c>
      <c r="BV28" s="154">
        <f t="shared" si="13"/>
        <v>310890390</v>
      </c>
      <c r="BW28" s="154">
        <f t="shared" si="13"/>
        <v>323131975</v>
      </c>
      <c r="BX28" s="154">
        <f t="shared" si="13"/>
        <v>308682005</v>
      </c>
      <c r="BY28" s="154">
        <f t="shared" si="13"/>
        <v>331394770</v>
      </c>
      <c r="BZ28" s="154">
        <f t="shared" si="13"/>
        <v>355454908</v>
      </c>
      <c r="CA28" s="154">
        <f t="shared" si="13"/>
        <v>356795000</v>
      </c>
      <c r="CB28" s="154">
        <f t="shared" si="13"/>
        <v>365356400</v>
      </c>
      <c r="CC28" s="154">
        <f t="shared" si="13"/>
        <v>412022100</v>
      </c>
      <c r="CD28" s="154">
        <f t="shared" si="13"/>
        <v>448338000</v>
      </c>
      <c r="CE28" s="154">
        <f t="shared" si="13"/>
        <v>365090511</v>
      </c>
      <c r="CF28" s="154">
        <f t="shared" si="13"/>
        <v>340314599</v>
      </c>
      <c r="CG28" s="154">
        <f t="shared" si="13"/>
        <v>339203135</v>
      </c>
      <c r="CH28" s="154">
        <f t="shared" si="13"/>
        <v>346270013</v>
      </c>
      <c r="CI28" s="154">
        <f t="shared" si="13"/>
        <v>343914817</v>
      </c>
      <c r="CJ28" s="154">
        <f t="shared" si="13"/>
        <v>333095071</v>
      </c>
      <c r="CK28" s="154">
        <f t="shared" si="13"/>
        <v>352220912</v>
      </c>
      <c r="CL28" s="154">
        <f t="shared" si="13"/>
        <v>344651751</v>
      </c>
      <c r="CM28" s="154">
        <f t="shared" si="13"/>
        <v>332180848</v>
      </c>
      <c r="CN28" s="154">
        <f t="shared" si="13"/>
        <v>343530612</v>
      </c>
      <c r="CO28" s="154">
        <f t="shared" si="13"/>
        <v>333386568</v>
      </c>
      <c r="CP28" s="154">
        <f t="shared" si="13"/>
        <v>334639330</v>
      </c>
      <c r="CQ28" s="154">
        <f t="shared" si="13"/>
        <v>335634780</v>
      </c>
      <c r="CR28" s="154">
        <f t="shared" si="13"/>
        <v>314168191</v>
      </c>
      <c r="CS28" s="154">
        <f t="shared" si="13"/>
        <v>327286287</v>
      </c>
      <c r="CT28" s="154">
        <f t="shared" si="13"/>
        <v>362386542</v>
      </c>
      <c r="CV28" s="151">
        <f t="shared" ca="1" si="5"/>
        <v>0</v>
      </c>
      <c r="CW28" s="151">
        <f t="shared" ca="1" si="6"/>
        <v>0</v>
      </c>
      <c r="CX28" s="151">
        <f t="shared" ca="1" si="7"/>
        <v>0</v>
      </c>
      <c r="CY28" s="152"/>
      <c r="CZ28" s="152"/>
      <c r="DA28" s="151">
        <f t="shared" si="8"/>
        <v>314168191</v>
      </c>
      <c r="DB28" s="151">
        <f t="shared" si="9"/>
        <v>338858897.06666666</v>
      </c>
      <c r="DC28" s="151">
        <f t="shared" si="10"/>
        <v>362386542</v>
      </c>
      <c r="DE28" s="399" t="s">
        <v>595</v>
      </c>
      <c r="DF28" s="401" t="s">
        <v>93</v>
      </c>
    </row>
    <row r="29" spans="1:114" ht="14.4">
      <c r="A29" s="138" t="s">
        <v>245</v>
      </c>
      <c r="B29" s="139" t="s">
        <v>225</v>
      </c>
      <c r="C29" s="140">
        <v>0</v>
      </c>
      <c r="D29" s="141">
        <v>0</v>
      </c>
      <c r="E29" s="141">
        <v>0</v>
      </c>
      <c r="F29" s="141">
        <v>0</v>
      </c>
      <c r="G29" s="141">
        <v>0</v>
      </c>
      <c r="H29" s="141">
        <v>0</v>
      </c>
      <c r="I29" s="141">
        <v>0</v>
      </c>
      <c r="J29" s="141">
        <v>0</v>
      </c>
      <c r="K29" s="141">
        <v>0</v>
      </c>
      <c r="L29" s="141">
        <v>0</v>
      </c>
      <c r="M29" s="141">
        <v>0</v>
      </c>
      <c r="N29" s="141">
        <v>0</v>
      </c>
      <c r="O29" s="141">
        <v>0</v>
      </c>
      <c r="P29" s="141">
        <v>0</v>
      </c>
      <c r="Q29" s="141">
        <v>0</v>
      </c>
      <c r="R29" s="141">
        <v>0</v>
      </c>
      <c r="S29" s="141">
        <v>0</v>
      </c>
      <c r="T29" s="141">
        <v>0</v>
      </c>
      <c r="U29" s="141">
        <v>0</v>
      </c>
      <c r="V29" s="141">
        <v>0</v>
      </c>
      <c r="W29" s="141">
        <v>0</v>
      </c>
      <c r="X29" s="141">
        <v>0</v>
      </c>
      <c r="Y29" s="141">
        <v>0</v>
      </c>
      <c r="Z29" s="141">
        <v>0</v>
      </c>
      <c r="AA29" s="141">
        <v>0</v>
      </c>
      <c r="AB29" s="141">
        <v>0</v>
      </c>
      <c r="AC29" s="141">
        <v>0</v>
      </c>
      <c r="AD29" s="141">
        <v>0</v>
      </c>
      <c r="AE29" s="141">
        <v>0</v>
      </c>
      <c r="AF29" s="141">
        <v>0</v>
      </c>
      <c r="AG29" s="141">
        <v>0</v>
      </c>
      <c r="AH29" s="141">
        <v>0</v>
      </c>
      <c r="AI29" s="141">
        <v>0</v>
      </c>
      <c r="AJ29" s="141">
        <v>0</v>
      </c>
      <c r="AK29" s="141">
        <v>0</v>
      </c>
      <c r="AL29" s="141">
        <v>0</v>
      </c>
      <c r="AM29" s="141">
        <v>0</v>
      </c>
      <c r="AN29" s="141">
        <v>0</v>
      </c>
      <c r="AO29" s="141">
        <v>0</v>
      </c>
      <c r="AP29" s="141">
        <v>0</v>
      </c>
      <c r="AQ29" s="141">
        <v>0</v>
      </c>
      <c r="AR29" s="141">
        <v>0</v>
      </c>
      <c r="AS29" s="141">
        <v>0</v>
      </c>
      <c r="AT29" s="141">
        <v>0</v>
      </c>
      <c r="AU29" s="141">
        <v>0</v>
      </c>
      <c r="AV29" s="141">
        <v>0</v>
      </c>
      <c r="AW29" s="142">
        <v>0</v>
      </c>
      <c r="AX29" s="145" t="s">
        <v>247</v>
      </c>
      <c r="AY29" s="131" t="str">
        <f>B86</f>
        <v>Elec</v>
      </c>
      <c r="AZ29" s="131">
        <f t="shared" ref="AZ29:CT30" si="14">C86</f>
        <v>397650</v>
      </c>
      <c r="BA29" s="131">
        <f t="shared" si="14"/>
        <v>432699</v>
      </c>
      <c r="BB29" s="131">
        <f t="shared" si="14"/>
        <v>476143</v>
      </c>
      <c r="BC29" s="131">
        <f t="shared" si="14"/>
        <v>530132</v>
      </c>
      <c r="BD29" s="131">
        <f t="shared" si="14"/>
        <v>593411</v>
      </c>
      <c r="BE29" s="131">
        <f t="shared" si="14"/>
        <v>643437</v>
      </c>
      <c r="BF29" s="131">
        <f t="shared" si="14"/>
        <v>685084</v>
      </c>
      <c r="BG29" s="131">
        <f t="shared" si="14"/>
        <v>736411</v>
      </c>
      <c r="BH29" s="131">
        <f t="shared" si="14"/>
        <v>731086</v>
      </c>
      <c r="BI29" s="131">
        <f t="shared" si="14"/>
        <v>686570</v>
      </c>
      <c r="BJ29" s="131">
        <f t="shared" si="14"/>
        <v>613406</v>
      </c>
      <c r="BK29" s="131">
        <f t="shared" si="14"/>
        <v>594418</v>
      </c>
      <c r="BL29" s="131">
        <f t="shared" si="14"/>
        <v>639873</v>
      </c>
      <c r="BM29" s="131">
        <f t="shared" si="14"/>
        <v>625981</v>
      </c>
      <c r="BN29" s="131">
        <f t="shared" si="14"/>
        <v>647706</v>
      </c>
      <c r="BO29" s="131">
        <f t="shared" si="14"/>
        <v>763354</v>
      </c>
      <c r="BP29" s="131">
        <f t="shared" si="14"/>
        <v>759288</v>
      </c>
      <c r="BQ29" s="131">
        <f t="shared" si="14"/>
        <v>783722</v>
      </c>
      <c r="BR29" s="131">
        <f t="shared" si="14"/>
        <v>785727</v>
      </c>
      <c r="BS29" s="131">
        <f t="shared" si="14"/>
        <v>767902</v>
      </c>
      <c r="BT29" s="131">
        <f t="shared" si="14"/>
        <v>911578</v>
      </c>
      <c r="BU29" s="131">
        <f t="shared" si="14"/>
        <v>909734</v>
      </c>
      <c r="BV29" s="131">
        <f t="shared" si="14"/>
        <v>857186</v>
      </c>
      <c r="BW29" s="131">
        <f t="shared" si="14"/>
        <v>844713</v>
      </c>
      <c r="BX29" s="131">
        <f t="shared" si="14"/>
        <v>891592</v>
      </c>
      <c r="BY29" s="131">
        <f t="shared" si="14"/>
        <v>1096782</v>
      </c>
      <c r="BZ29" s="131">
        <f t="shared" si="14"/>
        <v>1163069</v>
      </c>
      <c r="CA29" s="131">
        <f t="shared" si="14"/>
        <v>1103643</v>
      </c>
      <c r="CB29" s="131">
        <f t="shared" si="14"/>
        <v>1200480</v>
      </c>
      <c r="CC29" s="131">
        <f t="shared" si="14"/>
        <v>1178367</v>
      </c>
      <c r="CD29" s="131">
        <f t="shared" si="14"/>
        <v>1231778</v>
      </c>
      <c r="CE29" s="131">
        <f t="shared" si="14"/>
        <v>1027529</v>
      </c>
      <c r="CF29" s="131">
        <f t="shared" si="14"/>
        <v>905799</v>
      </c>
      <c r="CG29" s="131">
        <f t="shared" si="14"/>
        <v>977882</v>
      </c>
      <c r="CH29" s="131">
        <f t="shared" si="14"/>
        <v>756137</v>
      </c>
      <c r="CI29" s="131">
        <f t="shared" si="14"/>
        <v>555652</v>
      </c>
      <c r="CJ29" s="131">
        <f t="shared" si="14"/>
        <v>565485</v>
      </c>
      <c r="CK29" s="131">
        <f t="shared" si="14"/>
        <v>904276</v>
      </c>
      <c r="CL29" s="131">
        <f t="shared" si="14"/>
        <v>922446</v>
      </c>
      <c r="CM29" s="131">
        <f t="shared" si="14"/>
        <v>644273</v>
      </c>
      <c r="CN29" s="131">
        <f t="shared" si="14"/>
        <v>781406</v>
      </c>
      <c r="CO29" s="131">
        <f t="shared" si="14"/>
        <v>1101084</v>
      </c>
      <c r="CP29" s="131">
        <f t="shared" si="14"/>
        <v>1285842</v>
      </c>
      <c r="CQ29" s="131">
        <f t="shared" si="14"/>
        <v>1153932</v>
      </c>
      <c r="CR29" s="155">
        <f t="shared" si="14"/>
        <v>1169936</v>
      </c>
      <c r="CS29" s="131">
        <f t="shared" si="14"/>
        <v>1056349</v>
      </c>
      <c r="CT29" s="155">
        <f t="shared" si="14"/>
        <v>1074112</v>
      </c>
      <c r="CV29" s="119" t="s">
        <v>140</v>
      </c>
      <c r="CW29" s="119" t="s">
        <v>138</v>
      </c>
      <c r="DA29" s="119" t="s">
        <v>140</v>
      </c>
      <c r="DB29" s="119" t="s">
        <v>138</v>
      </c>
    </row>
    <row r="30" spans="1:114" ht="14.4">
      <c r="A30" s="138" t="s">
        <v>245</v>
      </c>
      <c r="B30" s="139" t="s">
        <v>226</v>
      </c>
      <c r="C30" s="140">
        <v>0</v>
      </c>
      <c r="D30" s="141">
        <v>0</v>
      </c>
      <c r="E30" s="141">
        <v>0</v>
      </c>
      <c r="F30" s="141">
        <v>0</v>
      </c>
      <c r="G30" s="141">
        <v>0</v>
      </c>
      <c r="H30" s="141">
        <v>0</v>
      </c>
      <c r="I30" s="141">
        <v>0</v>
      </c>
      <c r="J30" s="141">
        <v>0</v>
      </c>
      <c r="K30" s="141">
        <v>0</v>
      </c>
      <c r="L30" s="141">
        <v>0</v>
      </c>
      <c r="M30" s="141">
        <v>0</v>
      </c>
      <c r="N30" s="141">
        <v>0</v>
      </c>
      <c r="O30" s="141">
        <v>0</v>
      </c>
      <c r="P30" s="141">
        <v>0</v>
      </c>
      <c r="Q30" s="141">
        <v>0</v>
      </c>
      <c r="R30" s="141">
        <v>0</v>
      </c>
      <c r="S30" s="141">
        <v>0</v>
      </c>
      <c r="T30" s="141">
        <v>0</v>
      </c>
      <c r="U30" s="141">
        <v>0</v>
      </c>
      <c r="V30" s="141">
        <v>0</v>
      </c>
      <c r="W30" s="141">
        <v>0</v>
      </c>
      <c r="X30" s="141">
        <v>0</v>
      </c>
      <c r="Y30" s="141">
        <v>0</v>
      </c>
      <c r="Z30" s="141">
        <v>0</v>
      </c>
      <c r="AA30" s="141">
        <v>0</v>
      </c>
      <c r="AB30" s="141">
        <v>0</v>
      </c>
      <c r="AC30" s="141">
        <v>0</v>
      </c>
      <c r="AD30" s="141">
        <v>0</v>
      </c>
      <c r="AE30" s="141">
        <v>0</v>
      </c>
      <c r="AF30" s="141">
        <v>0</v>
      </c>
      <c r="AG30" s="141">
        <v>0</v>
      </c>
      <c r="AH30" s="141">
        <v>0</v>
      </c>
      <c r="AI30" s="141">
        <v>0</v>
      </c>
      <c r="AJ30" s="141">
        <v>0</v>
      </c>
      <c r="AK30" s="141">
        <v>0</v>
      </c>
      <c r="AL30" s="141">
        <v>940000</v>
      </c>
      <c r="AM30" s="141">
        <v>1504000</v>
      </c>
      <c r="AN30" s="141">
        <v>1692000</v>
      </c>
      <c r="AO30" s="141">
        <v>2444000</v>
      </c>
      <c r="AP30" s="141">
        <v>2632000</v>
      </c>
      <c r="AQ30" s="141">
        <v>2632000</v>
      </c>
      <c r="AR30" s="141">
        <v>2636775</v>
      </c>
      <c r="AS30" s="141">
        <v>3712650</v>
      </c>
      <c r="AT30" s="141">
        <v>3267638</v>
      </c>
      <c r="AU30" s="141">
        <v>2875125</v>
      </c>
      <c r="AV30" s="141">
        <v>3195313</v>
      </c>
      <c r="AW30" s="142">
        <v>3831351</v>
      </c>
      <c r="AX30" s="145" t="s">
        <v>248</v>
      </c>
      <c r="AY30" s="131" t="str">
        <f>B87</f>
        <v>DistHeat</v>
      </c>
      <c r="AZ30" s="131">
        <f t="shared" si="14"/>
        <v>2278</v>
      </c>
      <c r="BA30" s="131">
        <f t="shared" si="14"/>
        <v>2479</v>
      </c>
      <c r="BB30" s="131">
        <f t="shared" si="14"/>
        <v>3063</v>
      </c>
      <c r="BC30" s="131">
        <f t="shared" si="14"/>
        <v>4198</v>
      </c>
      <c r="BD30" s="131">
        <f t="shared" si="14"/>
        <v>4495</v>
      </c>
      <c r="BE30" s="131">
        <f t="shared" si="14"/>
        <v>4899</v>
      </c>
      <c r="BF30" s="131">
        <f t="shared" si="14"/>
        <v>5362</v>
      </c>
      <c r="BG30" s="131">
        <f t="shared" si="14"/>
        <v>5639</v>
      </c>
      <c r="BH30" s="131">
        <f t="shared" si="14"/>
        <v>5838</v>
      </c>
      <c r="BI30" s="131">
        <f t="shared" si="14"/>
        <v>5961</v>
      </c>
      <c r="BJ30" s="131">
        <f t="shared" si="14"/>
        <v>5173</v>
      </c>
      <c r="BK30" s="131">
        <f t="shared" si="14"/>
        <v>5701</v>
      </c>
      <c r="BL30" s="131">
        <f t="shared" si="14"/>
        <v>5536</v>
      </c>
      <c r="BM30" s="131">
        <f t="shared" si="14"/>
        <v>5388</v>
      </c>
      <c r="BN30" s="131">
        <f t="shared" si="14"/>
        <v>0</v>
      </c>
      <c r="BO30" s="131">
        <f t="shared" si="14"/>
        <v>0</v>
      </c>
      <c r="BP30" s="131">
        <f t="shared" si="14"/>
        <v>294559</v>
      </c>
      <c r="BQ30" s="131">
        <f t="shared" si="14"/>
        <v>446939</v>
      </c>
      <c r="BR30" s="131">
        <f t="shared" si="14"/>
        <v>459885</v>
      </c>
      <c r="BS30" s="131">
        <f t="shared" si="14"/>
        <v>439145</v>
      </c>
      <c r="BT30" s="131">
        <f t="shared" si="14"/>
        <v>335697</v>
      </c>
      <c r="BU30" s="131">
        <f t="shared" si="14"/>
        <v>362024</v>
      </c>
      <c r="BV30" s="131">
        <f t="shared" si="14"/>
        <v>405850</v>
      </c>
      <c r="BW30" s="131">
        <f t="shared" si="14"/>
        <v>416804</v>
      </c>
      <c r="BX30" s="131">
        <f t="shared" si="14"/>
        <v>427758</v>
      </c>
      <c r="BY30" s="131">
        <f t="shared" si="14"/>
        <v>387197</v>
      </c>
      <c r="BZ30" s="131">
        <f t="shared" si="14"/>
        <v>346636</v>
      </c>
      <c r="CA30" s="131">
        <f t="shared" si="14"/>
        <v>306075</v>
      </c>
      <c r="CB30" s="131">
        <f t="shared" si="14"/>
        <v>351620</v>
      </c>
      <c r="CC30" s="131">
        <f t="shared" si="14"/>
        <v>380457</v>
      </c>
      <c r="CD30" s="131">
        <f t="shared" si="14"/>
        <v>318666</v>
      </c>
      <c r="CE30" s="131">
        <f t="shared" si="14"/>
        <v>256816</v>
      </c>
      <c r="CF30" s="131">
        <f t="shared" si="14"/>
        <v>222847</v>
      </c>
      <c r="CG30" s="131">
        <f t="shared" si="14"/>
        <v>299190</v>
      </c>
      <c r="CH30" s="131">
        <f t="shared" si="14"/>
        <v>275371</v>
      </c>
      <c r="CI30" s="131">
        <f t="shared" si="14"/>
        <v>252295</v>
      </c>
      <c r="CJ30" s="131">
        <f t="shared" si="14"/>
        <v>252295</v>
      </c>
      <c r="CK30" s="131">
        <f t="shared" si="14"/>
        <v>260862</v>
      </c>
      <c r="CL30" s="131">
        <f t="shared" si="14"/>
        <v>247819</v>
      </c>
      <c r="CM30" s="131">
        <f t="shared" si="14"/>
        <v>354806</v>
      </c>
      <c r="CN30" s="131">
        <f t="shared" si="14"/>
        <v>367693</v>
      </c>
      <c r="CO30" s="131">
        <f t="shared" si="14"/>
        <v>404977</v>
      </c>
      <c r="CP30" s="131">
        <f t="shared" si="14"/>
        <v>585757</v>
      </c>
      <c r="CQ30" s="131">
        <f t="shared" si="14"/>
        <v>585699</v>
      </c>
      <c r="CR30" s="155">
        <f t="shared" si="14"/>
        <v>583942</v>
      </c>
      <c r="CS30" s="131">
        <f t="shared" si="14"/>
        <v>558832</v>
      </c>
      <c r="CT30" s="131">
        <f t="shared" si="14"/>
        <v>558832</v>
      </c>
      <c r="CV30" s="156">
        <f>MAX(CT33:DE33)</f>
        <v>340791856</v>
      </c>
      <c r="CW30" s="156">
        <f>MIN(CT33:DE33)</f>
        <v>0.9210920147181878</v>
      </c>
      <c r="DA30" s="156">
        <f>MAX(CF33:CT33)</f>
        <v>340791856</v>
      </c>
      <c r="DB30" s="156">
        <f>MIN(CF33:CT33)</f>
        <v>302151318</v>
      </c>
    </row>
    <row r="31" spans="1:114" ht="14.4">
      <c r="A31" s="138" t="s">
        <v>245</v>
      </c>
      <c r="B31" s="139" t="s">
        <v>70</v>
      </c>
      <c r="C31" s="140">
        <v>0</v>
      </c>
      <c r="D31" s="141">
        <v>0</v>
      </c>
      <c r="E31" s="141">
        <v>0</v>
      </c>
      <c r="F31" s="141">
        <v>0</v>
      </c>
      <c r="G31" s="141">
        <v>0</v>
      </c>
      <c r="H31" s="141">
        <v>0</v>
      </c>
      <c r="I31" s="141">
        <v>0</v>
      </c>
      <c r="J31" s="141">
        <v>0</v>
      </c>
      <c r="K31" s="141">
        <v>0</v>
      </c>
      <c r="L31" s="141">
        <v>0</v>
      </c>
      <c r="M31" s="141">
        <v>0</v>
      </c>
      <c r="N31" s="141">
        <v>0</v>
      </c>
      <c r="O31" s="141">
        <v>0</v>
      </c>
      <c r="P31" s="141">
        <v>0</v>
      </c>
      <c r="Q31" s="141">
        <v>0</v>
      </c>
      <c r="R31" s="141">
        <v>0</v>
      </c>
      <c r="S31" s="141">
        <v>0</v>
      </c>
      <c r="T31" s="141">
        <v>0</v>
      </c>
      <c r="U31" s="141">
        <v>0</v>
      </c>
      <c r="V31" s="141">
        <v>0</v>
      </c>
      <c r="W31" s="141">
        <v>0</v>
      </c>
      <c r="X31" s="141">
        <v>0</v>
      </c>
      <c r="Y31" s="141">
        <v>0</v>
      </c>
      <c r="Z31" s="141">
        <v>0</v>
      </c>
      <c r="AA31" s="141">
        <v>0</v>
      </c>
      <c r="AB31" s="141">
        <v>0</v>
      </c>
      <c r="AC31" s="141">
        <v>0</v>
      </c>
      <c r="AD31" s="141">
        <v>0</v>
      </c>
      <c r="AE31" s="141">
        <v>0</v>
      </c>
      <c r="AF31" s="141">
        <v>0</v>
      </c>
      <c r="AG31" s="141">
        <v>0</v>
      </c>
      <c r="AH31" s="141">
        <v>0</v>
      </c>
      <c r="AI31" s="141">
        <v>0</v>
      </c>
      <c r="AJ31" s="141">
        <v>0</v>
      </c>
      <c r="AK31" s="141">
        <v>0</v>
      </c>
      <c r="AL31" s="141">
        <v>0</v>
      </c>
      <c r="AM31" s="141">
        <v>0</v>
      </c>
      <c r="AN31" s="141">
        <v>0</v>
      </c>
      <c r="AO31" s="141">
        <v>0</v>
      </c>
      <c r="AP31" s="141">
        <v>0</v>
      </c>
      <c r="AQ31" s="141">
        <v>0</v>
      </c>
      <c r="AR31" s="141">
        <v>0</v>
      </c>
      <c r="AS31" s="141">
        <v>0</v>
      </c>
      <c r="AT31" s="141">
        <v>0</v>
      </c>
      <c r="AU31" s="141">
        <v>0</v>
      </c>
      <c r="AV31" s="141">
        <v>0</v>
      </c>
      <c r="AW31" s="142">
        <v>0</v>
      </c>
    </row>
    <row r="32" spans="1:114" ht="14.4">
      <c r="A32" s="138" t="s">
        <v>245</v>
      </c>
      <c r="B32" s="139" t="s">
        <v>227</v>
      </c>
      <c r="C32" s="140">
        <v>0</v>
      </c>
      <c r="D32" s="141">
        <v>0</v>
      </c>
      <c r="E32" s="141">
        <v>0</v>
      </c>
      <c r="F32" s="141">
        <v>0</v>
      </c>
      <c r="G32" s="141">
        <v>0</v>
      </c>
      <c r="H32" s="141">
        <v>0</v>
      </c>
      <c r="I32" s="141">
        <v>0</v>
      </c>
      <c r="J32" s="141">
        <v>0</v>
      </c>
      <c r="K32" s="141">
        <v>0</v>
      </c>
      <c r="L32" s="141">
        <v>0</v>
      </c>
      <c r="M32" s="141">
        <v>0</v>
      </c>
      <c r="N32" s="141">
        <v>0</v>
      </c>
      <c r="O32" s="141">
        <v>0</v>
      </c>
      <c r="P32" s="141">
        <v>0</v>
      </c>
      <c r="Q32" s="141">
        <v>0</v>
      </c>
      <c r="R32" s="141">
        <v>0</v>
      </c>
      <c r="S32" s="141">
        <v>0</v>
      </c>
      <c r="T32" s="141">
        <v>0</v>
      </c>
      <c r="U32" s="141">
        <v>0</v>
      </c>
      <c r="V32" s="141">
        <v>0</v>
      </c>
      <c r="W32" s="141">
        <v>0</v>
      </c>
      <c r="X32" s="141">
        <v>0</v>
      </c>
      <c r="Y32" s="141">
        <v>0</v>
      </c>
      <c r="Z32" s="141">
        <v>0</v>
      </c>
      <c r="AA32" s="141">
        <v>0</v>
      </c>
      <c r="AB32" s="141">
        <v>0</v>
      </c>
      <c r="AC32" s="141">
        <v>0</v>
      </c>
      <c r="AD32" s="141">
        <v>0</v>
      </c>
      <c r="AE32" s="141">
        <v>0</v>
      </c>
      <c r="AF32" s="141">
        <v>0</v>
      </c>
      <c r="AG32" s="141">
        <v>0</v>
      </c>
      <c r="AH32" s="141">
        <v>0</v>
      </c>
      <c r="AI32" s="141">
        <v>0</v>
      </c>
      <c r="AJ32" s="141">
        <v>0</v>
      </c>
      <c r="AK32" s="141">
        <v>0</v>
      </c>
      <c r="AL32" s="141">
        <v>0</v>
      </c>
      <c r="AM32" s="141">
        <v>0</v>
      </c>
      <c r="AN32" s="141">
        <v>0</v>
      </c>
      <c r="AO32" s="141">
        <v>0</v>
      </c>
      <c r="AP32" s="141">
        <v>0</v>
      </c>
      <c r="AQ32" s="141">
        <v>0</v>
      </c>
      <c r="AR32" s="141">
        <v>0</v>
      </c>
      <c r="AS32" s="141">
        <v>0</v>
      </c>
      <c r="AT32" s="141">
        <v>0</v>
      </c>
      <c r="AU32" s="141">
        <v>0</v>
      </c>
      <c r="AV32" s="141">
        <v>0</v>
      </c>
      <c r="AW32" s="142">
        <v>0</v>
      </c>
      <c r="AY32" s="119" t="s">
        <v>249</v>
      </c>
      <c r="AZ32" s="157" t="e">
        <f>DE27+DE28</f>
        <v>#VALUE!</v>
      </c>
      <c r="BA32" s="157">
        <f t="shared" ref="BA32:CT32" si="15">BA27+BA28</f>
        <v>273247012</v>
      </c>
      <c r="BB32" s="157">
        <f t="shared" si="15"/>
        <v>282278379</v>
      </c>
      <c r="BC32" s="157">
        <f t="shared" si="15"/>
        <v>382445493</v>
      </c>
      <c r="BD32" s="157">
        <f t="shared" si="15"/>
        <v>417950029</v>
      </c>
      <c r="BE32" s="157">
        <f t="shared" si="15"/>
        <v>426965749</v>
      </c>
      <c r="BF32" s="157">
        <f t="shared" si="15"/>
        <v>405622181</v>
      </c>
      <c r="BG32" s="157">
        <f t="shared" si="15"/>
        <v>419941430</v>
      </c>
      <c r="BH32" s="157">
        <f t="shared" si="15"/>
        <v>391987423</v>
      </c>
      <c r="BI32" s="157">
        <f t="shared" si="15"/>
        <v>326767135</v>
      </c>
      <c r="BJ32" s="157">
        <f t="shared" si="15"/>
        <v>333131213</v>
      </c>
      <c r="BK32" s="157">
        <f t="shared" si="15"/>
        <v>317747005</v>
      </c>
      <c r="BL32" s="157">
        <f t="shared" si="15"/>
        <v>326577163</v>
      </c>
      <c r="BM32" s="157">
        <f t="shared" si="15"/>
        <v>354287131</v>
      </c>
      <c r="BN32" s="157">
        <f t="shared" si="15"/>
        <v>294989987</v>
      </c>
      <c r="BO32" s="157">
        <f t="shared" si="15"/>
        <v>259349163</v>
      </c>
      <c r="BP32" s="157">
        <f t="shared" si="15"/>
        <v>253610738</v>
      </c>
      <c r="BQ32" s="157">
        <f t="shared" si="15"/>
        <v>293692972</v>
      </c>
      <c r="BR32" s="157">
        <f t="shared" si="15"/>
        <v>310681405</v>
      </c>
      <c r="BS32" s="157">
        <f t="shared" si="15"/>
        <v>297248241</v>
      </c>
      <c r="BT32" s="157">
        <f t="shared" si="15"/>
        <v>329647657</v>
      </c>
      <c r="BU32" s="157">
        <f t="shared" si="15"/>
        <v>323119788</v>
      </c>
      <c r="BV32" s="157">
        <f t="shared" si="15"/>
        <v>341268773</v>
      </c>
      <c r="BW32" s="157">
        <f t="shared" si="15"/>
        <v>357255937</v>
      </c>
      <c r="BX32" s="157">
        <f t="shared" si="15"/>
        <v>335556304</v>
      </c>
      <c r="BY32" s="157">
        <f t="shared" si="15"/>
        <v>348179989</v>
      </c>
      <c r="BZ32" s="157">
        <f t="shared" si="15"/>
        <v>362882399</v>
      </c>
      <c r="CA32" s="157">
        <f t="shared" si="15"/>
        <v>379326702</v>
      </c>
      <c r="CB32" s="157">
        <f t="shared" si="15"/>
        <v>377075013</v>
      </c>
      <c r="CC32" s="157">
        <f t="shared" si="15"/>
        <v>409570012</v>
      </c>
      <c r="CD32" s="157">
        <f t="shared" si="15"/>
        <v>452713488</v>
      </c>
      <c r="CE32" s="157">
        <f t="shared" si="15"/>
        <v>368360938</v>
      </c>
      <c r="CF32" s="157">
        <f t="shared" si="15"/>
        <v>341283367</v>
      </c>
      <c r="CG32" s="157">
        <f t="shared" si="15"/>
        <v>348020291</v>
      </c>
      <c r="CH32" s="157">
        <f t="shared" si="15"/>
        <v>351383765</v>
      </c>
      <c r="CI32" s="157">
        <f t="shared" si="15"/>
        <v>346237254</v>
      </c>
      <c r="CJ32" s="157">
        <f t="shared" si="15"/>
        <v>335256550</v>
      </c>
      <c r="CK32" s="157">
        <f t="shared" si="15"/>
        <v>354211140</v>
      </c>
      <c r="CL32" s="157">
        <f t="shared" si="15"/>
        <v>344848452</v>
      </c>
      <c r="CM32" s="157">
        <f t="shared" si="15"/>
        <v>334538371</v>
      </c>
      <c r="CN32" s="157">
        <f t="shared" si="15"/>
        <v>346927641</v>
      </c>
      <c r="CO32" s="157">
        <f t="shared" si="15"/>
        <v>334031812</v>
      </c>
      <c r="CP32" s="157">
        <f t="shared" si="15"/>
        <v>335121752</v>
      </c>
      <c r="CQ32" s="157">
        <f t="shared" si="15"/>
        <v>336952762</v>
      </c>
      <c r="CR32" s="157">
        <f t="shared" si="15"/>
        <v>316241686</v>
      </c>
      <c r="CS32" s="157">
        <f t="shared" si="15"/>
        <v>329694471</v>
      </c>
      <c r="CT32" s="157">
        <f t="shared" si="15"/>
        <v>363121921</v>
      </c>
      <c r="CV32" s="143" t="s">
        <v>138</v>
      </c>
      <c r="CW32" s="143" t="s">
        <v>139</v>
      </c>
      <c r="CX32" s="143" t="s">
        <v>140</v>
      </c>
      <c r="CZ32" s="143" t="s">
        <v>141</v>
      </c>
      <c r="DA32" s="143" t="s">
        <v>138</v>
      </c>
      <c r="DB32" s="143" t="s">
        <v>139</v>
      </c>
      <c r="DC32" s="143" t="s">
        <v>140</v>
      </c>
    </row>
    <row r="33" spans="1:107" ht="15" thickBot="1">
      <c r="A33" s="158" t="s">
        <v>245</v>
      </c>
      <c r="B33" s="159" t="s">
        <v>228</v>
      </c>
      <c r="C33" s="160">
        <v>0</v>
      </c>
      <c r="D33" s="161">
        <v>0</v>
      </c>
      <c r="E33" s="161">
        <v>0</v>
      </c>
      <c r="F33" s="161">
        <v>0</v>
      </c>
      <c r="G33" s="161">
        <v>0</v>
      </c>
      <c r="H33" s="161">
        <v>0</v>
      </c>
      <c r="I33" s="161">
        <v>0</v>
      </c>
      <c r="J33" s="161">
        <v>0</v>
      </c>
      <c r="K33" s="161">
        <v>0</v>
      </c>
      <c r="L33" s="161">
        <v>0</v>
      </c>
      <c r="M33" s="161">
        <v>0</v>
      </c>
      <c r="N33" s="161">
        <v>0</v>
      </c>
      <c r="O33" s="161">
        <v>0</v>
      </c>
      <c r="P33" s="161">
        <v>0</v>
      </c>
      <c r="Q33" s="161">
        <v>0</v>
      </c>
      <c r="R33" s="161">
        <v>0</v>
      </c>
      <c r="S33" s="161">
        <v>0</v>
      </c>
      <c r="T33" s="161">
        <v>0</v>
      </c>
      <c r="U33" s="161">
        <v>0</v>
      </c>
      <c r="V33" s="161">
        <v>0</v>
      </c>
      <c r="W33" s="161">
        <v>0</v>
      </c>
      <c r="X33" s="161">
        <v>0</v>
      </c>
      <c r="Y33" s="161">
        <v>0</v>
      </c>
      <c r="Z33" s="161">
        <v>0</v>
      </c>
      <c r="AA33" s="161">
        <v>0</v>
      </c>
      <c r="AB33" s="161">
        <v>0</v>
      </c>
      <c r="AC33" s="161">
        <v>0</v>
      </c>
      <c r="AD33" s="161">
        <v>0</v>
      </c>
      <c r="AE33" s="161">
        <v>0</v>
      </c>
      <c r="AF33" s="161">
        <v>0</v>
      </c>
      <c r="AG33" s="161">
        <v>0</v>
      </c>
      <c r="AH33" s="161">
        <v>0</v>
      </c>
      <c r="AI33" s="161">
        <v>0</v>
      </c>
      <c r="AJ33" s="161">
        <v>0</v>
      </c>
      <c r="AK33" s="161">
        <v>0</v>
      </c>
      <c r="AL33" s="161">
        <v>0</v>
      </c>
      <c r="AM33" s="161">
        <v>0</v>
      </c>
      <c r="AN33" s="161">
        <v>0</v>
      </c>
      <c r="AO33" s="161">
        <v>0</v>
      </c>
      <c r="AP33" s="161">
        <v>0</v>
      </c>
      <c r="AQ33" s="161">
        <v>0</v>
      </c>
      <c r="AR33" s="161">
        <v>0</v>
      </c>
      <c r="AS33" s="161">
        <v>0</v>
      </c>
      <c r="AT33" s="161">
        <v>0</v>
      </c>
      <c r="AU33" s="161">
        <v>0</v>
      </c>
      <c r="AV33" s="161">
        <v>0</v>
      </c>
      <c r="AW33" s="162">
        <v>0</v>
      </c>
      <c r="AY33" s="163" t="s">
        <v>250</v>
      </c>
      <c r="AZ33" s="164" t="e">
        <f>DE27+DE28</f>
        <v>#VALUE!</v>
      </c>
      <c r="BA33" s="164">
        <f t="shared" ref="BA33:CT33" si="16">SUM(D59:D64)</f>
        <v>251704793</v>
      </c>
      <c r="BB33" s="164">
        <f t="shared" si="16"/>
        <v>270770737</v>
      </c>
      <c r="BC33" s="164">
        <f t="shared" si="16"/>
        <v>347728216</v>
      </c>
      <c r="BD33" s="164">
        <f t="shared" si="16"/>
        <v>392284484</v>
      </c>
      <c r="BE33" s="164">
        <f t="shared" si="16"/>
        <v>414106598</v>
      </c>
      <c r="BF33" s="164">
        <f t="shared" si="16"/>
        <v>386088505</v>
      </c>
      <c r="BG33" s="164">
        <f t="shared" si="16"/>
        <v>374912096</v>
      </c>
      <c r="BH33" s="164">
        <f t="shared" si="16"/>
        <v>356999977</v>
      </c>
      <c r="BI33" s="164">
        <f t="shared" si="16"/>
        <v>302623605</v>
      </c>
      <c r="BJ33" s="164">
        <f t="shared" si="16"/>
        <v>310196442</v>
      </c>
      <c r="BK33" s="164">
        <f t="shared" si="16"/>
        <v>293976743</v>
      </c>
      <c r="BL33" s="164">
        <f t="shared" si="16"/>
        <v>304826194</v>
      </c>
      <c r="BM33" s="164">
        <f t="shared" si="16"/>
        <v>332678230</v>
      </c>
      <c r="BN33" s="164">
        <f t="shared" si="16"/>
        <v>261820013</v>
      </c>
      <c r="BO33" s="164">
        <f t="shared" si="16"/>
        <v>238158890</v>
      </c>
      <c r="BP33" s="164">
        <f t="shared" si="16"/>
        <v>232599796</v>
      </c>
      <c r="BQ33" s="164">
        <f t="shared" si="16"/>
        <v>275037824</v>
      </c>
      <c r="BR33" s="164">
        <f t="shared" si="16"/>
        <v>297015617</v>
      </c>
      <c r="BS33" s="164">
        <f t="shared" si="16"/>
        <v>279242244</v>
      </c>
      <c r="BT33" s="164">
        <f t="shared" si="16"/>
        <v>309649584</v>
      </c>
      <c r="BU33" s="164">
        <f t="shared" si="16"/>
        <v>307560234</v>
      </c>
      <c r="BV33" s="164">
        <f t="shared" si="16"/>
        <v>322832798</v>
      </c>
      <c r="BW33" s="164">
        <f t="shared" si="16"/>
        <v>334999471</v>
      </c>
      <c r="BX33" s="164">
        <f t="shared" si="16"/>
        <v>316500954</v>
      </c>
      <c r="BY33" s="164">
        <f t="shared" si="16"/>
        <v>328512311</v>
      </c>
      <c r="BZ33" s="164">
        <f t="shared" si="16"/>
        <v>339605897</v>
      </c>
      <c r="CA33" s="164">
        <f t="shared" si="16"/>
        <v>350047040</v>
      </c>
      <c r="CB33" s="164">
        <f t="shared" si="16"/>
        <v>357715341</v>
      </c>
      <c r="CC33" s="164">
        <f t="shared" si="16"/>
        <v>386056663</v>
      </c>
      <c r="CD33" s="164">
        <f t="shared" si="16"/>
        <v>435531962</v>
      </c>
      <c r="CE33" s="164">
        <f t="shared" si="16"/>
        <v>352173199</v>
      </c>
      <c r="CF33" s="164">
        <f t="shared" si="16"/>
        <v>320671170</v>
      </c>
      <c r="CG33" s="164">
        <f t="shared" si="16"/>
        <v>320558711</v>
      </c>
      <c r="CH33" s="164">
        <f t="shared" si="16"/>
        <v>330749792</v>
      </c>
      <c r="CI33" s="164">
        <f t="shared" si="16"/>
        <v>330676682</v>
      </c>
      <c r="CJ33" s="164">
        <f t="shared" si="16"/>
        <v>316421486</v>
      </c>
      <c r="CK33" s="164">
        <f t="shared" si="16"/>
        <v>331533505</v>
      </c>
      <c r="CL33" s="164">
        <f t="shared" si="16"/>
        <v>322187334</v>
      </c>
      <c r="CM33" s="164">
        <f t="shared" si="16"/>
        <v>310642780</v>
      </c>
      <c r="CN33" s="164">
        <f t="shared" si="16"/>
        <v>325306779</v>
      </c>
      <c r="CO33" s="164">
        <f t="shared" si="16"/>
        <v>318323953</v>
      </c>
      <c r="CP33" s="164">
        <f t="shared" si="16"/>
        <v>314051007</v>
      </c>
      <c r="CQ33" s="164">
        <f t="shared" si="16"/>
        <v>315644529</v>
      </c>
      <c r="CR33" s="164">
        <f t="shared" si="16"/>
        <v>302151318</v>
      </c>
      <c r="CS33" s="164">
        <f t="shared" si="16"/>
        <v>305469845</v>
      </c>
      <c r="CT33" s="164">
        <f t="shared" si="16"/>
        <v>340791856</v>
      </c>
      <c r="CV33" s="165">
        <f>MIN(CT35:DE35)</f>
        <v>0.93850532367061368</v>
      </c>
      <c r="CW33" s="165">
        <f>AVERAGE(CT35:DE35)</f>
        <v>0.93850532367061368</v>
      </c>
      <c r="CX33" s="165">
        <f>MAX(CT35:DE35)</f>
        <v>0.93850532367061368</v>
      </c>
      <c r="DA33" s="165">
        <f>MIN(CF35:CT35)</f>
        <v>0.9210920147181878</v>
      </c>
      <c r="DB33" s="165">
        <f>AVERAGE(CF35:CT35)</f>
        <v>0.93898005451667677</v>
      </c>
      <c r="DC33" s="165">
        <f>MAX(CF35:CT35)</f>
        <v>0.9554443053405679</v>
      </c>
    </row>
    <row r="34" spans="1:107" ht="14.4" thickTop="1">
      <c r="AZ34" s="166"/>
      <c r="BA34" s="166"/>
      <c r="BB34" s="166"/>
      <c r="BC34" s="166"/>
      <c r="BD34" s="166"/>
      <c r="BE34" s="166"/>
      <c r="BF34" s="166"/>
      <c r="BG34" s="166"/>
      <c r="BH34" s="166"/>
      <c r="BI34" s="166"/>
      <c r="BJ34" s="166"/>
      <c r="BK34" s="166"/>
      <c r="BL34" s="166"/>
      <c r="BM34" s="166"/>
      <c r="BN34" s="166"/>
      <c r="BO34" s="166"/>
      <c r="BP34" s="166"/>
      <c r="BQ34" s="166"/>
      <c r="BR34" s="166"/>
      <c r="BS34" s="166"/>
      <c r="BT34" s="166"/>
      <c r="BU34" s="166"/>
      <c r="BV34" s="166"/>
      <c r="BW34" s="166"/>
      <c r="BX34" s="166"/>
      <c r="BY34" s="166"/>
      <c r="BZ34" s="166"/>
      <c r="CA34" s="166"/>
      <c r="CB34" s="166"/>
      <c r="CC34" s="166"/>
      <c r="CD34" s="166"/>
      <c r="CE34" s="166"/>
      <c r="CF34" s="166"/>
      <c r="CG34" s="166"/>
      <c r="CH34" s="166"/>
      <c r="CI34" s="166"/>
      <c r="CJ34" s="166"/>
      <c r="CK34" s="166"/>
      <c r="CL34" s="166"/>
      <c r="CM34" s="166"/>
      <c r="CN34" s="166"/>
      <c r="CO34" s="166"/>
      <c r="CP34" s="166"/>
      <c r="CQ34" s="166"/>
      <c r="CR34" s="166"/>
      <c r="CS34" s="166"/>
      <c r="CT34" s="166"/>
    </row>
    <row r="35" spans="1:107" ht="15" thickBot="1">
      <c r="A35" s="120" t="s">
        <v>251</v>
      </c>
      <c r="AY35" s="116" t="s">
        <v>82</v>
      </c>
      <c r="AZ35" s="167" t="e">
        <f>DE33/(DE28+DE27)</f>
        <v>#VALUE!</v>
      </c>
      <c r="BA35" s="167">
        <f t="shared" ref="BA35:CT35" si="17">BA33/(BA28+BA27)</f>
        <v>0.92116210588242409</v>
      </c>
      <c r="BB35" s="167">
        <f t="shared" si="17"/>
        <v>0.95923300239725406</v>
      </c>
      <c r="BC35" s="167">
        <f t="shared" si="17"/>
        <v>0.909222941215312</v>
      </c>
      <c r="BD35" s="167">
        <f t="shared" si="17"/>
        <v>0.9385918334270531</v>
      </c>
      <c r="BE35" s="167">
        <f t="shared" si="17"/>
        <v>0.96988247645129022</v>
      </c>
      <c r="BF35" s="167">
        <f t="shared" si="17"/>
        <v>0.95184268288326179</v>
      </c>
      <c r="BG35" s="167">
        <f t="shared" si="17"/>
        <v>0.89277234684846407</v>
      </c>
      <c r="BH35" s="167">
        <f t="shared" si="17"/>
        <v>0.91074344750086533</v>
      </c>
      <c r="BI35" s="167">
        <f t="shared" si="17"/>
        <v>0.92611395879821268</v>
      </c>
      <c r="BJ35" s="167">
        <f t="shared" si="17"/>
        <v>0.93115394143508257</v>
      </c>
      <c r="BK35" s="167">
        <f t="shared" si="17"/>
        <v>0.92519123193623809</v>
      </c>
      <c r="BL35" s="167">
        <f t="shared" si="17"/>
        <v>0.93339715245183874</v>
      </c>
      <c r="BM35" s="167">
        <f t="shared" si="17"/>
        <v>0.93900737817089952</v>
      </c>
      <c r="BN35" s="167">
        <f t="shared" si="17"/>
        <v>0.88755559353951907</v>
      </c>
      <c r="BO35" s="167">
        <f t="shared" si="17"/>
        <v>0.91829442302846376</v>
      </c>
      <c r="BP35" s="167">
        <f t="shared" si="17"/>
        <v>0.91715279027341501</v>
      </c>
      <c r="BQ35" s="167">
        <f t="shared" si="17"/>
        <v>0.93648078170559701</v>
      </c>
      <c r="BR35" s="167">
        <f t="shared" si="17"/>
        <v>0.95601349878020536</v>
      </c>
      <c r="BS35" s="167">
        <f t="shared" si="17"/>
        <v>0.93942437829262038</v>
      </c>
      <c r="BT35" s="167">
        <f t="shared" si="17"/>
        <v>0.93933500640655243</v>
      </c>
      <c r="BU35" s="167">
        <f t="shared" si="17"/>
        <v>0.95184586466737842</v>
      </c>
      <c r="BV35" s="167">
        <f t="shared" si="17"/>
        <v>0.94597813671044551</v>
      </c>
      <c r="BW35" s="167">
        <f t="shared" si="17"/>
        <v>0.93770162033724302</v>
      </c>
      <c r="BX35" s="167">
        <f t="shared" si="17"/>
        <v>0.94321265977467672</v>
      </c>
      <c r="BY35" s="167">
        <f t="shared" si="17"/>
        <v>0.94351289958826434</v>
      </c>
      <c r="BZ35" s="167">
        <f t="shared" si="17"/>
        <v>0.93585662444873774</v>
      </c>
      <c r="CA35" s="167">
        <f t="shared" si="17"/>
        <v>0.92281149245327843</v>
      </c>
      <c r="CB35" s="167">
        <f t="shared" si="17"/>
        <v>0.94865830051698496</v>
      </c>
      <c r="CC35" s="167">
        <f t="shared" si="17"/>
        <v>0.94259015965260662</v>
      </c>
      <c r="CD35" s="167">
        <f t="shared" si="17"/>
        <v>0.96204768257313333</v>
      </c>
      <c r="CE35" s="167">
        <f t="shared" si="17"/>
        <v>0.95605468080331579</v>
      </c>
      <c r="CF35" s="167">
        <f t="shared" si="17"/>
        <v>0.93960386296821785</v>
      </c>
      <c r="CG35" s="167">
        <f t="shared" si="17"/>
        <v>0.9210920147181878</v>
      </c>
      <c r="CH35" s="167">
        <f t="shared" si="17"/>
        <v>0.94127795574163764</v>
      </c>
      <c r="CI35" s="167">
        <f t="shared" si="17"/>
        <v>0.95505806547322025</v>
      </c>
      <c r="CJ35" s="167">
        <f t="shared" si="17"/>
        <v>0.94381895297795082</v>
      </c>
      <c r="CK35" s="167">
        <f t="shared" si="17"/>
        <v>0.93597707006052944</v>
      </c>
      <c r="CL35" s="167">
        <f t="shared" si="17"/>
        <v>0.93428673416228647</v>
      </c>
      <c r="CM35" s="167">
        <f t="shared" si="17"/>
        <v>0.92857144928227087</v>
      </c>
      <c r="CN35" s="167">
        <f t="shared" si="17"/>
        <v>0.93767904472045227</v>
      </c>
      <c r="CO35" s="167">
        <f t="shared" si="17"/>
        <v>0.95297496095970646</v>
      </c>
      <c r="CP35" s="167">
        <f t="shared" si="17"/>
        <v>0.93712510490814094</v>
      </c>
      <c r="CQ35" s="167">
        <f t="shared" si="17"/>
        <v>0.93676195774884319</v>
      </c>
      <c r="CR35" s="167">
        <f t="shared" si="17"/>
        <v>0.9554443053405679</v>
      </c>
      <c r="CS35" s="167">
        <f t="shared" si="17"/>
        <v>0.92652401501752812</v>
      </c>
      <c r="CT35" s="167">
        <f t="shared" si="17"/>
        <v>0.93850532367061368</v>
      </c>
    </row>
    <row r="36" spans="1:107" ht="30" thickTop="1" thickBot="1">
      <c r="A36" s="133" t="s">
        <v>136</v>
      </c>
      <c r="B36" s="134" t="s">
        <v>137</v>
      </c>
      <c r="C36" s="135">
        <v>1966</v>
      </c>
      <c r="D36" s="136">
        <v>1967</v>
      </c>
      <c r="E36" s="136">
        <v>1968</v>
      </c>
      <c r="F36" s="136">
        <v>1969</v>
      </c>
      <c r="G36" s="136">
        <v>1970</v>
      </c>
      <c r="H36" s="136">
        <v>1971</v>
      </c>
      <c r="I36" s="136">
        <v>1972</v>
      </c>
      <c r="J36" s="136">
        <v>1973</v>
      </c>
      <c r="K36" s="136">
        <v>1974</v>
      </c>
      <c r="L36" s="136">
        <v>1975</v>
      </c>
      <c r="M36" s="136">
        <v>1976</v>
      </c>
      <c r="N36" s="136">
        <v>1977</v>
      </c>
      <c r="O36" s="136">
        <v>1978</v>
      </c>
      <c r="P36" s="136">
        <v>1979</v>
      </c>
      <c r="Q36" s="136">
        <v>1980</v>
      </c>
      <c r="R36" s="136">
        <v>1981</v>
      </c>
      <c r="S36" s="136">
        <v>1982</v>
      </c>
      <c r="T36" s="136">
        <v>1983</v>
      </c>
      <c r="U36" s="136">
        <v>1984</v>
      </c>
      <c r="V36" s="136">
        <v>1985</v>
      </c>
      <c r="W36" s="136">
        <v>1986</v>
      </c>
      <c r="X36" s="136">
        <v>1987</v>
      </c>
      <c r="Y36" s="136">
        <v>1988</v>
      </c>
      <c r="Z36" s="136">
        <v>1989</v>
      </c>
      <c r="AA36" s="136">
        <v>1990</v>
      </c>
      <c r="AB36" s="136">
        <v>1991</v>
      </c>
      <c r="AC36" s="136">
        <v>1992</v>
      </c>
      <c r="AD36" s="136">
        <v>1993</v>
      </c>
      <c r="AE36" s="136">
        <v>1994</v>
      </c>
      <c r="AF36" s="136">
        <v>1995</v>
      </c>
      <c r="AG36" s="136">
        <v>1996</v>
      </c>
      <c r="AH36" s="136">
        <v>1997</v>
      </c>
      <c r="AI36" s="136">
        <v>1998</v>
      </c>
      <c r="AJ36" s="136">
        <v>1999</v>
      </c>
      <c r="AK36" s="136">
        <v>2000</v>
      </c>
      <c r="AL36" s="136">
        <v>2001</v>
      </c>
      <c r="AM36" s="136">
        <v>2002</v>
      </c>
      <c r="AN36" s="136">
        <v>2003</v>
      </c>
      <c r="AO36" s="136">
        <v>2004</v>
      </c>
      <c r="AP36" s="136">
        <v>2005</v>
      </c>
      <c r="AQ36" s="136">
        <v>2006</v>
      </c>
      <c r="AR36" s="136">
        <v>2007</v>
      </c>
      <c r="AS36" s="136">
        <v>2008</v>
      </c>
      <c r="AT36" s="136">
        <v>2009</v>
      </c>
      <c r="AU36" s="136">
        <v>2010</v>
      </c>
      <c r="AV36" s="136">
        <v>2011</v>
      </c>
      <c r="AW36" s="137">
        <v>2012</v>
      </c>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c r="CS36" s="166"/>
      <c r="CT36" s="166"/>
    </row>
    <row r="37" spans="1:107" ht="14.4">
      <c r="A37" s="168" t="s">
        <v>245</v>
      </c>
      <c r="B37" s="149" t="s">
        <v>221</v>
      </c>
      <c r="C37" s="169">
        <v>185997985</v>
      </c>
      <c r="D37" s="170">
        <v>273247012</v>
      </c>
      <c r="E37" s="170">
        <v>282278379</v>
      </c>
      <c r="F37" s="170">
        <v>382445493</v>
      </c>
      <c r="G37" s="170">
        <v>417950029</v>
      </c>
      <c r="H37" s="170">
        <v>426965749</v>
      </c>
      <c r="I37" s="170">
        <v>405622181</v>
      </c>
      <c r="J37" s="170">
        <v>419941430</v>
      </c>
      <c r="K37" s="170">
        <v>395445381</v>
      </c>
      <c r="L37" s="170">
        <v>334381256</v>
      </c>
      <c r="M37" s="170">
        <v>326893057</v>
      </c>
      <c r="N37" s="170">
        <v>323173307</v>
      </c>
      <c r="O37" s="170">
        <v>334801625</v>
      </c>
      <c r="P37" s="170">
        <v>356687766</v>
      </c>
      <c r="Q37" s="170">
        <v>271367717</v>
      </c>
      <c r="R37" s="170">
        <v>244655971</v>
      </c>
      <c r="S37" s="170">
        <v>219934312</v>
      </c>
      <c r="T37" s="170">
        <v>266041514</v>
      </c>
      <c r="U37" s="170">
        <v>287567570</v>
      </c>
      <c r="V37" s="170">
        <v>279743964</v>
      </c>
      <c r="W37" s="170">
        <v>304432563</v>
      </c>
      <c r="X37" s="170">
        <v>296960845</v>
      </c>
      <c r="Y37" s="170">
        <v>310890390</v>
      </c>
      <c r="Z37" s="170">
        <v>323131975</v>
      </c>
      <c r="AA37" s="170">
        <v>308682005</v>
      </c>
      <c r="AB37" s="170">
        <v>331394770</v>
      </c>
      <c r="AC37" s="170">
        <v>355454908</v>
      </c>
      <c r="AD37" s="170">
        <v>356795000</v>
      </c>
      <c r="AE37" s="170">
        <v>365356400</v>
      </c>
      <c r="AF37" s="170">
        <v>412022100</v>
      </c>
      <c r="AG37" s="170">
        <v>448338000</v>
      </c>
      <c r="AH37" s="170">
        <v>365090511</v>
      </c>
      <c r="AI37" s="170">
        <v>340314599</v>
      </c>
      <c r="AJ37" s="170">
        <v>339203135</v>
      </c>
      <c r="AK37" s="170">
        <v>346270013</v>
      </c>
      <c r="AL37" s="170">
        <v>343914817</v>
      </c>
      <c r="AM37" s="170">
        <v>333095071</v>
      </c>
      <c r="AN37" s="170">
        <v>352220912</v>
      </c>
      <c r="AO37" s="170">
        <v>344651751</v>
      </c>
      <c r="AP37" s="170">
        <v>332180848</v>
      </c>
      <c r="AQ37" s="170">
        <v>343530612</v>
      </c>
      <c r="AR37" s="170">
        <v>333386568</v>
      </c>
      <c r="AS37" s="170">
        <v>334639330</v>
      </c>
      <c r="AT37" s="170">
        <v>335634780</v>
      </c>
      <c r="AU37" s="170">
        <v>314168191</v>
      </c>
      <c r="AV37" s="170">
        <v>327286287</v>
      </c>
      <c r="AW37" s="171">
        <v>362386542</v>
      </c>
      <c r="AZ37" s="166"/>
      <c r="BA37" s="166"/>
      <c r="BB37" s="166"/>
      <c r="BC37" s="166"/>
      <c r="BD37" s="166"/>
      <c r="BE37" s="166"/>
      <c r="BF37" s="166"/>
      <c r="BG37" s="166"/>
      <c r="BH37" s="166"/>
      <c r="BI37" s="166"/>
      <c r="BJ37" s="166"/>
      <c r="BK37" s="166"/>
      <c r="BL37" s="166"/>
      <c r="BM37" s="166"/>
      <c r="BN37" s="166"/>
      <c r="BO37" s="166"/>
      <c r="BP37" s="166"/>
      <c r="BQ37" s="166"/>
      <c r="BR37" s="166"/>
      <c r="BS37" s="166"/>
      <c r="BT37" s="166"/>
      <c r="BU37" s="166"/>
      <c r="BV37" s="166"/>
      <c r="BW37" s="166"/>
      <c r="BX37" s="166"/>
      <c r="BY37" s="166"/>
      <c r="BZ37" s="166"/>
      <c r="CA37" s="166"/>
      <c r="CB37" s="166"/>
      <c r="CC37" s="166"/>
      <c r="CD37" s="166"/>
      <c r="CE37" s="166"/>
      <c r="CF37" s="166"/>
      <c r="CG37" s="166"/>
      <c r="CH37" s="166"/>
      <c r="CI37" s="166"/>
      <c r="CJ37" s="166"/>
      <c r="CK37" s="166"/>
      <c r="CL37" s="166"/>
      <c r="CM37" s="166"/>
      <c r="CN37" s="166"/>
      <c r="CO37" s="166"/>
      <c r="CP37" s="166"/>
      <c r="CQ37" s="172"/>
      <c r="CR37" s="166"/>
      <c r="CS37" s="166"/>
      <c r="CT37" s="166"/>
    </row>
    <row r="38" spans="1:107" ht="14.4">
      <c r="A38" s="168" t="s">
        <v>245</v>
      </c>
      <c r="B38" s="149" t="s">
        <v>222</v>
      </c>
      <c r="C38" s="169">
        <v>0</v>
      </c>
      <c r="D38" s="170">
        <v>0</v>
      </c>
      <c r="E38" s="170">
        <v>0</v>
      </c>
      <c r="F38" s="170">
        <v>0</v>
      </c>
      <c r="G38" s="170">
        <v>0</v>
      </c>
      <c r="H38" s="170">
        <v>0</v>
      </c>
      <c r="I38" s="170">
        <v>0</v>
      </c>
      <c r="J38" s="170">
        <v>0</v>
      </c>
      <c r="K38" s="170">
        <v>580861</v>
      </c>
      <c r="L38" s="170">
        <v>1043962</v>
      </c>
      <c r="M38" s="170">
        <v>17707318</v>
      </c>
      <c r="N38" s="170">
        <v>7997768</v>
      </c>
      <c r="O38" s="170">
        <v>7048312</v>
      </c>
      <c r="P38" s="170">
        <v>15999378</v>
      </c>
      <c r="Q38" s="170">
        <v>40447931</v>
      </c>
      <c r="R38" s="170">
        <v>18916466</v>
      </c>
      <c r="S38" s="170">
        <v>34931831</v>
      </c>
      <c r="T38" s="170">
        <v>27811868</v>
      </c>
      <c r="U38" s="170">
        <v>23113835</v>
      </c>
      <c r="V38" s="170">
        <v>17504277</v>
      </c>
      <c r="W38" s="170">
        <v>25215094</v>
      </c>
      <c r="X38" s="170">
        <v>26158943</v>
      </c>
      <c r="Y38" s="170">
        <v>30378383</v>
      </c>
      <c r="Z38" s="170">
        <v>34123962</v>
      </c>
      <c r="AA38" s="170">
        <v>26874299</v>
      </c>
      <c r="AB38" s="170">
        <v>16785219</v>
      </c>
      <c r="AC38" s="170">
        <v>7427491</v>
      </c>
      <c r="AD38" s="170">
        <v>22711040</v>
      </c>
      <c r="AE38" s="170">
        <v>11718613</v>
      </c>
      <c r="AF38" s="170">
        <v>7788812</v>
      </c>
      <c r="AG38" s="170">
        <v>5096000</v>
      </c>
      <c r="AH38" s="170">
        <v>3327099</v>
      </c>
      <c r="AI38" s="170">
        <v>2827414</v>
      </c>
      <c r="AJ38" s="170">
        <v>10851000</v>
      </c>
      <c r="AK38" s="170">
        <v>5716847</v>
      </c>
      <c r="AL38" s="170">
        <v>2741196</v>
      </c>
      <c r="AM38" s="170">
        <v>2738484</v>
      </c>
      <c r="AN38" s="170">
        <v>2580000</v>
      </c>
      <c r="AO38" s="170">
        <v>728103</v>
      </c>
      <c r="AP38" s="170">
        <v>2928251</v>
      </c>
      <c r="AQ38" s="170">
        <v>4057043</v>
      </c>
      <c r="AR38" s="170">
        <v>1195329</v>
      </c>
      <c r="AS38" s="170">
        <v>1336445</v>
      </c>
      <c r="AT38" s="170">
        <v>1803916</v>
      </c>
      <c r="AU38" s="170">
        <v>2213437</v>
      </c>
      <c r="AV38" s="170">
        <v>2414087</v>
      </c>
      <c r="AW38" s="171">
        <v>740546</v>
      </c>
      <c r="AZ38" s="173"/>
      <c r="BA38" s="173"/>
      <c r="BB38" s="173"/>
      <c r="BC38" s="173"/>
      <c r="BD38" s="173"/>
      <c r="BE38" s="173"/>
      <c r="BF38" s="173"/>
      <c r="BG38" s="173"/>
      <c r="BH38" s="173"/>
      <c r="BI38" s="173"/>
      <c r="BJ38" s="173"/>
      <c r="BK38" s="173"/>
      <c r="BL38" s="173"/>
      <c r="BM38" s="173"/>
      <c r="BN38" s="173"/>
      <c r="BO38" s="173"/>
      <c r="BP38" s="173"/>
      <c r="BQ38" s="173"/>
      <c r="BR38" s="173"/>
      <c r="BS38" s="173"/>
      <c r="BT38" s="173"/>
      <c r="BU38" s="173"/>
      <c r="BV38" s="173"/>
      <c r="BW38" s="173"/>
      <c r="BX38" s="173"/>
      <c r="BY38" s="173"/>
      <c r="BZ38" s="173"/>
      <c r="CA38" s="173"/>
      <c r="CB38" s="173"/>
      <c r="CC38" s="173"/>
      <c r="CD38" s="173"/>
      <c r="CE38" s="173"/>
      <c r="CF38" s="173"/>
      <c r="CG38" s="173"/>
      <c r="CH38" s="173"/>
      <c r="CI38" s="173"/>
      <c r="CJ38" s="173"/>
      <c r="CK38" s="173"/>
      <c r="CL38" s="173"/>
      <c r="CM38" s="173"/>
      <c r="CN38" s="173"/>
      <c r="CO38" s="173"/>
      <c r="CP38" s="173"/>
      <c r="CQ38" s="173"/>
      <c r="CR38" s="173"/>
      <c r="CS38" s="173"/>
      <c r="CT38" s="173"/>
    </row>
    <row r="39" spans="1:107" ht="14.4">
      <c r="A39" s="138" t="s">
        <v>245</v>
      </c>
      <c r="B39" s="139" t="s">
        <v>223</v>
      </c>
      <c r="C39" s="140">
        <v>0</v>
      </c>
      <c r="D39" s="141">
        <v>0</v>
      </c>
      <c r="E39" s="141">
        <v>0</v>
      </c>
      <c r="F39" s="141">
        <v>0</v>
      </c>
      <c r="G39" s="141">
        <v>0</v>
      </c>
      <c r="H39" s="141">
        <v>0</v>
      </c>
      <c r="I39" s="141">
        <v>0</v>
      </c>
      <c r="J39" s="141">
        <v>0</v>
      </c>
      <c r="K39" s="141">
        <v>0</v>
      </c>
      <c r="L39" s="141">
        <v>16323187</v>
      </c>
      <c r="M39" s="141">
        <v>15047699</v>
      </c>
      <c r="N39" s="141">
        <v>15637362</v>
      </c>
      <c r="O39" s="141">
        <v>13193154</v>
      </c>
      <c r="P39" s="141">
        <v>14051245</v>
      </c>
      <c r="Q39" s="141">
        <v>11201509</v>
      </c>
      <c r="R39" s="141">
        <v>13766937</v>
      </c>
      <c r="S39" s="141">
        <v>13831447</v>
      </c>
      <c r="T39" s="141">
        <v>12413750</v>
      </c>
      <c r="U39" s="141">
        <v>13392263</v>
      </c>
      <c r="V39" s="141">
        <v>11667536</v>
      </c>
      <c r="W39" s="141">
        <v>13168000</v>
      </c>
      <c r="X39" s="141">
        <v>13253000</v>
      </c>
      <c r="Y39" s="141">
        <v>13619000</v>
      </c>
      <c r="Z39" s="141">
        <v>14632000</v>
      </c>
      <c r="AA39" s="141">
        <v>14169000</v>
      </c>
      <c r="AB39" s="141">
        <v>14537000</v>
      </c>
      <c r="AC39" s="141">
        <v>14865000</v>
      </c>
      <c r="AD39" s="141">
        <v>15405000</v>
      </c>
      <c r="AE39" s="141">
        <v>15895000</v>
      </c>
      <c r="AF39" s="141">
        <v>19345000</v>
      </c>
      <c r="AG39" s="141">
        <v>21440796</v>
      </c>
      <c r="AH39" s="141">
        <v>16905304</v>
      </c>
      <c r="AI39" s="141">
        <v>15225340</v>
      </c>
      <c r="AJ39" s="141">
        <v>15723812</v>
      </c>
      <c r="AK39" s="141">
        <v>15556268</v>
      </c>
      <c r="AL39" s="141">
        <v>15755428</v>
      </c>
      <c r="AM39" s="141">
        <v>15197000</v>
      </c>
      <c r="AN39" s="141">
        <v>16554512</v>
      </c>
      <c r="AO39" s="141">
        <v>15890576</v>
      </c>
      <c r="AP39" s="141">
        <v>15347072</v>
      </c>
      <c r="AQ39" s="141">
        <v>16115632</v>
      </c>
      <c r="AR39" s="141">
        <v>15916264</v>
      </c>
      <c r="AS39" s="141">
        <v>14782248</v>
      </c>
      <c r="AT39" s="141">
        <v>15419352</v>
      </c>
      <c r="AU39" s="141">
        <v>13679796</v>
      </c>
      <c r="AV39" s="141">
        <v>14957592</v>
      </c>
      <c r="AW39" s="142">
        <v>15632500</v>
      </c>
    </row>
    <row r="40" spans="1:107" ht="14.4">
      <c r="A40" s="138" t="s">
        <v>245</v>
      </c>
      <c r="B40" s="139" t="s">
        <v>75</v>
      </c>
      <c r="C40" s="140">
        <v>699275</v>
      </c>
      <c r="D40" s="141">
        <v>809417</v>
      </c>
      <c r="E40" s="141">
        <v>892837</v>
      </c>
      <c r="F40" s="141">
        <v>1045873</v>
      </c>
      <c r="G40" s="141">
        <v>1144949</v>
      </c>
      <c r="H40" s="141">
        <v>1219003</v>
      </c>
      <c r="I40" s="141">
        <v>1385357</v>
      </c>
      <c r="J40" s="141">
        <v>1333183</v>
      </c>
      <c r="K40" s="141">
        <v>1221838</v>
      </c>
      <c r="L40" s="141">
        <v>1086020</v>
      </c>
      <c r="M40" s="141">
        <v>700098</v>
      </c>
      <c r="N40" s="141">
        <v>590311</v>
      </c>
      <c r="O40" s="141">
        <v>110106</v>
      </c>
      <c r="P40" s="141">
        <v>151497</v>
      </c>
      <c r="Q40" s="141">
        <v>193</v>
      </c>
      <c r="R40" s="141">
        <v>186</v>
      </c>
      <c r="S40" s="141">
        <v>165</v>
      </c>
      <c r="T40" s="141">
        <v>131</v>
      </c>
      <c r="U40" s="141">
        <v>125</v>
      </c>
      <c r="V40" s="141">
        <v>106</v>
      </c>
      <c r="W40" s="141">
        <v>207</v>
      </c>
      <c r="X40" s="141">
        <v>229</v>
      </c>
      <c r="Y40" s="141">
        <v>251</v>
      </c>
      <c r="Z40" s="141">
        <v>394</v>
      </c>
      <c r="AA40" s="141">
        <v>443</v>
      </c>
      <c r="AB40" s="141">
        <v>14535</v>
      </c>
      <c r="AC40" s="141">
        <v>18032</v>
      </c>
      <c r="AD40" s="141">
        <v>23241</v>
      </c>
      <c r="AE40" s="141">
        <v>27828</v>
      </c>
      <c r="AF40" s="141">
        <v>28290</v>
      </c>
      <c r="AG40" s="141">
        <v>125</v>
      </c>
      <c r="AH40" s="141">
        <v>1571</v>
      </c>
      <c r="AI40" s="141">
        <v>1413</v>
      </c>
      <c r="AJ40" s="141">
        <v>484</v>
      </c>
      <c r="AK40" s="141">
        <v>222</v>
      </c>
      <c r="AL40" s="141">
        <v>231</v>
      </c>
      <c r="AM40" s="141">
        <v>213</v>
      </c>
      <c r="AN40" s="141">
        <v>262</v>
      </c>
      <c r="AO40" s="141">
        <v>264</v>
      </c>
      <c r="AP40" s="141">
        <v>235</v>
      </c>
      <c r="AQ40" s="141">
        <v>236</v>
      </c>
      <c r="AR40" s="141">
        <v>0</v>
      </c>
      <c r="AS40" s="141">
        <v>0</v>
      </c>
      <c r="AT40" s="141">
        <v>0</v>
      </c>
      <c r="AU40" s="141">
        <v>0</v>
      </c>
      <c r="AV40" s="141">
        <v>0</v>
      </c>
      <c r="AW40" s="142">
        <v>0</v>
      </c>
      <c r="AZ40" s="156"/>
      <c r="BA40" s="156"/>
      <c r="BB40" s="156"/>
      <c r="BC40" s="156"/>
      <c r="BD40" s="156"/>
      <c r="BE40" s="156"/>
      <c r="BF40" s="156"/>
      <c r="BG40" s="156"/>
      <c r="BH40" s="156"/>
      <c r="BI40" s="156"/>
      <c r="BJ40" s="156"/>
      <c r="BK40" s="156"/>
      <c r="BL40" s="156"/>
      <c r="BM40" s="156"/>
      <c r="BN40" s="156"/>
      <c r="BO40" s="156"/>
      <c r="BP40" s="156"/>
      <c r="BQ40" s="156"/>
      <c r="BR40" s="156"/>
      <c r="BS40" s="156"/>
      <c r="BT40" s="156"/>
      <c r="BU40" s="156"/>
      <c r="BV40" s="156"/>
      <c r="BW40" s="156"/>
      <c r="BX40" s="156"/>
      <c r="BY40" s="156"/>
      <c r="BZ40" s="156"/>
      <c r="CA40" s="156"/>
      <c r="CB40" s="156"/>
      <c r="CC40" s="156"/>
      <c r="CD40" s="156"/>
      <c r="CE40" s="156"/>
      <c r="CF40" s="156"/>
      <c r="CG40" s="156"/>
      <c r="CH40" s="156"/>
      <c r="CI40" s="156"/>
      <c r="CJ40" s="156"/>
      <c r="CK40" s="156"/>
      <c r="CL40" s="156"/>
      <c r="CM40" s="156"/>
      <c r="CN40" s="156"/>
      <c r="CO40" s="156"/>
      <c r="CP40" s="156"/>
      <c r="CQ40" s="156"/>
      <c r="CR40" s="156"/>
      <c r="CS40" s="156"/>
      <c r="CT40" s="156"/>
    </row>
    <row r="41" spans="1:107" ht="14.4">
      <c r="A41" s="138" t="s">
        <v>245</v>
      </c>
      <c r="B41" s="139" t="s">
        <v>100</v>
      </c>
      <c r="C41" s="140">
        <v>0</v>
      </c>
      <c r="D41" s="141">
        <v>0</v>
      </c>
      <c r="E41" s="141">
        <v>0</v>
      </c>
      <c r="F41" s="141">
        <v>0</v>
      </c>
      <c r="G41" s="141">
        <v>0</v>
      </c>
      <c r="H41" s="141">
        <v>0</v>
      </c>
      <c r="I41" s="141">
        <v>0</v>
      </c>
      <c r="J41" s="141">
        <v>0</v>
      </c>
      <c r="K41" s="141">
        <v>0</v>
      </c>
      <c r="L41" s="141">
        <v>0</v>
      </c>
      <c r="M41" s="141">
        <v>0</v>
      </c>
      <c r="N41" s="141">
        <v>0</v>
      </c>
      <c r="O41" s="141">
        <v>0</v>
      </c>
      <c r="P41" s="141">
        <v>0</v>
      </c>
      <c r="Q41" s="141">
        <v>0</v>
      </c>
      <c r="R41" s="141">
        <v>0</v>
      </c>
      <c r="S41" s="141">
        <v>0</v>
      </c>
      <c r="T41" s="141">
        <v>0</v>
      </c>
      <c r="U41" s="141">
        <v>0</v>
      </c>
      <c r="V41" s="141">
        <v>0</v>
      </c>
      <c r="W41" s="141">
        <v>0</v>
      </c>
      <c r="X41" s="141">
        <v>0</v>
      </c>
      <c r="Y41" s="141">
        <v>0</v>
      </c>
      <c r="Z41" s="141">
        <v>0</v>
      </c>
      <c r="AA41" s="141">
        <v>0</v>
      </c>
      <c r="AB41" s="141">
        <v>0</v>
      </c>
      <c r="AC41" s="141">
        <v>0</v>
      </c>
      <c r="AD41" s="141">
        <v>0</v>
      </c>
      <c r="AE41" s="141">
        <v>0</v>
      </c>
      <c r="AF41" s="141">
        <v>0</v>
      </c>
      <c r="AG41" s="141">
        <v>0</v>
      </c>
      <c r="AH41" s="141">
        <v>0</v>
      </c>
      <c r="AI41" s="141">
        <v>0</v>
      </c>
      <c r="AJ41" s="141">
        <v>4794986</v>
      </c>
      <c r="AK41" s="141">
        <v>6393315</v>
      </c>
      <c r="AL41" s="141">
        <v>7090342</v>
      </c>
      <c r="AM41" s="141">
        <v>4898925</v>
      </c>
      <c r="AN41" s="141">
        <v>2939355</v>
      </c>
      <c r="AO41" s="141">
        <v>1865684</v>
      </c>
      <c r="AP41" s="141">
        <v>1819997</v>
      </c>
      <c r="AQ41" s="141">
        <v>1324762</v>
      </c>
      <c r="AR41" s="141">
        <v>1412309</v>
      </c>
      <c r="AS41" s="141">
        <v>9984841</v>
      </c>
      <c r="AT41" s="141">
        <v>8699334</v>
      </c>
      <c r="AU41" s="141">
        <v>9236029</v>
      </c>
      <c r="AV41" s="141">
        <v>8639949</v>
      </c>
      <c r="AW41" s="142">
        <v>6715184</v>
      </c>
      <c r="AZ41" s="174"/>
      <c r="BA41" s="174"/>
      <c r="BB41" s="174"/>
      <c r="BC41" s="174"/>
      <c r="BD41" s="174"/>
      <c r="BE41" s="174"/>
      <c r="BF41" s="174"/>
      <c r="BG41" s="174"/>
      <c r="BH41" s="174"/>
      <c r="BI41" s="174"/>
      <c r="BJ41" s="174"/>
      <c r="BK41" s="174"/>
      <c r="BL41" s="174"/>
      <c r="BM41" s="174"/>
      <c r="BN41" s="174"/>
      <c r="BO41" s="174"/>
      <c r="BP41" s="174"/>
      <c r="BQ41" s="174"/>
      <c r="BR41" s="174"/>
      <c r="BS41" s="174"/>
      <c r="BT41" s="174"/>
      <c r="BU41" s="174"/>
      <c r="BV41" s="174"/>
      <c r="BW41" s="174"/>
      <c r="BX41" s="174"/>
      <c r="BY41" s="174"/>
      <c r="BZ41" s="174"/>
      <c r="CA41" s="174"/>
      <c r="CB41" s="174"/>
      <c r="CC41" s="174"/>
      <c r="CD41" s="174"/>
      <c r="CE41" s="174"/>
      <c r="CF41" s="174"/>
      <c r="CG41" s="174"/>
      <c r="CH41" s="174"/>
      <c r="CI41" s="174"/>
      <c r="CJ41" s="174"/>
      <c r="CK41" s="174"/>
      <c r="CL41" s="174"/>
      <c r="CM41" s="174"/>
      <c r="CN41" s="174"/>
      <c r="CO41" s="174"/>
      <c r="CP41" s="174"/>
      <c r="CQ41" s="174"/>
      <c r="CR41" s="174"/>
      <c r="CS41" s="174"/>
      <c r="CT41" s="174"/>
    </row>
    <row r="42" spans="1:107" ht="14.4">
      <c r="A42" s="138" t="s">
        <v>245</v>
      </c>
      <c r="B42" s="139" t="s">
        <v>77</v>
      </c>
      <c r="C42" s="140">
        <v>8692</v>
      </c>
      <c r="D42" s="141">
        <v>8520</v>
      </c>
      <c r="E42" s="141">
        <v>8117</v>
      </c>
      <c r="F42" s="141">
        <v>7721</v>
      </c>
      <c r="G42" s="141">
        <v>7685</v>
      </c>
      <c r="H42" s="141">
        <v>6983</v>
      </c>
      <c r="I42" s="141">
        <v>6235</v>
      </c>
      <c r="J42" s="141">
        <v>6131</v>
      </c>
      <c r="K42" s="141">
        <v>5189</v>
      </c>
      <c r="L42" s="141">
        <v>6174</v>
      </c>
      <c r="M42" s="141">
        <v>5794</v>
      </c>
      <c r="N42" s="141">
        <v>5664</v>
      </c>
      <c r="O42" s="141">
        <v>5702</v>
      </c>
      <c r="P42" s="141">
        <v>5278</v>
      </c>
      <c r="Q42" s="141">
        <v>4085</v>
      </c>
      <c r="R42" s="141">
        <v>3604</v>
      </c>
      <c r="S42" s="141">
        <v>3369</v>
      </c>
      <c r="T42" s="141">
        <v>3787</v>
      </c>
      <c r="U42" s="141">
        <v>4449</v>
      </c>
      <c r="V42" s="141">
        <v>5457</v>
      </c>
      <c r="W42" s="141">
        <v>7104</v>
      </c>
      <c r="X42" s="141">
        <v>12645</v>
      </c>
      <c r="Y42" s="141">
        <v>11415</v>
      </c>
      <c r="Z42" s="141">
        <v>5950</v>
      </c>
      <c r="AA42" s="141">
        <v>6484</v>
      </c>
      <c r="AB42" s="141">
        <v>6152</v>
      </c>
      <c r="AC42" s="141">
        <v>6407</v>
      </c>
      <c r="AD42" s="141">
        <v>6816</v>
      </c>
      <c r="AE42" s="141">
        <v>4007</v>
      </c>
      <c r="AF42" s="141">
        <v>1512</v>
      </c>
      <c r="AG42" s="141">
        <v>1972</v>
      </c>
      <c r="AH42" s="141">
        <v>1962</v>
      </c>
      <c r="AI42" s="141">
        <v>2488</v>
      </c>
      <c r="AJ42" s="141">
        <v>2186</v>
      </c>
      <c r="AK42" s="141">
        <v>1896</v>
      </c>
      <c r="AL42" s="141">
        <v>1728</v>
      </c>
      <c r="AM42" s="141">
        <v>9505</v>
      </c>
      <c r="AN42" s="141">
        <v>7281</v>
      </c>
      <c r="AO42" s="141">
        <v>8104</v>
      </c>
      <c r="AP42" s="141">
        <v>6794</v>
      </c>
      <c r="AQ42" s="141">
        <v>5764</v>
      </c>
      <c r="AR42" s="141">
        <v>4427</v>
      </c>
      <c r="AS42" s="141">
        <v>3095</v>
      </c>
      <c r="AT42" s="141">
        <v>2567</v>
      </c>
      <c r="AU42" s="141">
        <v>1681</v>
      </c>
      <c r="AV42" s="141">
        <v>4462</v>
      </c>
      <c r="AW42" s="142">
        <v>2541</v>
      </c>
      <c r="CQ42" s="175"/>
    </row>
    <row r="43" spans="1:107" ht="14.4">
      <c r="A43" s="138" t="s">
        <v>245</v>
      </c>
      <c r="B43" s="139" t="s">
        <v>96</v>
      </c>
      <c r="C43" s="140">
        <v>0</v>
      </c>
      <c r="D43" s="141">
        <v>0</v>
      </c>
      <c r="E43" s="141">
        <v>0</v>
      </c>
      <c r="F43" s="141">
        <v>0</v>
      </c>
      <c r="G43" s="141">
        <v>0</v>
      </c>
      <c r="H43" s="141">
        <v>0</v>
      </c>
      <c r="I43" s="141">
        <v>0</v>
      </c>
      <c r="J43" s="141">
        <v>0</v>
      </c>
      <c r="K43" s="141">
        <v>0</v>
      </c>
      <c r="L43" s="141">
        <v>0</v>
      </c>
      <c r="M43" s="141">
        <v>0</v>
      </c>
      <c r="N43" s="141">
        <v>0</v>
      </c>
      <c r="O43" s="141">
        <v>0</v>
      </c>
      <c r="P43" s="141">
        <v>0</v>
      </c>
      <c r="Q43" s="141">
        <v>0</v>
      </c>
      <c r="R43" s="141">
        <v>0</v>
      </c>
      <c r="S43" s="141">
        <v>0</v>
      </c>
      <c r="T43" s="141">
        <v>0</v>
      </c>
      <c r="U43" s="141">
        <v>0</v>
      </c>
      <c r="V43" s="141">
        <v>0</v>
      </c>
      <c r="W43" s="141">
        <v>0</v>
      </c>
      <c r="X43" s="141">
        <v>0</v>
      </c>
      <c r="Y43" s="141">
        <v>0</v>
      </c>
      <c r="Z43" s="141">
        <v>0</v>
      </c>
      <c r="AA43" s="141">
        <v>0</v>
      </c>
      <c r="AB43" s="141">
        <v>0</v>
      </c>
      <c r="AC43" s="141">
        <v>0</v>
      </c>
      <c r="AD43" s="141">
        <v>0</v>
      </c>
      <c r="AE43" s="141">
        <v>0</v>
      </c>
      <c r="AF43" s="141">
        <v>0</v>
      </c>
      <c r="AG43" s="141">
        <v>0</v>
      </c>
      <c r="AH43" s="141">
        <v>0</v>
      </c>
      <c r="AI43" s="141">
        <v>0</v>
      </c>
      <c r="AJ43" s="141">
        <v>0</v>
      </c>
      <c r="AK43" s="141">
        <v>0</v>
      </c>
      <c r="AL43" s="141">
        <v>0</v>
      </c>
      <c r="AM43" s="141">
        <v>0</v>
      </c>
      <c r="AN43" s="141">
        <v>0</v>
      </c>
      <c r="AO43" s="141">
        <v>0</v>
      </c>
      <c r="AP43" s="141">
        <v>0</v>
      </c>
      <c r="AQ43" s="141">
        <v>0</v>
      </c>
      <c r="AR43" s="141">
        <v>0</v>
      </c>
      <c r="AS43" s="141">
        <v>0</v>
      </c>
      <c r="AT43" s="141">
        <v>0</v>
      </c>
      <c r="AU43" s="141">
        <v>0</v>
      </c>
      <c r="AV43" s="141">
        <v>0</v>
      </c>
      <c r="AW43" s="142">
        <v>0</v>
      </c>
      <c r="AZ43" s="156"/>
    </row>
    <row r="44" spans="1:107" ht="14.4">
      <c r="A44" s="138" t="s">
        <v>245</v>
      </c>
      <c r="B44" s="139" t="s">
        <v>51</v>
      </c>
      <c r="C44" s="140">
        <v>42532</v>
      </c>
      <c r="D44" s="141">
        <v>50942</v>
      </c>
      <c r="E44" s="141">
        <v>50979</v>
      </c>
      <c r="F44" s="141">
        <v>56763</v>
      </c>
      <c r="G44" s="141">
        <v>42332</v>
      </c>
      <c r="H44" s="141">
        <v>52433</v>
      </c>
      <c r="I44" s="141">
        <v>59057</v>
      </c>
      <c r="J44" s="141">
        <v>75638</v>
      </c>
      <c r="K44" s="141">
        <v>48358</v>
      </c>
      <c r="L44" s="141">
        <v>97669</v>
      </c>
      <c r="M44" s="141">
        <v>95038</v>
      </c>
      <c r="N44" s="141">
        <v>145126</v>
      </c>
      <c r="O44" s="141">
        <v>143899</v>
      </c>
      <c r="P44" s="141">
        <v>294314</v>
      </c>
      <c r="Q44" s="141">
        <v>8707</v>
      </c>
      <c r="R44" s="141">
        <v>8629</v>
      </c>
      <c r="S44" s="141">
        <v>49682</v>
      </c>
      <c r="T44" s="141">
        <v>49726</v>
      </c>
      <c r="U44" s="141">
        <v>78869</v>
      </c>
      <c r="V44" s="141">
        <v>107344</v>
      </c>
      <c r="W44" s="141">
        <v>135946</v>
      </c>
      <c r="X44" s="141">
        <v>164726</v>
      </c>
      <c r="Y44" s="141">
        <v>193539</v>
      </c>
      <c r="Z44" s="141">
        <v>162433</v>
      </c>
      <c r="AA44" s="141">
        <v>130702</v>
      </c>
      <c r="AB44" s="141">
        <v>131921</v>
      </c>
      <c r="AC44" s="141">
        <v>133351</v>
      </c>
      <c r="AD44" s="141">
        <v>138147</v>
      </c>
      <c r="AE44" s="141">
        <v>228841</v>
      </c>
      <c r="AF44" s="141">
        <v>40129</v>
      </c>
      <c r="AG44" s="141">
        <v>56980</v>
      </c>
      <c r="AH44" s="141">
        <v>94298</v>
      </c>
      <c r="AI44" s="141">
        <v>69327</v>
      </c>
      <c r="AJ44" s="141">
        <v>54876</v>
      </c>
      <c r="AK44" s="141">
        <v>55597</v>
      </c>
      <c r="AL44" s="141">
        <v>66831</v>
      </c>
      <c r="AM44" s="141">
        <v>62158</v>
      </c>
      <c r="AN44" s="141">
        <v>38851</v>
      </c>
      <c r="AO44" s="141">
        <v>40505</v>
      </c>
      <c r="AP44" s="141">
        <v>49686</v>
      </c>
      <c r="AQ44" s="141">
        <v>23454</v>
      </c>
      <c r="AR44" s="141">
        <v>7735</v>
      </c>
      <c r="AS44" s="141">
        <v>8405</v>
      </c>
      <c r="AT44" s="141">
        <v>8263</v>
      </c>
      <c r="AU44" s="141">
        <v>9185</v>
      </c>
      <c r="AV44" s="141">
        <v>16963</v>
      </c>
      <c r="AW44" s="142">
        <v>27400</v>
      </c>
    </row>
    <row r="45" spans="1:107" ht="14.4">
      <c r="A45" s="138" t="s">
        <v>245</v>
      </c>
      <c r="B45" s="139" t="s">
        <v>224</v>
      </c>
      <c r="C45" s="140">
        <v>4004916</v>
      </c>
      <c r="D45" s="141">
        <v>3914953</v>
      </c>
      <c r="E45" s="141">
        <v>4604917</v>
      </c>
      <c r="F45" s="141">
        <v>6027736</v>
      </c>
      <c r="G45" s="141">
        <v>7365591</v>
      </c>
      <c r="H45" s="141">
        <v>7126412</v>
      </c>
      <c r="I45" s="141">
        <v>7574411</v>
      </c>
      <c r="J45" s="141">
        <v>6212350</v>
      </c>
      <c r="K45" s="141">
        <v>6115033</v>
      </c>
      <c r="L45" s="141">
        <v>4692276</v>
      </c>
      <c r="M45" s="141">
        <v>4036616</v>
      </c>
      <c r="N45" s="141">
        <v>3492850</v>
      </c>
      <c r="O45" s="141">
        <v>3257820</v>
      </c>
      <c r="P45" s="141">
        <v>4228848</v>
      </c>
      <c r="Q45" s="141">
        <v>3301237</v>
      </c>
      <c r="R45" s="141">
        <v>3591874</v>
      </c>
      <c r="S45" s="141">
        <v>2527344</v>
      </c>
      <c r="T45" s="141">
        <v>2501548</v>
      </c>
      <c r="U45" s="141">
        <v>2487365</v>
      </c>
      <c r="V45" s="141">
        <v>3995737</v>
      </c>
      <c r="W45" s="141">
        <v>2740332</v>
      </c>
      <c r="X45" s="141">
        <v>2179863</v>
      </c>
      <c r="Y45" s="141">
        <v>3488338</v>
      </c>
      <c r="Z45" s="141">
        <v>1653370</v>
      </c>
      <c r="AA45" s="141">
        <v>1309202</v>
      </c>
      <c r="AB45" s="141">
        <v>2038140</v>
      </c>
      <c r="AC45" s="141">
        <v>3568653</v>
      </c>
      <c r="AD45" s="141">
        <v>3490237</v>
      </c>
      <c r="AE45" s="141">
        <v>3272077</v>
      </c>
      <c r="AF45" s="141">
        <v>2178206</v>
      </c>
      <c r="AG45" s="141">
        <v>2234254</v>
      </c>
      <c r="AH45" s="141">
        <v>1633660</v>
      </c>
      <c r="AI45" s="141">
        <v>1122333</v>
      </c>
      <c r="AJ45" s="141">
        <v>1797624</v>
      </c>
      <c r="AK45" s="141">
        <v>1267752</v>
      </c>
      <c r="AL45" s="141">
        <v>1280150</v>
      </c>
      <c r="AM45" s="141">
        <v>1640756</v>
      </c>
      <c r="AN45" s="141">
        <v>817024</v>
      </c>
      <c r="AO45" s="141">
        <v>1051697</v>
      </c>
      <c r="AP45" s="141">
        <v>679587</v>
      </c>
      <c r="AQ45" s="141">
        <v>619384</v>
      </c>
      <c r="AR45" s="141">
        <v>821943</v>
      </c>
      <c r="AS45" s="141">
        <v>3018384</v>
      </c>
      <c r="AT45" s="141">
        <v>77113</v>
      </c>
      <c r="AU45" s="141">
        <v>455361</v>
      </c>
      <c r="AV45" s="141">
        <v>499909</v>
      </c>
      <c r="AW45" s="142">
        <v>581891</v>
      </c>
      <c r="CQ45" s="157"/>
    </row>
    <row r="46" spans="1:107" ht="14.4">
      <c r="A46" s="138" t="s">
        <v>245</v>
      </c>
      <c r="B46" s="139" t="s">
        <v>225</v>
      </c>
      <c r="C46" s="140">
        <v>0</v>
      </c>
      <c r="D46" s="141">
        <v>0</v>
      </c>
      <c r="E46" s="141">
        <v>0</v>
      </c>
      <c r="F46" s="141">
        <v>0</v>
      </c>
      <c r="G46" s="141">
        <v>0</v>
      </c>
      <c r="H46" s="141">
        <v>0</v>
      </c>
      <c r="I46" s="141">
        <v>0</v>
      </c>
      <c r="J46" s="141">
        <v>0</v>
      </c>
      <c r="K46" s="141">
        <v>0</v>
      </c>
      <c r="L46" s="141">
        <v>0</v>
      </c>
      <c r="M46" s="141">
        <v>0</v>
      </c>
      <c r="N46" s="141">
        <v>0</v>
      </c>
      <c r="O46" s="141">
        <v>0</v>
      </c>
      <c r="P46" s="141">
        <v>0</v>
      </c>
      <c r="Q46" s="141">
        <v>0</v>
      </c>
      <c r="R46" s="141">
        <v>0</v>
      </c>
      <c r="S46" s="141">
        <v>0</v>
      </c>
      <c r="T46" s="141">
        <v>0</v>
      </c>
      <c r="U46" s="141">
        <v>0</v>
      </c>
      <c r="V46" s="141">
        <v>0</v>
      </c>
      <c r="W46" s="141">
        <v>0</v>
      </c>
      <c r="X46" s="141">
        <v>0</v>
      </c>
      <c r="Y46" s="141">
        <v>0</v>
      </c>
      <c r="Z46" s="141">
        <v>0</v>
      </c>
      <c r="AA46" s="141">
        <v>0</v>
      </c>
      <c r="AB46" s="141">
        <v>0</v>
      </c>
      <c r="AC46" s="141">
        <v>0</v>
      </c>
      <c r="AD46" s="141">
        <v>0</v>
      </c>
      <c r="AE46" s="141">
        <v>0</v>
      </c>
      <c r="AF46" s="141">
        <v>0</v>
      </c>
      <c r="AG46" s="141">
        <v>0</v>
      </c>
      <c r="AH46" s="141">
        <v>0</v>
      </c>
      <c r="AI46" s="141">
        <v>0</v>
      </c>
      <c r="AJ46" s="141">
        <v>0</v>
      </c>
      <c r="AK46" s="141">
        <v>0</v>
      </c>
      <c r="AL46" s="141">
        <v>0</v>
      </c>
      <c r="AM46" s="141">
        <v>0</v>
      </c>
      <c r="AN46" s="141">
        <v>0</v>
      </c>
      <c r="AO46" s="141">
        <v>0</v>
      </c>
      <c r="AP46" s="141">
        <v>0</v>
      </c>
      <c r="AQ46" s="141">
        <v>0</v>
      </c>
      <c r="AR46" s="141">
        <v>0</v>
      </c>
      <c r="AS46" s="141">
        <v>0</v>
      </c>
      <c r="AT46" s="141">
        <v>0</v>
      </c>
      <c r="AU46" s="141">
        <v>0</v>
      </c>
      <c r="AV46" s="141">
        <v>0</v>
      </c>
      <c r="AW46" s="142">
        <v>0</v>
      </c>
    </row>
    <row r="47" spans="1:107" ht="14.4">
      <c r="A47" s="138" t="s">
        <v>245</v>
      </c>
      <c r="B47" s="139" t="s">
        <v>226</v>
      </c>
      <c r="C47" s="140">
        <v>0</v>
      </c>
      <c r="D47" s="141">
        <v>0</v>
      </c>
      <c r="E47" s="141">
        <v>0</v>
      </c>
      <c r="F47" s="141">
        <v>0</v>
      </c>
      <c r="G47" s="141">
        <v>0</v>
      </c>
      <c r="H47" s="141">
        <v>0</v>
      </c>
      <c r="I47" s="141">
        <v>0</v>
      </c>
      <c r="J47" s="141">
        <v>0</v>
      </c>
      <c r="K47" s="141">
        <v>0</v>
      </c>
      <c r="L47" s="141">
        <v>0</v>
      </c>
      <c r="M47" s="141">
        <v>0</v>
      </c>
      <c r="N47" s="141">
        <v>0</v>
      </c>
      <c r="O47" s="141">
        <v>0</v>
      </c>
      <c r="P47" s="141">
        <v>0</v>
      </c>
      <c r="Q47" s="141">
        <v>0</v>
      </c>
      <c r="R47" s="141">
        <v>0</v>
      </c>
      <c r="S47" s="141">
        <v>0</v>
      </c>
      <c r="T47" s="141">
        <v>0</v>
      </c>
      <c r="U47" s="141">
        <v>0</v>
      </c>
      <c r="V47" s="141">
        <v>0</v>
      </c>
      <c r="W47" s="141">
        <v>0</v>
      </c>
      <c r="X47" s="141">
        <v>0</v>
      </c>
      <c r="Y47" s="141">
        <v>0</v>
      </c>
      <c r="Z47" s="141">
        <v>0</v>
      </c>
      <c r="AA47" s="141">
        <v>0</v>
      </c>
      <c r="AB47" s="141">
        <v>0</v>
      </c>
      <c r="AC47" s="141">
        <v>0</v>
      </c>
      <c r="AD47" s="141">
        <v>0</v>
      </c>
      <c r="AE47" s="141">
        <v>0</v>
      </c>
      <c r="AF47" s="141">
        <v>0</v>
      </c>
      <c r="AG47" s="141">
        <v>0</v>
      </c>
      <c r="AH47" s="141">
        <v>0</v>
      </c>
      <c r="AI47" s="141">
        <v>0</v>
      </c>
      <c r="AJ47" s="141">
        <v>0</v>
      </c>
      <c r="AK47" s="141">
        <v>0</v>
      </c>
      <c r="AL47" s="141">
        <v>0</v>
      </c>
      <c r="AM47" s="141">
        <v>0</v>
      </c>
      <c r="AN47" s="141">
        <v>0</v>
      </c>
      <c r="AO47" s="141">
        <v>0</v>
      </c>
      <c r="AP47" s="141">
        <v>0</v>
      </c>
      <c r="AQ47" s="141">
        <v>3</v>
      </c>
      <c r="AR47" s="141">
        <v>7</v>
      </c>
      <c r="AS47" s="141">
        <v>6</v>
      </c>
      <c r="AT47" s="141">
        <v>24</v>
      </c>
      <c r="AU47" s="141">
        <v>24</v>
      </c>
      <c r="AV47" s="141">
        <v>521</v>
      </c>
      <c r="AW47" s="142">
        <v>966</v>
      </c>
      <c r="AZ47" s="176">
        <v>2008</v>
      </c>
      <c r="BA47" s="176">
        <v>2009</v>
      </c>
      <c r="BB47" s="176">
        <v>2010</v>
      </c>
      <c r="BC47" s="176">
        <v>2011</v>
      </c>
      <c r="BD47" s="176">
        <v>2012</v>
      </c>
    </row>
    <row r="48" spans="1:107" ht="14.4">
      <c r="A48" s="138" t="s">
        <v>245</v>
      </c>
      <c r="B48" s="139" t="s">
        <v>70</v>
      </c>
      <c r="C48" s="140">
        <v>0</v>
      </c>
      <c r="D48" s="141">
        <v>0</v>
      </c>
      <c r="E48" s="141">
        <v>0</v>
      </c>
      <c r="F48" s="141">
        <v>0</v>
      </c>
      <c r="G48" s="141">
        <v>0</v>
      </c>
      <c r="H48" s="141">
        <v>0</v>
      </c>
      <c r="I48" s="141">
        <v>0</v>
      </c>
      <c r="J48" s="141">
        <v>0</v>
      </c>
      <c r="K48" s="141">
        <v>0</v>
      </c>
      <c r="L48" s="141">
        <v>0</v>
      </c>
      <c r="M48" s="141">
        <v>0</v>
      </c>
      <c r="N48" s="141">
        <v>0</v>
      </c>
      <c r="O48" s="141">
        <v>0</v>
      </c>
      <c r="P48" s="141">
        <v>0</v>
      </c>
      <c r="Q48" s="141">
        <v>0</v>
      </c>
      <c r="R48" s="141">
        <v>0</v>
      </c>
      <c r="S48" s="141">
        <v>0</v>
      </c>
      <c r="T48" s="141">
        <v>0</v>
      </c>
      <c r="U48" s="141">
        <v>0</v>
      </c>
      <c r="V48" s="141">
        <v>0</v>
      </c>
      <c r="W48" s="141">
        <v>0</v>
      </c>
      <c r="X48" s="141">
        <v>0</v>
      </c>
      <c r="Y48" s="141">
        <v>0</v>
      </c>
      <c r="Z48" s="141">
        <v>0</v>
      </c>
      <c r="AA48" s="141">
        <v>0</v>
      </c>
      <c r="AB48" s="141">
        <v>0</v>
      </c>
      <c r="AC48" s="141">
        <v>0</v>
      </c>
      <c r="AD48" s="141">
        <v>0</v>
      </c>
      <c r="AE48" s="141">
        <v>2824</v>
      </c>
      <c r="AF48" s="141">
        <v>2848</v>
      </c>
      <c r="AG48" s="141">
        <v>1199</v>
      </c>
      <c r="AH48" s="141">
        <v>8721</v>
      </c>
      <c r="AI48" s="141">
        <v>7725</v>
      </c>
      <c r="AJ48" s="141">
        <v>4955</v>
      </c>
      <c r="AK48" s="141">
        <v>5460</v>
      </c>
      <c r="AL48" s="141">
        <v>9186</v>
      </c>
      <c r="AM48" s="141">
        <v>8423</v>
      </c>
      <c r="AN48" s="141">
        <v>47522</v>
      </c>
      <c r="AO48" s="141">
        <v>45835</v>
      </c>
      <c r="AP48" s="141">
        <v>23236</v>
      </c>
      <c r="AQ48" s="141">
        <v>23237</v>
      </c>
      <c r="AR48" s="141">
        <v>0</v>
      </c>
      <c r="AS48" s="141">
        <v>0</v>
      </c>
      <c r="AT48" s="141">
        <v>0</v>
      </c>
      <c r="AU48" s="141">
        <v>0</v>
      </c>
      <c r="AV48" s="141">
        <v>0</v>
      </c>
      <c r="AW48" s="142">
        <v>0</v>
      </c>
      <c r="AY48" s="177" t="s">
        <v>155</v>
      </c>
      <c r="AZ48" s="176" t="s">
        <v>149</v>
      </c>
      <c r="BA48" s="176" t="s">
        <v>149</v>
      </c>
      <c r="BB48" s="176" t="s">
        <v>149</v>
      </c>
      <c r="BC48" s="176" t="s">
        <v>149</v>
      </c>
      <c r="BD48" s="176" t="s">
        <v>149</v>
      </c>
    </row>
    <row r="49" spans="1:58" ht="14.4">
      <c r="A49" s="138" t="s">
        <v>245</v>
      </c>
      <c r="B49" s="139" t="s">
        <v>227</v>
      </c>
      <c r="C49" s="140">
        <v>397650</v>
      </c>
      <c r="D49" s="141">
        <v>432699</v>
      </c>
      <c r="E49" s="141">
        <v>476143</v>
      </c>
      <c r="F49" s="141">
        <v>530132</v>
      </c>
      <c r="G49" s="141">
        <v>593411</v>
      </c>
      <c r="H49" s="141">
        <v>643437</v>
      </c>
      <c r="I49" s="141">
        <v>685084</v>
      </c>
      <c r="J49" s="141">
        <v>736411</v>
      </c>
      <c r="K49" s="141">
        <v>731086</v>
      </c>
      <c r="L49" s="141">
        <v>686570</v>
      </c>
      <c r="M49" s="141">
        <v>613406</v>
      </c>
      <c r="N49" s="141">
        <v>594418</v>
      </c>
      <c r="O49" s="141">
        <v>639873</v>
      </c>
      <c r="P49" s="141">
        <v>625981</v>
      </c>
      <c r="Q49" s="141">
        <v>647706</v>
      </c>
      <c r="R49" s="141">
        <v>763354</v>
      </c>
      <c r="S49" s="141">
        <v>759288</v>
      </c>
      <c r="T49" s="141">
        <v>783722</v>
      </c>
      <c r="U49" s="141">
        <v>785727</v>
      </c>
      <c r="V49" s="141">
        <v>767902</v>
      </c>
      <c r="W49" s="141">
        <v>911578</v>
      </c>
      <c r="X49" s="141">
        <v>909734</v>
      </c>
      <c r="Y49" s="141">
        <v>857186</v>
      </c>
      <c r="Z49" s="141">
        <v>844713</v>
      </c>
      <c r="AA49" s="141">
        <v>891592</v>
      </c>
      <c r="AB49" s="141">
        <v>1096782</v>
      </c>
      <c r="AC49" s="141">
        <v>1163069</v>
      </c>
      <c r="AD49" s="141">
        <v>1103643</v>
      </c>
      <c r="AE49" s="141">
        <v>1200480</v>
      </c>
      <c r="AF49" s="141">
        <v>1178367</v>
      </c>
      <c r="AG49" s="141">
        <v>1231778</v>
      </c>
      <c r="AH49" s="141">
        <v>1027529</v>
      </c>
      <c r="AI49" s="141">
        <v>905799</v>
      </c>
      <c r="AJ49" s="141">
        <v>977882</v>
      </c>
      <c r="AK49" s="141">
        <v>756137</v>
      </c>
      <c r="AL49" s="141">
        <v>555652</v>
      </c>
      <c r="AM49" s="141">
        <v>565485</v>
      </c>
      <c r="AN49" s="141">
        <v>904276</v>
      </c>
      <c r="AO49" s="141">
        <v>922446</v>
      </c>
      <c r="AP49" s="141">
        <v>644273</v>
      </c>
      <c r="AQ49" s="141">
        <v>781406</v>
      </c>
      <c r="AR49" s="141">
        <v>1101084</v>
      </c>
      <c r="AS49" s="141">
        <v>1285842</v>
      </c>
      <c r="AT49" s="141">
        <v>1153932</v>
      </c>
      <c r="AU49" s="141">
        <v>1169936</v>
      </c>
      <c r="AV49" s="141">
        <v>1056349</v>
      </c>
      <c r="AW49" s="142">
        <v>1074112</v>
      </c>
      <c r="AY49" s="116" t="s">
        <v>150</v>
      </c>
      <c r="AZ49" s="116">
        <v>4223</v>
      </c>
      <c r="BA49" s="116">
        <v>3754</v>
      </c>
      <c r="BB49" s="116">
        <v>3768</v>
      </c>
      <c r="BC49" s="116">
        <v>3365</v>
      </c>
      <c r="BD49" s="116">
        <v>3897</v>
      </c>
    </row>
    <row r="50" spans="1:58" ht="15" thickBot="1">
      <c r="A50" s="158" t="s">
        <v>245</v>
      </c>
      <c r="B50" s="159" t="s">
        <v>228</v>
      </c>
      <c r="C50" s="160">
        <v>2278</v>
      </c>
      <c r="D50" s="161">
        <v>2479</v>
      </c>
      <c r="E50" s="161">
        <v>3063</v>
      </c>
      <c r="F50" s="161">
        <v>4198</v>
      </c>
      <c r="G50" s="161">
        <v>4495</v>
      </c>
      <c r="H50" s="161">
        <v>4899</v>
      </c>
      <c r="I50" s="161">
        <v>5362</v>
      </c>
      <c r="J50" s="161">
        <v>5639</v>
      </c>
      <c r="K50" s="161">
        <v>5838</v>
      </c>
      <c r="L50" s="161">
        <v>5961</v>
      </c>
      <c r="M50" s="161">
        <v>5173</v>
      </c>
      <c r="N50" s="161">
        <v>5701</v>
      </c>
      <c r="O50" s="161">
        <v>5536</v>
      </c>
      <c r="P50" s="161">
        <v>5388</v>
      </c>
      <c r="Q50" s="161">
        <v>0</v>
      </c>
      <c r="R50" s="161">
        <v>0</v>
      </c>
      <c r="S50" s="161">
        <v>294559</v>
      </c>
      <c r="T50" s="161">
        <v>446939</v>
      </c>
      <c r="U50" s="161">
        <v>459885</v>
      </c>
      <c r="V50" s="161">
        <v>439145</v>
      </c>
      <c r="W50" s="161">
        <v>335697</v>
      </c>
      <c r="X50" s="161">
        <v>362024</v>
      </c>
      <c r="Y50" s="161">
        <v>405850</v>
      </c>
      <c r="Z50" s="161">
        <v>416804</v>
      </c>
      <c r="AA50" s="161">
        <v>427758</v>
      </c>
      <c r="AB50" s="161">
        <v>387197</v>
      </c>
      <c r="AC50" s="161">
        <v>346636</v>
      </c>
      <c r="AD50" s="161">
        <v>306075</v>
      </c>
      <c r="AE50" s="161">
        <v>351620</v>
      </c>
      <c r="AF50" s="161">
        <v>380457</v>
      </c>
      <c r="AG50" s="161">
        <v>318666</v>
      </c>
      <c r="AH50" s="161">
        <v>256816</v>
      </c>
      <c r="AI50" s="161">
        <v>222847</v>
      </c>
      <c r="AJ50" s="161">
        <v>299190</v>
      </c>
      <c r="AK50" s="161">
        <v>275371</v>
      </c>
      <c r="AL50" s="161">
        <v>252295</v>
      </c>
      <c r="AM50" s="161">
        <v>252295</v>
      </c>
      <c r="AN50" s="161">
        <v>260862</v>
      </c>
      <c r="AO50" s="161">
        <v>247819</v>
      </c>
      <c r="AP50" s="161">
        <v>354806</v>
      </c>
      <c r="AQ50" s="161">
        <v>367693</v>
      </c>
      <c r="AR50" s="161">
        <v>404977</v>
      </c>
      <c r="AS50" s="161">
        <v>585757</v>
      </c>
      <c r="AT50" s="161">
        <v>585699</v>
      </c>
      <c r="AU50" s="161">
        <v>583942</v>
      </c>
      <c r="AV50" s="161">
        <v>558832</v>
      </c>
      <c r="AW50" s="162">
        <v>558832</v>
      </c>
      <c r="AY50" s="116" t="s">
        <v>151</v>
      </c>
      <c r="BA50" s="116">
        <v>2985</v>
      </c>
      <c r="BB50" s="116">
        <v>2741</v>
      </c>
      <c r="BC50" s="116">
        <v>2656</v>
      </c>
    </row>
    <row r="51" spans="1:58" ht="13.8" thickTop="1">
      <c r="BF51" s="116" t="s">
        <v>139</v>
      </c>
    </row>
    <row r="52" spans="1:58">
      <c r="BA52" s="130">
        <f>BA49/(BA49+BA50)</f>
        <v>0.55705594301825201</v>
      </c>
      <c r="BB52" s="130">
        <f>BB49/(BB49+BB50)</f>
        <v>0.57889076663081884</v>
      </c>
      <c r="BC52" s="130">
        <f>BC49/(BC49+BC50)</f>
        <v>0.55887726291313733</v>
      </c>
      <c r="BF52" s="165">
        <f>AVERAGE(BA52:BC52)</f>
        <v>0.56494132418740273</v>
      </c>
    </row>
    <row r="54" spans="1:58" ht="15" thickBot="1">
      <c r="A54" s="120" t="s">
        <v>252</v>
      </c>
    </row>
    <row r="55" spans="1:58" ht="30" thickTop="1" thickBot="1">
      <c r="A55" s="133" t="s">
        <v>136</v>
      </c>
      <c r="B55" s="134" t="s">
        <v>137</v>
      </c>
      <c r="C55" s="135">
        <v>1966</v>
      </c>
      <c r="D55" s="136">
        <v>1967</v>
      </c>
      <c r="E55" s="136">
        <v>1968</v>
      </c>
      <c r="F55" s="136">
        <v>1969</v>
      </c>
      <c r="G55" s="136">
        <v>1970</v>
      </c>
      <c r="H55" s="136">
        <v>1971</v>
      </c>
      <c r="I55" s="136">
        <v>1972</v>
      </c>
      <c r="J55" s="136">
        <v>1973</v>
      </c>
      <c r="K55" s="136">
        <v>1974</v>
      </c>
      <c r="L55" s="136">
        <v>1975</v>
      </c>
      <c r="M55" s="136">
        <v>1976</v>
      </c>
      <c r="N55" s="136">
        <v>1977</v>
      </c>
      <c r="O55" s="136">
        <v>1978</v>
      </c>
      <c r="P55" s="136">
        <v>1979</v>
      </c>
      <c r="Q55" s="136">
        <v>1980</v>
      </c>
      <c r="R55" s="136">
        <v>1981</v>
      </c>
      <c r="S55" s="136">
        <v>1982</v>
      </c>
      <c r="T55" s="136">
        <v>1983</v>
      </c>
      <c r="U55" s="136">
        <v>1984</v>
      </c>
      <c r="V55" s="136">
        <v>1985</v>
      </c>
      <c r="W55" s="136">
        <v>1986</v>
      </c>
      <c r="X55" s="136">
        <v>1987</v>
      </c>
      <c r="Y55" s="136">
        <v>1988</v>
      </c>
      <c r="Z55" s="136">
        <v>1989</v>
      </c>
      <c r="AA55" s="136">
        <v>1990</v>
      </c>
      <c r="AB55" s="136">
        <v>1991</v>
      </c>
      <c r="AC55" s="136">
        <v>1992</v>
      </c>
      <c r="AD55" s="136">
        <v>1993</v>
      </c>
      <c r="AE55" s="136">
        <v>1994</v>
      </c>
      <c r="AF55" s="136">
        <v>1995</v>
      </c>
      <c r="AG55" s="136">
        <v>1996</v>
      </c>
      <c r="AH55" s="136">
        <v>1997</v>
      </c>
      <c r="AI55" s="136">
        <v>1998</v>
      </c>
      <c r="AJ55" s="136">
        <v>1999</v>
      </c>
      <c r="AK55" s="136">
        <v>2000</v>
      </c>
      <c r="AL55" s="136">
        <v>2001</v>
      </c>
      <c r="AM55" s="136">
        <v>2002</v>
      </c>
      <c r="AN55" s="136">
        <v>2003</v>
      </c>
      <c r="AO55" s="136">
        <v>2004</v>
      </c>
      <c r="AP55" s="136">
        <v>2005</v>
      </c>
      <c r="AQ55" s="136">
        <v>2006</v>
      </c>
      <c r="AR55" s="136">
        <v>2007</v>
      </c>
      <c r="AS55" s="136">
        <v>2008</v>
      </c>
      <c r="AT55" s="136">
        <v>2009</v>
      </c>
      <c r="AU55" s="136">
        <v>2010</v>
      </c>
      <c r="AV55" s="136">
        <v>2011</v>
      </c>
      <c r="AW55" s="137">
        <v>2012</v>
      </c>
    </row>
    <row r="56" spans="1:58" ht="14.4">
      <c r="A56" s="138" t="s">
        <v>245</v>
      </c>
      <c r="B56" s="139" t="s">
        <v>221</v>
      </c>
      <c r="C56" s="140">
        <f t="shared" ref="C56:AW61" si="18">C20-C37</f>
        <v>-185997985</v>
      </c>
      <c r="D56" s="140">
        <f t="shared" si="18"/>
        <v>-273247012</v>
      </c>
      <c r="E56" s="140">
        <f t="shared" si="18"/>
        <v>-282278379</v>
      </c>
      <c r="F56" s="140">
        <f t="shared" si="18"/>
        <v>-382445493</v>
      </c>
      <c r="G56" s="140">
        <f t="shared" si="18"/>
        <v>-417950029</v>
      </c>
      <c r="H56" s="140">
        <f t="shared" si="18"/>
        <v>-426965749</v>
      </c>
      <c r="I56" s="140">
        <f t="shared" si="18"/>
        <v>-405622181</v>
      </c>
      <c r="J56" s="140">
        <f t="shared" si="18"/>
        <v>-419941430</v>
      </c>
      <c r="K56" s="140">
        <f t="shared" si="18"/>
        <v>-395445381</v>
      </c>
      <c r="L56" s="140">
        <f t="shared" si="18"/>
        <v>-334381256</v>
      </c>
      <c r="M56" s="140">
        <f t="shared" si="18"/>
        <v>-326893057</v>
      </c>
      <c r="N56" s="140">
        <f t="shared" si="18"/>
        <v>-323173307</v>
      </c>
      <c r="O56" s="140">
        <f t="shared" si="18"/>
        <v>-334801625</v>
      </c>
      <c r="P56" s="140">
        <f t="shared" si="18"/>
        <v>-356687766</v>
      </c>
      <c r="Q56" s="140">
        <f t="shared" si="18"/>
        <v>-271367717</v>
      </c>
      <c r="R56" s="140">
        <f t="shared" si="18"/>
        <v>-244655971</v>
      </c>
      <c r="S56" s="140">
        <f t="shared" si="18"/>
        <v>-219934312</v>
      </c>
      <c r="T56" s="140">
        <f t="shared" si="18"/>
        <v>-266041514</v>
      </c>
      <c r="U56" s="140">
        <f t="shared" si="18"/>
        <v>-287567570</v>
      </c>
      <c r="V56" s="140">
        <f t="shared" si="18"/>
        <v>-279743964</v>
      </c>
      <c r="W56" s="140">
        <f t="shared" si="18"/>
        <v>-304432563</v>
      </c>
      <c r="X56" s="140">
        <f t="shared" si="18"/>
        <v>-296960845</v>
      </c>
      <c r="Y56" s="140">
        <f t="shared" si="18"/>
        <v>-310890390</v>
      </c>
      <c r="Z56" s="140">
        <f t="shared" si="18"/>
        <v>-323131975</v>
      </c>
      <c r="AA56" s="140">
        <f t="shared" si="18"/>
        <v>-308682005</v>
      </c>
      <c r="AB56" s="140">
        <f t="shared" si="18"/>
        <v>-331394770</v>
      </c>
      <c r="AC56" s="140">
        <f t="shared" si="18"/>
        <v>-355454908</v>
      </c>
      <c r="AD56" s="140">
        <f t="shared" si="18"/>
        <v>-356795000</v>
      </c>
      <c r="AE56" s="140">
        <f t="shared" si="18"/>
        <v>-365356400</v>
      </c>
      <c r="AF56" s="140">
        <f t="shared" si="18"/>
        <v>-412022100</v>
      </c>
      <c r="AG56" s="140">
        <f t="shared" si="18"/>
        <v>-448338000</v>
      </c>
      <c r="AH56" s="140">
        <f t="shared" si="18"/>
        <v>-365090511</v>
      </c>
      <c r="AI56" s="140">
        <f t="shared" si="18"/>
        <v>-340314599</v>
      </c>
      <c r="AJ56" s="140">
        <f t="shared" si="18"/>
        <v>-339203135</v>
      </c>
      <c r="AK56" s="140">
        <f t="shared" si="18"/>
        <v>-346270013</v>
      </c>
      <c r="AL56" s="140">
        <f t="shared" si="18"/>
        <v>-343914817</v>
      </c>
      <c r="AM56" s="140">
        <f t="shared" si="18"/>
        <v>-333095071</v>
      </c>
      <c r="AN56" s="140">
        <f t="shared" si="18"/>
        <v>-352220912</v>
      </c>
      <c r="AO56" s="140">
        <f t="shared" si="18"/>
        <v>-344651751</v>
      </c>
      <c r="AP56" s="140">
        <f t="shared" si="18"/>
        <v>-332180848</v>
      </c>
      <c r="AQ56" s="140">
        <f t="shared" si="18"/>
        <v>-343530612</v>
      </c>
      <c r="AR56" s="140">
        <f t="shared" si="18"/>
        <v>-333386568</v>
      </c>
      <c r="AS56" s="140">
        <f t="shared" si="18"/>
        <v>-334639330</v>
      </c>
      <c r="AT56" s="140">
        <f t="shared" si="18"/>
        <v>-335634780</v>
      </c>
      <c r="AU56" s="140">
        <f t="shared" si="18"/>
        <v>-314168191</v>
      </c>
      <c r="AV56" s="140">
        <f t="shared" si="18"/>
        <v>-327286287</v>
      </c>
      <c r="AW56" s="140">
        <f t="shared" si="18"/>
        <v>-362386542</v>
      </c>
    </row>
    <row r="57" spans="1:58" ht="14.4">
      <c r="A57" s="138" t="s">
        <v>245</v>
      </c>
      <c r="B57" s="139" t="s">
        <v>222</v>
      </c>
      <c r="C57" s="140">
        <f t="shared" si="18"/>
        <v>0</v>
      </c>
      <c r="D57" s="140">
        <f t="shared" si="18"/>
        <v>0</v>
      </c>
      <c r="E57" s="140">
        <f t="shared" si="18"/>
        <v>0</v>
      </c>
      <c r="F57" s="140">
        <f t="shared" si="18"/>
        <v>0</v>
      </c>
      <c r="G57" s="140">
        <f t="shared" si="18"/>
        <v>0</v>
      </c>
      <c r="H57" s="140">
        <f t="shared" si="18"/>
        <v>0</v>
      </c>
      <c r="I57" s="140">
        <f t="shared" si="18"/>
        <v>0</v>
      </c>
      <c r="J57" s="140">
        <f t="shared" si="18"/>
        <v>0</v>
      </c>
      <c r="K57" s="140">
        <f t="shared" si="18"/>
        <v>3457958</v>
      </c>
      <c r="L57" s="140">
        <f t="shared" si="18"/>
        <v>7614121</v>
      </c>
      <c r="M57" s="140">
        <f t="shared" si="18"/>
        <v>-6238156</v>
      </c>
      <c r="N57" s="140">
        <f t="shared" si="18"/>
        <v>5426302</v>
      </c>
      <c r="O57" s="140">
        <f t="shared" si="18"/>
        <v>8224462</v>
      </c>
      <c r="P57" s="140">
        <f t="shared" si="18"/>
        <v>2400635</v>
      </c>
      <c r="Q57" s="140">
        <f t="shared" si="18"/>
        <v>-23622270</v>
      </c>
      <c r="R57" s="140">
        <f t="shared" si="18"/>
        <v>-14693192</v>
      </c>
      <c r="S57" s="140">
        <f t="shared" si="18"/>
        <v>-33676426</v>
      </c>
      <c r="T57" s="140">
        <f t="shared" si="18"/>
        <v>-27651458</v>
      </c>
      <c r="U57" s="140">
        <f t="shared" si="18"/>
        <v>-23113835</v>
      </c>
      <c r="V57" s="140">
        <f t="shared" si="18"/>
        <v>-17504277</v>
      </c>
      <c r="W57" s="140">
        <f t="shared" si="18"/>
        <v>-25215094</v>
      </c>
      <c r="X57" s="140">
        <f t="shared" si="18"/>
        <v>-26158943</v>
      </c>
      <c r="Y57" s="140">
        <f t="shared" si="18"/>
        <v>-30378383</v>
      </c>
      <c r="Z57" s="140">
        <f t="shared" si="18"/>
        <v>-34123962</v>
      </c>
      <c r="AA57" s="140">
        <f t="shared" si="18"/>
        <v>-26874299</v>
      </c>
      <c r="AB57" s="140">
        <f t="shared" si="18"/>
        <v>-16785219</v>
      </c>
      <c r="AC57" s="140">
        <f t="shared" si="18"/>
        <v>-7427491</v>
      </c>
      <c r="AD57" s="140">
        <f t="shared" si="18"/>
        <v>-22531702</v>
      </c>
      <c r="AE57" s="140">
        <f t="shared" si="18"/>
        <v>-11718613</v>
      </c>
      <c r="AF57" s="140">
        <f t="shared" si="18"/>
        <v>2452088</v>
      </c>
      <c r="AG57" s="140">
        <f t="shared" si="18"/>
        <v>-4375488</v>
      </c>
      <c r="AH57" s="140">
        <f t="shared" si="18"/>
        <v>-3270427</v>
      </c>
      <c r="AI57" s="140">
        <f t="shared" si="18"/>
        <v>-968768</v>
      </c>
      <c r="AJ57" s="140">
        <f t="shared" si="18"/>
        <v>-8817156</v>
      </c>
      <c r="AK57" s="140">
        <f t="shared" si="18"/>
        <v>-5113752</v>
      </c>
      <c r="AL57" s="140">
        <f t="shared" si="18"/>
        <v>-2322437</v>
      </c>
      <c r="AM57" s="140">
        <f t="shared" si="18"/>
        <v>-2161479</v>
      </c>
      <c r="AN57" s="140">
        <f t="shared" si="18"/>
        <v>-1990228</v>
      </c>
      <c r="AO57" s="140">
        <f t="shared" si="18"/>
        <v>-196701</v>
      </c>
      <c r="AP57" s="140">
        <f t="shared" si="18"/>
        <v>-2357523</v>
      </c>
      <c r="AQ57" s="140">
        <f t="shared" si="18"/>
        <v>-3397029</v>
      </c>
      <c r="AR57" s="140">
        <f t="shared" si="18"/>
        <v>-645244</v>
      </c>
      <c r="AS57" s="140">
        <f t="shared" si="18"/>
        <v>-482422</v>
      </c>
      <c r="AT57" s="140">
        <f t="shared" si="18"/>
        <v>-1317982</v>
      </c>
      <c r="AU57" s="140">
        <f t="shared" si="18"/>
        <v>-2073495</v>
      </c>
      <c r="AV57" s="140">
        <f t="shared" si="18"/>
        <v>-2408184</v>
      </c>
      <c r="AW57" s="140">
        <f t="shared" si="18"/>
        <v>-735379</v>
      </c>
    </row>
    <row r="58" spans="1:58" ht="14.4">
      <c r="A58" s="138" t="s">
        <v>245</v>
      </c>
      <c r="B58" s="139" t="s">
        <v>223</v>
      </c>
      <c r="C58" s="140">
        <f t="shared" si="18"/>
        <v>0</v>
      </c>
      <c r="D58" s="140">
        <f t="shared" si="18"/>
        <v>0</v>
      </c>
      <c r="E58" s="140">
        <f t="shared" si="18"/>
        <v>0</v>
      </c>
      <c r="F58" s="140">
        <f t="shared" si="18"/>
        <v>0</v>
      </c>
      <c r="G58" s="140">
        <f t="shared" si="18"/>
        <v>0</v>
      </c>
      <c r="H58" s="140">
        <f t="shared" si="18"/>
        <v>0</v>
      </c>
      <c r="I58" s="140">
        <f t="shared" si="18"/>
        <v>0</v>
      </c>
      <c r="J58" s="140">
        <f t="shared" si="18"/>
        <v>0</v>
      </c>
      <c r="K58" s="140">
        <f t="shared" si="18"/>
        <v>0</v>
      </c>
      <c r="L58" s="140">
        <f t="shared" si="18"/>
        <v>0</v>
      </c>
      <c r="M58" s="140">
        <f t="shared" si="18"/>
        <v>0</v>
      </c>
      <c r="N58" s="140">
        <f t="shared" si="18"/>
        <v>0</v>
      </c>
      <c r="O58" s="140">
        <f t="shared" si="18"/>
        <v>0</v>
      </c>
      <c r="P58" s="140">
        <f t="shared" si="18"/>
        <v>0</v>
      </c>
      <c r="Q58" s="140">
        <f t="shared" si="18"/>
        <v>0</v>
      </c>
      <c r="R58" s="140">
        <f t="shared" si="18"/>
        <v>0</v>
      </c>
      <c r="S58" s="140">
        <f t="shared" si="18"/>
        <v>0</v>
      </c>
      <c r="T58" s="140">
        <f t="shared" si="18"/>
        <v>0</v>
      </c>
      <c r="U58" s="140">
        <f t="shared" si="18"/>
        <v>0</v>
      </c>
      <c r="V58" s="140">
        <f t="shared" si="18"/>
        <v>0</v>
      </c>
      <c r="W58" s="140">
        <f t="shared" si="18"/>
        <v>0</v>
      </c>
      <c r="X58" s="140">
        <f t="shared" si="18"/>
        <v>0</v>
      </c>
      <c r="Y58" s="140">
        <f t="shared" si="18"/>
        <v>0</v>
      </c>
      <c r="Z58" s="140">
        <f t="shared" si="18"/>
        <v>0</v>
      </c>
      <c r="AA58" s="140">
        <f t="shared" si="18"/>
        <v>0</v>
      </c>
      <c r="AB58" s="140">
        <f t="shared" si="18"/>
        <v>0</v>
      </c>
      <c r="AC58" s="140">
        <f t="shared" si="18"/>
        <v>0</v>
      </c>
      <c r="AD58" s="140">
        <f t="shared" si="18"/>
        <v>0</v>
      </c>
      <c r="AE58" s="140">
        <f t="shared" si="18"/>
        <v>0</v>
      </c>
      <c r="AF58" s="140">
        <f t="shared" si="18"/>
        <v>0</v>
      </c>
      <c r="AG58" s="140">
        <f t="shared" si="18"/>
        <v>0</v>
      </c>
      <c r="AH58" s="140">
        <f t="shared" si="18"/>
        <v>0</v>
      </c>
      <c r="AI58" s="140">
        <f t="shared" si="18"/>
        <v>0</v>
      </c>
      <c r="AJ58" s="140">
        <f t="shared" si="18"/>
        <v>0</v>
      </c>
      <c r="AK58" s="140">
        <f t="shared" si="18"/>
        <v>0</v>
      </c>
      <c r="AL58" s="140">
        <f t="shared" si="18"/>
        <v>0</v>
      </c>
      <c r="AM58" s="140">
        <f t="shared" si="18"/>
        <v>0</v>
      </c>
      <c r="AN58" s="140">
        <f t="shared" si="18"/>
        <v>0</v>
      </c>
      <c r="AO58" s="140">
        <f t="shared" si="18"/>
        <v>0</v>
      </c>
      <c r="AP58" s="140">
        <f t="shared" si="18"/>
        <v>0</v>
      </c>
      <c r="AQ58" s="140">
        <f t="shared" si="18"/>
        <v>0</v>
      </c>
      <c r="AR58" s="140">
        <f t="shared" si="18"/>
        <v>0</v>
      </c>
      <c r="AS58" s="140">
        <f t="shared" si="18"/>
        <v>0</v>
      </c>
      <c r="AT58" s="140">
        <f t="shared" si="18"/>
        <v>0</v>
      </c>
      <c r="AU58" s="140">
        <f t="shared" si="18"/>
        <v>0</v>
      </c>
      <c r="AV58" s="140">
        <f t="shared" si="18"/>
        <v>0</v>
      </c>
      <c r="AW58" s="140">
        <f t="shared" si="18"/>
        <v>0</v>
      </c>
    </row>
    <row r="59" spans="1:58" ht="14.4">
      <c r="A59" s="178" t="s">
        <v>245</v>
      </c>
      <c r="B59" s="146" t="s">
        <v>75</v>
      </c>
      <c r="C59" s="179">
        <f t="shared" si="18"/>
        <v>5977157</v>
      </c>
      <c r="D59" s="179">
        <f t="shared" si="18"/>
        <v>7049803</v>
      </c>
      <c r="E59" s="179">
        <f t="shared" si="18"/>
        <v>7919317</v>
      </c>
      <c r="F59" s="179">
        <f t="shared" si="18"/>
        <v>9218983</v>
      </c>
      <c r="G59" s="179">
        <f t="shared" si="18"/>
        <v>9030888</v>
      </c>
      <c r="H59" s="179">
        <f t="shared" si="18"/>
        <v>8749522</v>
      </c>
      <c r="I59" s="179">
        <f t="shared" si="18"/>
        <v>8780845</v>
      </c>
      <c r="J59" s="179">
        <f t="shared" si="18"/>
        <v>8367732</v>
      </c>
      <c r="K59" s="179">
        <f t="shared" si="18"/>
        <v>7201462</v>
      </c>
      <c r="L59" s="179">
        <f t="shared" si="18"/>
        <v>5085433</v>
      </c>
      <c r="M59" s="179">
        <f t="shared" si="18"/>
        <v>5736938</v>
      </c>
      <c r="N59" s="179">
        <f t="shared" si="18"/>
        <v>6254341</v>
      </c>
      <c r="O59" s="179">
        <f t="shared" si="18"/>
        <v>6393470</v>
      </c>
      <c r="P59" s="179">
        <f t="shared" si="18"/>
        <v>5979646</v>
      </c>
      <c r="Q59" s="179">
        <f t="shared" si="18"/>
        <v>5655947</v>
      </c>
      <c r="R59" s="179">
        <f t="shared" si="18"/>
        <v>5326950</v>
      </c>
      <c r="S59" s="179">
        <f t="shared" si="18"/>
        <v>6013166</v>
      </c>
      <c r="T59" s="179">
        <f t="shared" si="18"/>
        <v>6021172</v>
      </c>
      <c r="U59" s="179">
        <f t="shared" si="18"/>
        <v>6790385</v>
      </c>
      <c r="V59" s="179">
        <f t="shared" si="18"/>
        <v>6072787</v>
      </c>
      <c r="W59" s="179">
        <f t="shared" si="18"/>
        <v>6972841</v>
      </c>
      <c r="X59" s="179">
        <f t="shared" si="18"/>
        <v>7333091</v>
      </c>
      <c r="Y59" s="179">
        <f t="shared" si="18"/>
        <v>7146309</v>
      </c>
      <c r="Z59" s="179">
        <f t="shared" si="18"/>
        <v>6589218</v>
      </c>
      <c r="AA59" s="179">
        <f t="shared" si="18"/>
        <v>6511459</v>
      </c>
      <c r="AB59" s="179">
        <f t="shared" si="18"/>
        <v>6398783</v>
      </c>
      <c r="AC59" s="179">
        <f t="shared" si="18"/>
        <v>6040763</v>
      </c>
      <c r="AD59" s="179">
        <f t="shared" si="18"/>
        <v>7179277</v>
      </c>
      <c r="AE59" s="179">
        <f t="shared" si="18"/>
        <v>7054349</v>
      </c>
      <c r="AF59" s="179">
        <f t="shared" si="18"/>
        <v>6870224</v>
      </c>
      <c r="AG59" s="179">
        <f t="shared" si="18"/>
        <v>7400355</v>
      </c>
      <c r="AH59" s="179">
        <f t="shared" si="18"/>
        <v>8276037</v>
      </c>
      <c r="AI59" s="179">
        <f t="shared" si="18"/>
        <v>6547837</v>
      </c>
      <c r="AJ59" s="179">
        <f t="shared" si="18"/>
        <v>7470836</v>
      </c>
      <c r="AK59" s="179">
        <f t="shared" si="18"/>
        <v>8668846</v>
      </c>
      <c r="AL59" s="179">
        <f t="shared" si="18"/>
        <v>8428717</v>
      </c>
      <c r="AM59" s="179">
        <f t="shared" si="18"/>
        <v>7411721</v>
      </c>
      <c r="AN59" s="179">
        <f t="shared" si="18"/>
        <v>8359226</v>
      </c>
      <c r="AO59" s="179">
        <f t="shared" si="18"/>
        <v>8345470</v>
      </c>
      <c r="AP59" s="179">
        <f t="shared" si="18"/>
        <v>6656287</v>
      </c>
      <c r="AQ59" s="179">
        <f t="shared" si="18"/>
        <v>7388514</v>
      </c>
      <c r="AR59" s="179">
        <f t="shared" si="18"/>
        <v>7132808</v>
      </c>
      <c r="AS59" s="179">
        <f t="shared" si="18"/>
        <v>5394483</v>
      </c>
      <c r="AT59" s="179">
        <f t="shared" si="18"/>
        <v>6456683</v>
      </c>
      <c r="AU59" s="179">
        <f t="shared" si="18"/>
        <v>6938324</v>
      </c>
      <c r="AV59" s="179">
        <f t="shared" si="18"/>
        <v>6112342</v>
      </c>
      <c r="AW59" s="179">
        <f t="shared" si="18"/>
        <v>7483740</v>
      </c>
    </row>
    <row r="60" spans="1:58" ht="14.4">
      <c r="A60" s="178" t="s">
        <v>245</v>
      </c>
      <c r="B60" s="146" t="s">
        <v>100</v>
      </c>
      <c r="C60" s="179">
        <f t="shared" si="18"/>
        <v>9575307</v>
      </c>
      <c r="D60" s="179">
        <f t="shared" si="18"/>
        <v>9444981</v>
      </c>
      <c r="E60" s="179">
        <f t="shared" si="18"/>
        <v>9592968</v>
      </c>
      <c r="F60" s="179">
        <f t="shared" si="18"/>
        <v>13028293</v>
      </c>
      <c r="G60" s="179">
        <f t="shared" si="18"/>
        <v>15134172</v>
      </c>
      <c r="H60" s="179">
        <f t="shared" si="18"/>
        <v>11910082</v>
      </c>
      <c r="I60" s="179">
        <f t="shared" si="18"/>
        <v>10146244</v>
      </c>
      <c r="J60" s="179">
        <f t="shared" si="18"/>
        <v>10021051</v>
      </c>
      <c r="K60" s="179">
        <f t="shared" si="18"/>
        <v>8920850</v>
      </c>
      <c r="L60" s="179">
        <f t="shared" si="18"/>
        <v>6822453</v>
      </c>
      <c r="M60" s="179">
        <f t="shared" si="18"/>
        <v>4496073</v>
      </c>
      <c r="N60" s="179">
        <f t="shared" si="18"/>
        <v>6061464</v>
      </c>
      <c r="O60" s="179">
        <f t="shared" si="18"/>
        <v>6195792</v>
      </c>
      <c r="P60" s="179">
        <f t="shared" si="18"/>
        <v>4028100</v>
      </c>
      <c r="Q60" s="179">
        <f t="shared" si="18"/>
        <v>5375730</v>
      </c>
      <c r="R60" s="179">
        <f t="shared" si="18"/>
        <v>4268786</v>
      </c>
      <c r="S60" s="179">
        <f t="shared" si="18"/>
        <v>5424624</v>
      </c>
      <c r="T60" s="179">
        <f t="shared" si="18"/>
        <v>4691084</v>
      </c>
      <c r="U60" s="179">
        <f t="shared" si="18"/>
        <v>4885964</v>
      </c>
      <c r="V60" s="179">
        <f t="shared" si="18"/>
        <v>5656610</v>
      </c>
      <c r="W60" s="179">
        <f t="shared" si="18"/>
        <v>4694261</v>
      </c>
      <c r="X60" s="179">
        <f t="shared" si="18"/>
        <v>5401499</v>
      </c>
      <c r="Y60" s="179">
        <f t="shared" si="18"/>
        <v>11304914</v>
      </c>
      <c r="Z60" s="179">
        <f t="shared" si="18"/>
        <v>12567468</v>
      </c>
      <c r="AA60" s="179">
        <f t="shared" si="18"/>
        <v>11339312</v>
      </c>
      <c r="AB60" s="179">
        <f t="shared" si="18"/>
        <v>14225315</v>
      </c>
      <c r="AC60" s="179">
        <f t="shared" si="18"/>
        <v>17570959</v>
      </c>
      <c r="AD60" s="179">
        <f t="shared" si="18"/>
        <v>13556836</v>
      </c>
      <c r="AE60" s="179">
        <f t="shared" si="18"/>
        <v>16260478</v>
      </c>
      <c r="AF60" s="179">
        <f t="shared" si="18"/>
        <v>16423526</v>
      </c>
      <c r="AG60" s="179">
        <f t="shared" si="18"/>
        <v>18222884</v>
      </c>
      <c r="AH60" s="179">
        <f t="shared" si="18"/>
        <v>11039632</v>
      </c>
      <c r="AI60" s="179">
        <f t="shared" si="18"/>
        <v>11702561</v>
      </c>
      <c r="AJ60" s="179">
        <f t="shared" si="18"/>
        <v>9217352</v>
      </c>
      <c r="AK60" s="179">
        <f t="shared" si="18"/>
        <v>6236853</v>
      </c>
      <c r="AL60" s="179">
        <f t="shared" si="18"/>
        <v>6037158</v>
      </c>
      <c r="AM60" s="179">
        <f t="shared" si="18"/>
        <v>5844933</v>
      </c>
      <c r="AN60" s="179">
        <f t="shared" si="18"/>
        <v>6665347</v>
      </c>
      <c r="AO60" s="179">
        <f t="shared" si="18"/>
        <v>6479179</v>
      </c>
      <c r="AP60" s="179">
        <f t="shared" si="18"/>
        <v>8580187</v>
      </c>
      <c r="AQ60" s="179">
        <f t="shared" si="18"/>
        <v>10434052</v>
      </c>
      <c r="AR60" s="179">
        <f t="shared" si="18"/>
        <v>9498536</v>
      </c>
      <c r="AS60" s="179">
        <f t="shared" si="18"/>
        <v>2475231</v>
      </c>
      <c r="AT60" s="179">
        <f t="shared" si="18"/>
        <v>3402981</v>
      </c>
      <c r="AU60" s="179">
        <f t="shared" si="18"/>
        <v>2892293</v>
      </c>
      <c r="AV60" s="179">
        <f t="shared" si="18"/>
        <v>7818742</v>
      </c>
      <c r="AW60" s="179">
        <f t="shared" si="18"/>
        <v>12806610</v>
      </c>
    </row>
    <row r="61" spans="1:58" ht="14.4">
      <c r="A61" s="178" t="s">
        <v>245</v>
      </c>
      <c r="B61" s="146" t="s">
        <v>77</v>
      </c>
      <c r="C61" s="179">
        <f t="shared" si="18"/>
        <v>33824439</v>
      </c>
      <c r="D61" s="179">
        <f t="shared" si="18"/>
        <v>48244337</v>
      </c>
      <c r="E61" s="179">
        <f t="shared" si="18"/>
        <v>48597586</v>
      </c>
      <c r="F61" s="179">
        <f t="shared" si="18"/>
        <v>57105765</v>
      </c>
      <c r="G61" s="179">
        <f t="shared" si="18"/>
        <v>56070850</v>
      </c>
      <c r="H61" s="179">
        <f t="shared" si="18"/>
        <v>63155058</v>
      </c>
      <c r="I61" s="179">
        <f t="shared" si="18"/>
        <v>61326910</v>
      </c>
      <c r="J61" s="179">
        <f t="shared" si="18"/>
        <v>62019235</v>
      </c>
      <c r="K61" s="179">
        <f t="shared" si="18"/>
        <v>64445340</v>
      </c>
      <c r="L61" s="179">
        <f t="shared" si="18"/>
        <v>58975868</v>
      </c>
      <c r="M61" s="179">
        <f t="shared" si="18"/>
        <v>60756880</v>
      </c>
      <c r="N61" s="179">
        <f t="shared" si="18"/>
        <v>59982727</v>
      </c>
      <c r="O61" s="179">
        <f t="shared" si="18"/>
        <v>62114930</v>
      </c>
      <c r="P61" s="179">
        <f t="shared" si="18"/>
        <v>61796391</v>
      </c>
      <c r="Q61" s="179">
        <f t="shared" si="18"/>
        <v>49031257</v>
      </c>
      <c r="R61" s="179">
        <f t="shared" si="18"/>
        <v>46292641</v>
      </c>
      <c r="S61" s="179">
        <f t="shared" si="18"/>
        <v>41437657</v>
      </c>
      <c r="T61" s="179">
        <f t="shared" si="18"/>
        <v>50344834</v>
      </c>
      <c r="U61" s="179">
        <f t="shared" si="18"/>
        <v>50786410</v>
      </c>
      <c r="V61" s="179">
        <f t="shared" si="18"/>
        <v>51394132</v>
      </c>
      <c r="W61" s="179">
        <f t="shared" ref="W61:AW61" si="19">W25-W42</f>
        <v>55869104</v>
      </c>
      <c r="X61" s="179">
        <f t="shared" si="19"/>
        <v>59725978</v>
      </c>
      <c r="Y61" s="179">
        <f t="shared" si="19"/>
        <v>62788718</v>
      </c>
      <c r="Z61" s="179">
        <f t="shared" si="19"/>
        <v>66583628</v>
      </c>
      <c r="AA61" s="179">
        <f t="shared" si="19"/>
        <v>57726723</v>
      </c>
      <c r="AB61" s="179">
        <f t="shared" si="19"/>
        <v>61980353</v>
      </c>
      <c r="AC61" s="179">
        <f t="shared" si="19"/>
        <v>60315752</v>
      </c>
      <c r="AD61" s="179">
        <f t="shared" si="19"/>
        <v>57446126</v>
      </c>
      <c r="AE61" s="179">
        <f t="shared" si="19"/>
        <v>61342053</v>
      </c>
      <c r="AF61" s="179">
        <f t="shared" si="19"/>
        <v>90061056</v>
      </c>
      <c r="AG61" s="179">
        <f t="shared" si="19"/>
        <v>118485777</v>
      </c>
      <c r="AH61" s="179">
        <f t="shared" si="19"/>
        <v>93696366</v>
      </c>
      <c r="AI61" s="179">
        <f t="shared" si="19"/>
        <v>82459766</v>
      </c>
      <c r="AJ61" s="179">
        <f t="shared" si="19"/>
        <v>97225445</v>
      </c>
      <c r="AK61" s="179">
        <f t="shared" si="19"/>
        <v>93199664</v>
      </c>
      <c r="AL61" s="179">
        <f t="shared" si="19"/>
        <v>92604525</v>
      </c>
      <c r="AM61" s="179">
        <f t="shared" si="19"/>
        <v>86703753</v>
      </c>
      <c r="AN61" s="179">
        <f t="shared" si="19"/>
        <v>83837811</v>
      </c>
      <c r="AO61" s="179">
        <f t="shared" si="19"/>
        <v>82142114</v>
      </c>
      <c r="AP61" s="179">
        <f t="shared" si="19"/>
        <v>79762149</v>
      </c>
      <c r="AQ61" s="179">
        <f t="shared" si="19"/>
        <v>91107522</v>
      </c>
      <c r="AR61" s="179">
        <f t="shared" si="19"/>
        <v>84541224</v>
      </c>
      <c r="AS61" s="179">
        <f t="shared" si="19"/>
        <v>88110964</v>
      </c>
      <c r="AT61" s="179">
        <f t="shared" si="19"/>
        <v>91694638</v>
      </c>
      <c r="AU61" s="179">
        <f t="shared" si="19"/>
        <v>86924215</v>
      </c>
      <c r="AV61" s="179">
        <f t="shared" si="19"/>
        <v>83700447</v>
      </c>
      <c r="AW61" s="179">
        <f t="shared" si="19"/>
        <v>90538388</v>
      </c>
    </row>
    <row r="62" spans="1:58" ht="14.4">
      <c r="A62" s="178" t="s">
        <v>245</v>
      </c>
      <c r="B62" s="146" t="s">
        <v>96</v>
      </c>
      <c r="C62" s="179">
        <f t="shared" ref="C62:AW67" si="20">C26-C43</f>
        <v>5008546</v>
      </c>
      <c r="D62" s="179">
        <f t="shared" si="20"/>
        <v>7391520</v>
      </c>
      <c r="E62" s="179">
        <f t="shared" si="20"/>
        <v>7297155</v>
      </c>
      <c r="F62" s="179">
        <f t="shared" si="20"/>
        <v>8787532</v>
      </c>
      <c r="G62" s="179">
        <f t="shared" si="20"/>
        <v>7581595</v>
      </c>
      <c r="H62" s="179">
        <f t="shared" si="20"/>
        <v>7699799</v>
      </c>
      <c r="I62" s="179">
        <f t="shared" si="20"/>
        <v>7435207</v>
      </c>
      <c r="J62" s="179">
        <f t="shared" si="20"/>
        <v>5786240</v>
      </c>
      <c r="K62" s="179">
        <f t="shared" si="20"/>
        <v>4360987</v>
      </c>
      <c r="L62" s="179">
        <f t="shared" si="20"/>
        <v>4202977</v>
      </c>
      <c r="M62" s="179">
        <f t="shared" si="20"/>
        <v>4866847</v>
      </c>
      <c r="N62" s="179">
        <f t="shared" si="20"/>
        <v>4194335</v>
      </c>
      <c r="O62" s="179">
        <f t="shared" si="20"/>
        <v>4234856</v>
      </c>
      <c r="P62" s="179">
        <f t="shared" si="20"/>
        <v>4381495</v>
      </c>
      <c r="Q62" s="179">
        <f t="shared" si="20"/>
        <v>2771646</v>
      </c>
      <c r="R62" s="179">
        <f t="shared" si="20"/>
        <v>968702</v>
      </c>
      <c r="S62" s="179">
        <f t="shared" si="20"/>
        <v>1765231</v>
      </c>
      <c r="T62" s="179">
        <f t="shared" si="20"/>
        <v>2850425</v>
      </c>
      <c r="U62" s="179">
        <f t="shared" si="20"/>
        <v>8313503</v>
      </c>
      <c r="V62" s="179">
        <f t="shared" si="20"/>
        <v>11306347</v>
      </c>
      <c r="W62" s="179">
        <f t="shared" si="20"/>
        <v>10126633</v>
      </c>
      <c r="X62" s="179">
        <f t="shared" si="20"/>
        <v>13004938</v>
      </c>
      <c r="Y62" s="179">
        <f t="shared" si="20"/>
        <v>11827476</v>
      </c>
      <c r="Z62" s="179">
        <f t="shared" si="20"/>
        <v>12121841</v>
      </c>
      <c r="AA62" s="179">
        <f t="shared" si="20"/>
        <v>14440260</v>
      </c>
      <c r="AB62" s="179">
        <f t="shared" si="20"/>
        <v>8700000</v>
      </c>
      <c r="AC62" s="179">
        <f t="shared" si="20"/>
        <v>5982338</v>
      </c>
      <c r="AD62" s="179">
        <f t="shared" si="20"/>
        <v>8175347</v>
      </c>
      <c r="AE62" s="179">
        <f t="shared" si="20"/>
        <v>11076492</v>
      </c>
      <c r="AF62" s="179">
        <f t="shared" si="20"/>
        <v>11709200</v>
      </c>
      <c r="AG62" s="179">
        <f t="shared" si="20"/>
        <v>18676769</v>
      </c>
      <c r="AH62" s="179">
        <f t="shared" si="20"/>
        <v>19528356</v>
      </c>
      <c r="AI62" s="179">
        <f t="shared" si="20"/>
        <v>18447916</v>
      </c>
      <c r="AJ62" s="179">
        <f t="shared" si="20"/>
        <v>26496112</v>
      </c>
      <c r="AK62" s="179">
        <f t="shared" si="20"/>
        <v>25036556</v>
      </c>
      <c r="AL62" s="179">
        <f t="shared" si="20"/>
        <v>26352301</v>
      </c>
      <c r="AM62" s="179">
        <f t="shared" si="20"/>
        <v>25340447</v>
      </c>
      <c r="AN62" s="179">
        <f t="shared" si="20"/>
        <v>28152548</v>
      </c>
      <c r="AO62" s="179">
        <f t="shared" si="20"/>
        <v>26660150</v>
      </c>
      <c r="AP62" s="179">
        <f t="shared" si="20"/>
        <v>28135844</v>
      </c>
      <c r="AQ62" s="179">
        <f t="shared" si="20"/>
        <v>25289900</v>
      </c>
      <c r="AR62" s="179">
        <f t="shared" si="20"/>
        <v>22936754</v>
      </c>
      <c r="AS62" s="179">
        <f t="shared" si="20"/>
        <v>25976450</v>
      </c>
      <c r="AT62" s="179">
        <f t="shared" si="20"/>
        <v>17426682</v>
      </c>
      <c r="AU62" s="179">
        <f t="shared" si="20"/>
        <v>33097544</v>
      </c>
      <c r="AV62" s="179">
        <f t="shared" si="20"/>
        <v>38224247</v>
      </c>
      <c r="AW62" s="179">
        <f t="shared" si="20"/>
        <v>34460788</v>
      </c>
    </row>
    <row r="63" spans="1:58" ht="14.4">
      <c r="A63" s="178" t="s">
        <v>245</v>
      </c>
      <c r="B63" s="146" t="s">
        <v>51</v>
      </c>
      <c r="C63" s="179">
        <f t="shared" si="20"/>
        <v>46466222</v>
      </c>
      <c r="D63" s="179">
        <f t="shared" si="20"/>
        <v>70621229</v>
      </c>
      <c r="E63" s="179">
        <f t="shared" si="20"/>
        <v>77911149</v>
      </c>
      <c r="F63" s="179">
        <f t="shared" si="20"/>
        <v>100288406</v>
      </c>
      <c r="G63" s="179">
        <f t="shared" si="20"/>
        <v>111496174</v>
      </c>
      <c r="H63" s="179">
        <f t="shared" si="20"/>
        <v>135560544</v>
      </c>
      <c r="I63" s="179">
        <f t="shared" si="20"/>
        <v>133272802</v>
      </c>
      <c r="J63" s="179">
        <f t="shared" si="20"/>
        <v>137927514</v>
      </c>
      <c r="K63" s="179">
        <f t="shared" si="20"/>
        <v>138479538</v>
      </c>
      <c r="L63" s="179">
        <f t="shared" si="20"/>
        <v>129432995</v>
      </c>
      <c r="M63" s="179">
        <f t="shared" si="20"/>
        <v>137246267</v>
      </c>
      <c r="N63" s="179">
        <f t="shared" si="20"/>
        <v>134979024</v>
      </c>
      <c r="O63" s="179">
        <f t="shared" si="20"/>
        <v>137455954</v>
      </c>
      <c r="P63" s="179">
        <f t="shared" si="20"/>
        <v>153685686</v>
      </c>
      <c r="Q63" s="179">
        <f t="shared" si="20"/>
        <v>118872790</v>
      </c>
      <c r="R63" s="179">
        <f t="shared" si="20"/>
        <v>114475679</v>
      </c>
      <c r="S63" s="179">
        <f t="shared" si="20"/>
        <v>109573484</v>
      </c>
      <c r="T63" s="179">
        <f t="shared" si="20"/>
        <v>130032331</v>
      </c>
      <c r="U63" s="179">
        <f t="shared" si="20"/>
        <v>140327200</v>
      </c>
      <c r="V63" s="179">
        <f t="shared" si="20"/>
        <v>128766978</v>
      </c>
      <c r="W63" s="179">
        <f t="shared" si="20"/>
        <v>146603382</v>
      </c>
      <c r="X63" s="179">
        <f t="shared" si="20"/>
        <v>133552850</v>
      </c>
      <c r="Y63" s="179">
        <f t="shared" si="20"/>
        <v>132655982</v>
      </c>
      <c r="Z63" s="179">
        <f t="shared" si="20"/>
        <v>137924190</v>
      </c>
      <c r="AA63" s="179">
        <f t="shared" si="20"/>
        <v>139704266</v>
      </c>
      <c r="AB63" s="179">
        <f t="shared" si="20"/>
        <v>155591593</v>
      </c>
      <c r="AC63" s="179">
        <f t="shared" si="20"/>
        <v>166957192</v>
      </c>
      <c r="AD63" s="179">
        <f t="shared" si="20"/>
        <v>172687242</v>
      </c>
      <c r="AE63" s="179">
        <f t="shared" si="20"/>
        <v>172569812</v>
      </c>
      <c r="AF63" s="179">
        <f t="shared" si="20"/>
        <v>176938275</v>
      </c>
      <c r="AG63" s="179">
        <f t="shared" si="20"/>
        <v>195033502</v>
      </c>
      <c r="AH63" s="179">
        <f t="shared" si="20"/>
        <v>164120576</v>
      </c>
      <c r="AI63" s="179">
        <f t="shared" si="20"/>
        <v>139695280</v>
      </c>
      <c r="AJ63" s="179">
        <f t="shared" si="20"/>
        <v>120890696</v>
      </c>
      <c r="AK63" s="179">
        <f t="shared" si="20"/>
        <v>128708644</v>
      </c>
      <c r="AL63" s="179">
        <f t="shared" si="20"/>
        <v>131565654</v>
      </c>
      <c r="AM63" s="179">
        <f t="shared" si="20"/>
        <v>125381005</v>
      </c>
      <c r="AN63" s="179">
        <f t="shared" si="20"/>
        <v>136976159</v>
      </c>
      <c r="AO63" s="179">
        <f t="shared" si="20"/>
        <v>133347374</v>
      </c>
      <c r="AP63" s="179">
        <f t="shared" si="20"/>
        <v>124483862</v>
      </c>
      <c r="AQ63" s="179">
        <f t="shared" si="20"/>
        <v>129065744</v>
      </c>
      <c r="AR63" s="179">
        <f t="shared" si="20"/>
        <v>137619831</v>
      </c>
      <c r="AS63" s="179">
        <f t="shared" si="20"/>
        <v>116353742</v>
      </c>
      <c r="AT63" s="179">
        <f t="shared" si="20"/>
        <v>133120644</v>
      </c>
      <c r="AU63" s="179">
        <f t="shared" si="20"/>
        <v>117122298</v>
      </c>
      <c r="AV63" s="179">
        <f t="shared" si="20"/>
        <v>122001490</v>
      </c>
      <c r="AW63" s="179">
        <f t="shared" si="20"/>
        <v>145612856</v>
      </c>
    </row>
    <row r="64" spans="1:58" ht="14.4">
      <c r="A64" s="178" t="s">
        <v>245</v>
      </c>
      <c r="B64" s="146" t="s">
        <v>224</v>
      </c>
      <c r="C64" s="179">
        <f t="shared" si="20"/>
        <v>80337564</v>
      </c>
      <c r="D64" s="179">
        <f t="shared" si="20"/>
        <v>108952923</v>
      </c>
      <c r="E64" s="179">
        <f t="shared" si="20"/>
        <v>119452562</v>
      </c>
      <c r="F64" s="179">
        <f t="shared" si="20"/>
        <v>159299237</v>
      </c>
      <c r="G64" s="179">
        <f t="shared" si="20"/>
        <v>192970805</v>
      </c>
      <c r="H64" s="179">
        <f t="shared" si="20"/>
        <v>187031593</v>
      </c>
      <c r="I64" s="179">
        <f t="shared" si="20"/>
        <v>165126497</v>
      </c>
      <c r="J64" s="179">
        <f t="shared" si="20"/>
        <v>150790324</v>
      </c>
      <c r="K64" s="179">
        <f t="shared" si="20"/>
        <v>133591800</v>
      </c>
      <c r="L64" s="179">
        <f t="shared" si="20"/>
        <v>98103879</v>
      </c>
      <c r="M64" s="179">
        <f t="shared" si="20"/>
        <v>97093437</v>
      </c>
      <c r="N64" s="179">
        <f t="shared" si="20"/>
        <v>82504852</v>
      </c>
      <c r="O64" s="179">
        <f t="shared" si="20"/>
        <v>88431192</v>
      </c>
      <c r="P64" s="179">
        <f t="shared" si="20"/>
        <v>102806912</v>
      </c>
      <c r="Q64" s="179">
        <f t="shared" si="20"/>
        <v>80112643</v>
      </c>
      <c r="R64" s="179">
        <f t="shared" si="20"/>
        <v>66826132</v>
      </c>
      <c r="S64" s="179">
        <f t="shared" si="20"/>
        <v>68385634</v>
      </c>
      <c r="T64" s="179">
        <f t="shared" si="20"/>
        <v>81097978</v>
      </c>
      <c r="U64" s="179">
        <f t="shared" si="20"/>
        <v>85912155</v>
      </c>
      <c r="V64" s="179">
        <f t="shared" si="20"/>
        <v>76045390</v>
      </c>
      <c r="W64" s="179">
        <f t="shared" si="20"/>
        <v>85383363</v>
      </c>
      <c r="X64" s="179">
        <f t="shared" si="20"/>
        <v>88541878</v>
      </c>
      <c r="Y64" s="179">
        <f t="shared" si="20"/>
        <v>97109399</v>
      </c>
      <c r="Z64" s="179">
        <f t="shared" si="20"/>
        <v>99213126</v>
      </c>
      <c r="AA64" s="179">
        <f t="shared" si="20"/>
        <v>86778934</v>
      </c>
      <c r="AB64" s="179">
        <f t="shared" si="20"/>
        <v>81616267</v>
      </c>
      <c r="AC64" s="179">
        <f t="shared" si="20"/>
        <v>82738893</v>
      </c>
      <c r="AD64" s="179">
        <f t="shared" si="20"/>
        <v>91002212</v>
      </c>
      <c r="AE64" s="179">
        <f t="shared" si="20"/>
        <v>89412157</v>
      </c>
      <c r="AF64" s="179">
        <f t="shared" si="20"/>
        <v>84054382</v>
      </c>
      <c r="AG64" s="179">
        <f t="shared" si="20"/>
        <v>77712675</v>
      </c>
      <c r="AH64" s="179">
        <f t="shared" si="20"/>
        <v>55512232</v>
      </c>
      <c r="AI64" s="179">
        <f t="shared" si="20"/>
        <v>61817810</v>
      </c>
      <c r="AJ64" s="179">
        <f t="shared" si="20"/>
        <v>59258270</v>
      </c>
      <c r="AK64" s="179">
        <f t="shared" si="20"/>
        <v>68899229</v>
      </c>
      <c r="AL64" s="179">
        <f t="shared" si="20"/>
        <v>65688327</v>
      </c>
      <c r="AM64" s="179">
        <f t="shared" si="20"/>
        <v>65739627</v>
      </c>
      <c r="AN64" s="179">
        <f t="shared" si="20"/>
        <v>67542414</v>
      </c>
      <c r="AO64" s="179">
        <f t="shared" si="20"/>
        <v>65213047</v>
      </c>
      <c r="AP64" s="179">
        <f t="shared" si="20"/>
        <v>63024451</v>
      </c>
      <c r="AQ64" s="179">
        <f t="shared" si="20"/>
        <v>62021047</v>
      </c>
      <c r="AR64" s="179">
        <f t="shared" si="20"/>
        <v>56594800</v>
      </c>
      <c r="AS64" s="179">
        <f t="shared" si="20"/>
        <v>75740137</v>
      </c>
      <c r="AT64" s="179">
        <f t="shared" si="20"/>
        <v>63542901</v>
      </c>
      <c r="AU64" s="179">
        <f t="shared" si="20"/>
        <v>55176644</v>
      </c>
      <c r="AV64" s="179">
        <f t="shared" si="20"/>
        <v>47612577</v>
      </c>
      <c r="AW64" s="179">
        <f t="shared" si="20"/>
        <v>49889474</v>
      </c>
    </row>
    <row r="65" spans="1:49" ht="14.4">
      <c r="A65" s="138" t="s">
        <v>245</v>
      </c>
      <c r="B65" s="139" t="s">
        <v>225</v>
      </c>
      <c r="C65" s="140">
        <f t="shared" si="20"/>
        <v>0</v>
      </c>
      <c r="D65" s="140">
        <f t="shared" si="20"/>
        <v>0</v>
      </c>
      <c r="E65" s="140">
        <f t="shared" si="20"/>
        <v>0</v>
      </c>
      <c r="F65" s="140">
        <f t="shared" si="20"/>
        <v>0</v>
      </c>
      <c r="G65" s="140">
        <f t="shared" si="20"/>
        <v>0</v>
      </c>
      <c r="H65" s="140">
        <f t="shared" si="20"/>
        <v>0</v>
      </c>
      <c r="I65" s="140">
        <f t="shared" si="20"/>
        <v>0</v>
      </c>
      <c r="J65" s="140">
        <f t="shared" si="20"/>
        <v>0</v>
      </c>
      <c r="K65" s="140">
        <f t="shared" si="20"/>
        <v>0</v>
      </c>
      <c r="L65" s="140">
        <f t="shared" si="20"/>
        <v>0</v>
      </c>
      <c r="M65" s="140">
        <f t="shared" si="20"/>
        <v>0</v>
      </c>
      <c r="N65" s="140">
        <f t="shared" si="20"/>
        <v>0</v>
      </c>
      <c r="O65" s="140">
        <f t="shared" si="20"/>
        <v>0</v>
      </c>
      <c r="P65" s="140">
        <f t="shared" si="20"/>
        <v>0</v>
      </c>
      <c r="Q65" s="140">
        <f t="shared" si="20"/>
        <v>0</v>
      </c>
      <c r="R65" s="140">
        <f t="shared" si="20"/>
        <v>0</v>
      </c>
      <c r="S65" s="140">
        <f t="shared" si="20"/>
        <v>0</v>
      </c>
      <c r="T65" s="140">
        <f t="shared" si="20"/>
        <v>0</v>
      </c>
      <c r="U65" s="140">
        <f t="shared" si="20"/>
        <v>0</v>
      </c>
      <c r="V65" s="140">
        <f t="shared" si="20"/>
        <v>0</v>
      </c>
      <c r="W65" s="140">
        <f t="shared" si="20"/>
        <v>0</v>
      </c>
      <c r="X65" s="140">
        <f t="shared" si="20"/>
        <v>0</v>
      </c>
      <c r="Y65" s="140">
        <f t="shared" si="20"/>
        <v>0</v>
      </c>
      <c r="Z65" s="140">
        <f t="shared" si="20"/>
        <v>0</v>
      </c>
      <c r="AA65" s="140">
        <f t="shared" si="20"/>
        <v>0</v>
      </c>
      <c r="AB65" s="140">
        <f t="shared" si="20"/>
        <v>0</v>
      </c>
      <c r="AC65" s="140">
        <f t="shared" si="20"/>
        <v>0</v>
      </c>
      <c r="AD65" s="140">
        <f t="shared" si="20"/>
        <v>0</v>
      </c>
      <c r="AE65" s="140">
        <f t="shared" si="20"/>
        <v>0</v>
      </c>
      <c r="AF65" s="140">
        <f t="shared" si="20"/>
        <v>0</v>
      </c>
      <c r="AG65" s="140">
        <f t="shared" si="20"/>
        <v>0</v>
      </c>
      <c r="AH65" s="140">
        <f t="shared" si="20"/>
        <v>0</v>
      </c>
      <c r="AI65" s="140">
        <f t="shared" si="20"/>
        <v>0</v>
      </c>
      <c r="AJ65" s="140">
        <f t="shared" si="20"/>
        <v>0</v>
      </c>
      <c r="AK65" s="140">
        <f t="shared" si="20"/>
        <v>0</v>
      </c>
      <c r="AL65" s="140">
        <f t="shared" si="20"/>
        <v>0</v>
      </c>
      <c r="AM65" s="140">
        <f t="shared" si="20"/>
        <v>0</v>
      </c>
      <c r="AN65" s="140">
        <f t="shared" si="20"/>
        <v>0</v>
      </c>
      <c r="AO65" s="140">
        <f t="shared" si="20"/>
        <v>0</v>
      </c>
      <c r="AP65" s="140">
        <f t="shared" si="20"/>
        <v>0</v>
      </c>
      <c r="AQ65" s="140">
        <f t="shared" si="20"/>
        <v>0</v>
      </c>
      <c r="AR65" s="140">
        <f t="shared" si="20"/>
        <v>0</v>
      </c>
      <c r="AS65" s="140">
        <f t="shared" si="20"/>
        <v>0</v>
      </c>
      <c r="AT65" s="140">
        <f t="shared" si="20"/>
        <v>0</v>
      </c>
      <c r="AU65" s="140">
        <f t="shared" si="20"/>
        <v>0</v>
      </c>
      <c r="AV65" s="140">
        <f t="shared" si="20"/>
        <v>0</v>
      </c>
      <c r="AW65" s="140">
        <f t="shared" si="20"/>
        <v>0</v>
      </c>
    </row>
    <row r="66" spans="1:49" ht="14.4">
      <c r="A66" s="138" t="s">
        <v>245</v>
      </c>
      <c r="B66" s="139" t="s">
        <v>226</v>
      </c>
      <c r="C66" s="140">
        <f t="shared" si="20"/>
        <v>0</v>
      </c>
      <c r="D66" s="140">
        <f t="shared" si="20"/>
        <v>0</v>
      </c>
      <c r="E66" s="140">
        <f t="shared" si="20"/>
        <v>0</v>
      </c>
      <c r="F66" s="140">
        <f t="shared" si="20"/>
        <v>0</v>
      </c>
      <c r="G66" s="140">
        <f t="shared" si="20"/>
        <v>0</v>
      </c>
      <c r="H66" s="140">
        <f t="shared" si="20"/>
        <v>0</v>
      </c>
      <c r="I66" s="140">
        <f t="shared" si="20"/>
        <v>0</v>
      </c>
      <c r="J66" s="140">
        <f t="shared" si="20"/>
        <v>0</v>
      </c>
      <c r="K66" s="140">
        <f t="shared" si="20"/>
        <v>0</v>
      </c>
      <c r="L66" s="140">
        <f t="shared" si="20"/>
        <v>0</v>
      </c>
      <c r="M66" s="140">
        <f t="shared" si="20"/>
        <v>0</v>
      </c>
      <c r="N66" s="140">
        <f t="shared" si="20"/>
        <v>0</v>
      </c>
      <c r="O66" s="140">
        <f t="shared" si="20"/>
        <v>0</v>
      </c>
      <c r="P66" s="140">
        <f t="shared" si="20"/>
        <v>0</v>
      </c>
      <c r="Q66" s="140">
        <f t="shared" si="20"/>
        <v>0</v>
      </c>
      <c r="R66" s="140">
        <f t="shared" si="20"/>
        <v>0</v>
      </c>
      <c r="S66" s="140">
        <f t="shared" si="20"/>
        <v>0</v>
      </c>
      <c r="T66" s="140">
        <f t="shared" si="20"/>
        <v>0</v>
      </c>
      <c r="U66" s="140">
        <f t="shared" si="20"/>
        <v>0</v>
      </c>
      <c r="V66" s="140">
        <f t="shared" si="20"/>
        <v>0</v>
      </c>
      <c r="W66" s="140">
        <f t="shared" si="20"/>
        <v>0</v>
      </c>
      <c r="X66" s="140">
        <f t="shared" si="20"/>
        <v>0</v>
      </c>
      <c r="Y66" s="140">
        <f t="shared" si="20"/>
        <v>0</v>
      </c>
      <c r="Z66" s="140">
        <f t="shared" si="20"/>
        <v>0</v>
      </c>
      <c r="AA66" s="140">
        <f t="shared" si="20"/>
        <v>0</v>
      </c>
      <c r="AB66" s="140">
        <f t="shared" si="20"/>
        <v>0</v>
      </c>
      <c r="AC66" s="140">
        <f t="shared" si="20"/>
        <v>0</v>
      </c>
      <c r="AD66" s="140">
        <f t="shared" si="20"/>
        <v>0</v>
      </c>
      <c r="AE66" s="140">
        <f t="shared" si="20"/>
        <v>0</v>
      </c>
      <c r="AF66" s="140">
        <f t="shared" si="20"/>
        <v>0</v>
      </c>
      <c r="AG66" s="140">
        <f t="shared" si="20"/>
        <v>0</v>
      </c>
      <c r="AH66" s="140">
        <f t="shared" si="20"/>
        <v>0</v>
      </c>
      <c r="AI66" s="140">
        <f t="shared" si="20"/>
        <v>0</v>
      </c>
      <c r="AJ66" s="140">
        <f t="shared" si="20"/>
        <v>0</v>
      </c>
      <c r="AK66" s="140">
        <f t="shared" si="20"/>
        <v>0</v>
      </c>
      <c r="AL66" s="140">
        <f t="shared" si="20"/>
        <v>940000</v>
      </c>
      <c r="AM66" s="140">
        <f t="shared" si="20"/>
        <v>1504000</v>
      </c>
      <c r="AN66" s="140">
        <f t="shared" si="20"/>
        <v>1692000</v>
      </c>
      <c r="AO66" s="140">
        <f t="shared" si="20"/>
        <v>2444000</v>
      </c>
      <c r="AP66" s="140">
        <f t="shared" si="20"/>
        <v>2632000</v>
      </c>
      <c r="AQ66" s="140">
        <f t="shared" si="20"/>
        <v>2631997</v>
      </c>
      <c r="AR66" s="140">
        <f t="shared" si="20"/>
        <v>2636768</v>
      </c>
      <c r="AS66" s="140">
        <f t="shared" si="20"/>
        <v>3712644</v>
      </c>
      <c r="AT66" s="140">
        <f t="shared" si="20"/>
        <v>3267614</v>
      </c>
      <c r="AU66" s="140">
        <f t="shared" si="20"/>
        <v>2875101</v>
      </c>
      <c r="AV66" s="140">
        <f t="shared" si="20"/>
        <v>3194792</v>
      </c>
      <c r="AW66" s="140">
        <f t="shared" si="20"/>
        <v>3830385</v>
      </c>
    </row>
    <row r="67" spans="1:49" ht="14.4">
      <c r="A67" s="138" t="s">
        <v>245</v>
      </c>
      <c r="B67" s="139" t="s">
        <v>70</v>
      </c>
      <c r="C67" s="140">
        <f t="shared" si="20"/>
        <v>0</v>
      </c>
      <c r="D67" s="140">
        <f t="shared" si="20"/>
        <v>0</v>
      </c>
      <c r="E67" s="140">
        <f t="shared" si="20"/>
        <v>0</v>
      </c>
      <c r="F67" s="140">
        <f t="shared" si="20"/>
        <v>0</v>
      </c>
      <c r="G67" s="140">
        <f t="shared" si="20"/>
        <v>0</v>
      </c>
      <c r="H67" s="140">
        <f t="shared" si="20"/>
        <v>0</v>
      </c>
      <c r="I67" s="140">
        <f t="shared" si="20"/>
        <v>0</v>
      </c>
      <c r="J67" s="140">
        <f t="shared" si="20"/>
        <v>0</v>
      </c>
      <c r="K67" s="140">
        <f t="shared" si="20"/>
        <v>0</v>
      </c>
      <c r="L67" s="140">
        <f t="shared" si="20"/>
        <v>0</v>
      </c>
      <c r="M67" s="140">
        <f t="shared" si="20"/>
        <v>0</v>
      </c>
      <c r="N67" s="140">
        <f t="shared" si="20"/>
        <v>0</v>
      </c>
      <c r="O67" s="140">
        <f t="shared" si="20"/>
        <v>0</v>
      </c>
      <c r="P67" s="140">
        <f t="shared" si="20"/>
        <v>0</v>
      </c>
      <c r="Q67" s="140">
        <f t="shared" si="20"/>
        <v>0</v>
      </c>
      <c r="R67" s="140">
        <f t="shared" si="20"/>
        <v>0</v>
      </c>
      <c r="S67" s="140">
        <f t="shared" si="20"/>
        <v>0</v>
      </c>
      <c r="T67" s="140">
        <f t="shared" si="20"/>
        <v>0</v>
      </c>
      <c r="U67" s="140">
        <f t="shared" si="20"/>
        <v>0</v>
      </c>
      <c r="V67" s="140">
        <f t="shared" si="20"/>
        <v>0</v>
      </c>
      <c r="W67" s="140">
        <f t="shared" ref="W67:AW67" si="21">W31-W48</f>
        <v>0</v>
      </c>
      <c r="X67" s="140">
        <f t="shared" si="21"/>
        <v>0</v>
      </c>
      <c r="Y67" s="140">
        <f t="shared" si="21"/>
        <v>0</v>
      </c>
      <c r="Z67" s="140">
        <f t="shared" si="21"/>
        <v>0</v>
      </c>
      <c r="AA67" s="140">
        <f t="shared" si="21"/>
        <v>0</v>
      </c>
      <c r="AB67" s="140">
        <f t="shared" si="21"/>
        <v>0</v>
      </c>
      <c r="AC67" s="140">
        <f t="shared" si="21"/>
        <v>0</v>
      </c>
      <c r="AD67" s="140">
        <f t="shared" si="21"/>
        <v>0</v>
      </c>
      <c r="AE67" s="140">
        <f t="shared" si="21"/>
        <v>-2824</v>
      </c>
      <c r="AF67" s="140">
        <f t="shared" si="21"/>
        <v>-2848</v>
      </c>
      <c r="AG67" s="140">
        <f t="shared" si="21"/>
        <v>-1199</v>
      </c>
      <c r="AH67" s="140">
        <f t="shared" si="21"/>
        <v>-8721</v>
      </c>
      <c r="AI67" s="140">
        <f t="shared" si="21"/>
        <v>-7725</v>
      </c>
      <c r="AJ67" s="140">
        <f t="shared" si="21"/>
        <v>-4955</v>
      </c>
      <c r="AK67" s="140">
        <f t="shared" si="21"/>
        <v>-5460</v>
      </c>
      <c r="AL67" s="140">
        <f t="shared" si="21"/>
        <v>-9186</v>
      </c>
      <c r="AM67" s="140">
        <f t="shared" si="21"/>
        <v>-8423</v>
      </c>
      <c r="AN67" s="140">
        <f t="shared" si="21"/>
        <v>-47522</v>
      </c>
      <c r="AO67" s="140">
        <f t="shared" si="21"/>
        <v>-45835</v>
      </c>
      <c r="AP67" s="140">
        <f t="shared" si="21"/>
        <v>-23236</v>
      </c>
      <c r="AQ67" s="140">
        <f t="shared" si="21"/>
        <v>-23237</v>
      </c>
      <c r="AR67" s="140">
        <f t="shared" si="21"/>
        <v>0</v>
      </c>
      <c r="AS67" s="140">
        <f t="shared" si="21"/>
        <v>0</v>
      </c>
      <c r="AT67" s="140">
        <f t="shared" si="21"/>
        <v>0</v>
      </c>
      <c r="AU67" s="140">
        <f t="shared" si="21"/>
        <v>0</v>
      </c>
      <c r="AV67" s="140">
        <f t="shared" si="21"/>
        <v>0</v>
      </c>
      <c r="AW67" s="140">
        <f t="shared" si="21"/>
        <v>0</v>
      </c>
    </row>
    <row r="68" spans="1:49" ht="14.4">
      <c r="A68" s="138" t="s">
        <v>245</v>
      </c>
      <c r="B68" s="139" t="s">
        <v>227</v>
      </c>
      <c r="C68" s="180">
        <f t="shared" ref="C68:AW69" si="22">C32-C49</f>
        <v>-397650</v>
      </c>
      <c r="D68" s="140">
        <f t="shared" si="22"/>
        <v>-432699</v>
      </c>
      <c r="E68" s="140">
        <f t="shared" si="22"/>
        <v>-476143</v>
      </c>
      <c r="F68" s="140">
        <f t="shared" si="22"/>
        <v>-530132</v>
      </c>
      <c r="G68" s="140">
        <f t="shared" si="22"/>
        <v>-593411</v>
      </c>
      <c r="H68" s="140">
        <f t="shared" si="22"/>
        <v>-643437</v>
      </c>
      <c r="I68" s="140">
        <f t="shared" si="22"/>
        <v>-685084</v>
      </c>
      <c r="J68" s="140">
        <f t="shared" si="22"/>
        <v>-736411</v>
      </c>
      <c r="K68" s="140">
        <f t="shared" si="22"/>
        <v>-731086</v>
      </c>
      <c r="L68" s="140">
        <f t="shared" si="22"/>
        <v>-686570</v>
      </c>
      <c r="M68" s="140">
        <f t="shared" si="22"/>
        <v>-613406</v>
      </c>
      <c r="N68" s="140">
        <f t="shared" si="22"/>
        <v>-594418</v>
      </c>
      <c r="O68" s="140">
        <f t="shared" si="22"/>
        <v>-639873</v>
      </c>
      <c r="P68" s="140">
        <f t="shared" si="22"/>
        <v>-625981</v>
      </c>
      <c r="Q68" s="140">
        <f t="shared" si="22"/>
        <v>-647706</v>
      </c>
      <c r="R68" s="140">
        <f t="shared" si="22"/>
        <v>-763354</v>
      </c>
      <c r="S68" s="140">
        <f t="shared" si="22"/>
        <v>-759288</v>
      </c>
      <c r="T68" s="140">
        <f t="shared" si="22"/>
        <v>-783722</v>
      </c>
      <c r="U68" s="140">
        <f t="shared" si="22"/>
        <v>-785727</v>
      </c>
      <c r="V68" s="140">
        <f t="shared" si="22"/>
        <v>-767902</v>
      </c>
      <c r="W68" s="140">
        <f t="shared" si="22"/>
        <v>-911578</v>
      </c>
      <c r="X68" s="140">
        <f t="shared" si="22"/>
        <v>-909734</v>
      </c>
      <c r="Y68" s="140">
        <f t="shared" si="22"/>
        <v>-857186</v>
      </c>
      <c r="Z68" s="140">
        <f t="shared" si="22"/>
        <v>-844713</v>
      </c>
      <c r="AA68" s="140">
        <f t="shared" si="22"/>
        <v>-891592</v>
      </c>
      <c r="AB68" s="140">
        <f t="shared" si="22"/>
        <v>-1096782</v>
      </c>
      <c r="AC68" s="140">
        <f t="shared" si="22"/>
        <v>-1163069</v>
      </c>
      <c r="AD68" s="140">
        <f t="shared" si="22"/>
        <v>-1103643</v>
      </c>
      <c r="AE68" s="140">
        <f t="shared" si="22"/>
        <v>-1200480</v>
      </c>
      <c r="AF68" s="140">
        <f t="shared" si="22"/>
        <v>-1178367</v>
      </c>
      <c r="AG68" s="140">
        <f t="shared" si="22"/>
        <v>-1231778</v>
      </c>
      <c r="AH68" s="140">
        <f t="shared" si="22"/>
        <v>-1027529</v>
      </c>
      <c r="AI68" s="140">
        <f t="shared" si="22"/>
        <v>-905799</v>
      </c>
      <c r="AJ68" s="140">
        <f t="shared" si="22"/>
        <v>-977882</v>
      </c>
      <c r="AK68" s="140">
        <f t="shared" si="22"/>
        <v>-756137</v>
      </c>
      <c r="AL68" s="140">
        <f t="shared" si="22"/>
        <v>-555652</v>
      </c>
      <c r="AM68" s="140">
        <f t="shared" si="22"/>
        <v>-565485</v>
      </c>
      <c r="AN68" s="140">
        <f t="shared" si="22"/>
        <v>-904276</v>
      </c>
      <c r="AO68" s="140">
        <f t="shared" si="22"/>
        <v>-922446</v>
      </c>
      <c r="AP68" s="140">
        <f t="shared" si="22"/>
        <v>-644273</v>
      </c>
      <c r="AQ68" s="140">
        <f t="shared" si="22"/>
        <v>-781406</v>
      </c>
      <c r="AR68" s="140">
        <f t="shared" si="22"/>
        <v>-1101084</v>
      </c>
      <c r="AS68" s="140">
        <f t="shared" si="22"/>
        <v>-1285842</v>
      </c>
      <c r="AT68" s="140">
        <f t="shared" si="22"/>
        <v>-1153932</v>
      </c>
      <c r="AU68" s="140">
        <f t="shared" si="22"/>
        <v>-1169936</v>
      </c>
      <c r="AV68" s="140">
        <f t="shared" si="22"/>
        <v>-1056349</v>
      </c>
      <c r="AW68" s="140">
        <f t="shared" si="22"/>
        <v>-1074112</v>
      </c>
    </row>
    <row r="69" spans="1:49" ht="15" thickBot="1">
      <c r="A69" s="158" t="s">
        <v>245</v>
      </c>
      <c r="B69" s="159" t="s">
        <v>228</v>
      </c>
      <c r="C69" s="181">
        <f t="shared" si="22"/>
        <v>-2278</v>
      </c>
      <c r="D69" s="182">
        <f t="shared" si="22"/>
        <v>-2479</v>
      </c>
      <c r="E69" s="182">
        <f t="shared" si="22"/>
        <v>-3063</v>
      </c>
      <c r="F69" s="182">
        <f t="shared" si="22"/>
        <v>-4198</v>
      </c>
      <c r="G69" s="182">
        <f t="shared" si="22"/>
        <v>-4495</v>
      </c>
      <c r="H69" s="182">
        <f t="shared" si="22"/>
        <v>-4899</v>
      </c>
      <c r="I69" s="182">
        <f t="shared" si="22"/>
        <v>-5362</v>
      </c>
      <c r="J69" s="182">
        <f t="shared" si="22"/>
        <v>-5639</v>
      </c>
      <c r="K69" s="182">
        <f t="shared" si="22"/>
        <v>-5838</v>
      </c>
      <c r="L69" s="182">
        <f t="shared" si="22"/>
        <v>-5961</v>
      </c>
      <c r="M69" s="182">
        <f t="shared" si="22"/>
        <v>-5173</v>
      </c>
      <c r="N69" s="182">
        <f t="shared" si="22"/>
        <v>-5701</v>
      </c>
      <c r="O69" s="182">
        <f t="shared" si="22"/>
        <v>-5536</v>
      </c>
      <c r="P69" s="182">
        <f t="shared" si="22"/>
        <v>-5388</v>
      </c>
      <c r="Q69" s="182">
        <f t="shared" si="22"/>
        <v>0</v>
      </c>
      <c r="R69" s="182">
        <f t="shared" si="22"/>
        <v>0</v>
      </c>
      <c r="S69" s="182">
        <f t="shared" si="22"/>
        <v>-294559</v>
      </c>
      <c r="T69" s="182">
        <f t="shared" si="22"/>
        <v>-446939</v>
      </c>
      <c r="U69" s="182">
        <f t="shared" si="22"/>
        <v>-459885</v>
      </c>
      <c r="V69" s="182">
        <f t="shared" si="22"/>
        <v>-439145</v>
      </c>
      <c r="W69" s="182">
        <f t="shared" si="22"/>
        <v>-335697</v>
      </c>
      <c r="X69" s="182">
        <f t="shared" si="22"/>
        <v>-362024</v>
      </c>
      <c r="Y69" s="182">
        <f t="shared" si="22"/>
        <v>-405850</v>
      </c>
      <c r="Z69" s="182">
        <f t="shared" si="22"/>
        <v>-416804</v>
      </c>
      <c r="AA69" s="182">
        <f t="shared" si="22"/>
        <v>-427758</v>
      </c>
      <c r="AB69" s="182">
        <f t="shared" si="22"/>
        <v>-387197</v>
      </c>
      <c r="AC69" s="182">
        <f t="shared" si="22"/>
        <v>-346636</v>
      </c>
      <c r="AD69" s="182">
        <f t="shared" si="22"/>
        <v>-306075</v>
      </c>
      <c r="AE69" s="182">
        <f t="shared" si="22"/>
        <v>-351620</v>
      </c>
      <c r="AF69" s="182">
        <f t="shared" si="22"/>
        <v>-380457</v>
      </c>
      <c r="AG69" s="182">
        <f t="shared" si="22"/>
        <v>-318666</v>
      </c>
      <c r="AH69" s="182">
        <f t="shared" si="22"/>
        <v>-256816</v>
      </c>
      <c r="AI69" s="182">
        <f t="shared" si="22"/>
        <v>-222847</v>
      </c>
      <c r="AJ69" s="182">
        <f t="shared" si="22"/>
        <v>-299190</v>
      </c>
      <c r="AK69" s="182">
        <f t="shared" si="22"/>
        <v>-275371</v>
      </c>
      <c r="AL69" s="182">
        <f t="shared" si="22"/>
        <v>-252295</v>
      </c>
      <c r="AM69" s="182">
        <f t="shared" si="22"/>
        <v>-252295</v>
      </c>
      <c r="AN69" s="182">
        <f t="shared" si="22"/>
        <v>-260862</v>
      </c>
      <c r="AO69" s="182">
        <f t="shared" si="22"/>
        <v>-247819</v>
      </c>
      <c r="AP69" s="182">
        <f t="shared" si="22"/>
        <v>-354806</v>
      </c>
      <c r="AQ69" s="182">
        <f t="shared" si="22"/>
        <v>-367693</v>
      </c>
      <c r="AR69" s="182">
        <f t="shared" si="22"/>
        <v>-404977</v>
      </c>
      <c r="AS69" s="182">
        <f t="shared" si="22"/>
        <v>-585757</v>
      </c>
      <c r="AT69" s="182">
        <f t="shared" si="22"/>
        <v>-585699</v>
      </c>
      <c r="AU69" s="182">
        <f t="shared" si="22"/>
        <v>-583942</v>
      </c>
      <c r="AV69" s="182">
        <f t="shared" si="22"/>
        <v>-558832</v>
      </c>
      <c r="AW69" s="182">
        <f t="shared" si="22"/>
        <v>-558832</v>
      </c>
    </row>
    <row r="70" spans="1:49" ht="13.8" thickTop="1"/>
    <row r="72" spans="1:49" ht="15" thickBot="1">
      <c r="A72" s="120" t="s">
        <v>253</v>
      </c>
    </row>
    <row r="73" spans="1:49" ht="30" thickTop="1" thickBot="1">
      <c r="A73" s="133" t="s">
        <v>136</v>
      </c>
      <c r="B73" s="134" t="s">
        <v>137</v>
      </c>
      <c r="C73" s="135">
        <v>1966</v>
      </c>
      <c r="D73" s="136">
        <v>1967</v>
      </c>
      <c r="E73" s="136">
        <v>1968</v>
      </c>
      <c r="F73" s="136">
        <v>1969</v>
      </c>
      <c r="G73" s="136">
        <v>1970</v>
      </c>
      <c r="H73" s="136">
        <v>1971</v>
      </c>
      <c r="I73" s="136">
        <v>1972</v>
      </c>
      <c r="J73" s="136">
        <v>1973</v>
      </c>
      <c r="K73" s="136">
        <v>1974</v>
      </c>
      <c r="L73" s="136">
        <v>1975</v>
      </c>
      <c r="M73" s="136">
        <v>1976</v>
      </c>
      <c r="N73" s="136">
        <v>1977</v>
      </c>
      <c r="O73" s="136">
        <v>1978</v>
      </c>
      <c r="P73" s="136">
        <v>1979</v>
      </c>
      <c r="Q73" s="136">
        <v>1980</v>
      </c>
      <c r="R73" s="136">
        <v>1981</v>
      </c>
      <c r="S73" s="136">
        <v>1982</v>
      </c>
      <c r="T73" s="136">
        <v>1983</v>
      </c>
      <c r="U73" s="136">
        <v>1984</v>
      </c>
      <c r="V73" s="136">
        <v>1985</v>
      </c>
      <c r="W73" s="136">
        <v>1986</v>
      </c>
      <c r="X73" s="136">
        <v>1987</v>
      </c>
      <c r="Y73" s="136">
        <v>1988</v>
      </c>
      <c r="Z73" s="136">
        <v>1989</v>
      </c>
      <c r="AA73" s="136">
        <v>1990</v>
      </c>
      <c r="AB73" s="136">
        <v>1991</v>
      </c>
      <c r="AC73" s="136">
        <v>1992</v>
      </c>
      <c r="AD73" s="136">
        <v>1993</v>
      </c>
      <c r="AE73" s="136">
        <v>1994</v>
      </c>
      <c r="AF73" s="136">
        <v>1995</v>
      </c>
      <c r="AG73" s="136">
        <v>1996</v>
      </c>
      <c r="AH73" s="136">
        <v>1997</v>
      </c>
      <c r="AI73" s="136">
        <v>1998</v>
      </c>
      <c r="AJ73" s="136">
        <v>1999</v>
      </c>
      <c r="AK73" s="136">
        <v>2000</v>
      </c>
      <c r="AL73" s="136">
        <v>2001</v>
      </c>
      <c r="AM73" s="136">
        <v>2002</v>
      </c>
      <c r="AN73" s="136">
        <v>2003</v>
      </c>
      <c r="AO73" s="136">
        <v>2004</v>
      </c>
      <c r="AP73" s="136">
        <v>2005</v>
      </c>
      <c r="AQ73" s="136">
        <v>2006</v>
      </c>
      <c r="AR73" s="136">
        <v>2007</v>
      </c>
      <c r="AS73" s="136">
        <v>2008</v>
      </c>
      <c r="AT73" s="136">
        <v>2009</v>
      </c>
      <c r="AU73" s="136">
        <v>2010</v>
      </c>
      <c r="AV73" s="136">
        <v>2011</v>
      </c>
      <c r="AW73" s="137">
        <v>2012</v>
      </c>
    </row>
    <row r="74" spans="1:49" ht="14.4">
      <c r="A74" s="168" t="s">
        <v>245</v>
      </c>
      <c r="B74" s="149" t="s">
        <v>221</v>
      </c>
      <c r="C74" s="169">
        <f>-C56</f>
        <v>185997985</v>
      </c>
      <c r="D74" s="169">
        <f t="shared" ref="D74:AW75" si="23">-D56</f>
        <v>273247012</v>
      </c>
      <c r="E74" s="169">
        <f t="shared" si="23"/>
        <v>282278379</v>
      </c>
      <c r="F74" s="169">
        <f t="shared" si="23"/>
        <v>382445493</v>
      </c>
      <c r="G74" s="169">
        <f t="shared" si="23"/>
        <v>417950029</v>
      </c>
      <c r="H74" s="169">
        <f t="shared" si="23"/>
        <v>426965749</v>
      </c>
      <c r="I74" s="169">
        <f t="shared" si="23"/>
        <v>405622181</v>
      </c>
      <c r="J74" s="169">
        <f t="shared" si="23"/>
        <v>419941430</v>
      </c>
      <c r="K74" s="169">
        <f t="shared" si="23"/>
        <v>395445381</v>
      </c>
      <c r="L74" s="169">
        <f t="shared" si="23"/>
        <v>334381256</v>
      </c>
      <c r="M74" s="169">
        <f t="shared" si="23"/>
        <v>326893057</v>
      </c>
      <c r="N74" s="169">
        <f t="shared" si="23"/>
        <v>323173307</v>
      </c>
      <c r="O74" s="169">
        <f t="shared" si="23"/>
        <v>334801625</v>
      </c>
      <c r="P74" s="169">
        <f t="shared" si="23"/>
        <v>356687766</v>
      </c>
      <c r="Q74" s="169">
        <f t="shared" si="23"/>
        <v>271367717</v>
      </c>
      <c r="R74" s="169">
        <f t="shared" si="23"/>
        <v>244655971</v>
      </c>
      <c r="S74" s="169">
        <f t="shared" si="23"/>
        <v>219934312</v>
      </c>
      <c r="T74" s="169">
        <f t="shared" si="23"/>
        <v>266041514</v>
      </c>
      <c r="U74" s="169">
        <f t="shared" si="23"/>
        <v>287567570</v>
      </c>
      <c r="V74" s="169">
        <f t="shared" si="23"/>
        <v>279743964</v>
      </c>
      <c r="W74" s="169">
        <f t="shared" si="23"/>
        <v>304432563</v>
      </c>
      <c r="X74" s="169">
        <f t="shared" si="23"/>
        <v>296960845</v>
      </c>
      <c r="Y74" s="169">
        <f t="shared" si="23"/>
        <v>310890390</v>
      </c>
      <c r="Z74" s="169">
        <f t="shared" si="23"/>
        <v>323131975</v>
      </c>
      <c r="AA74" s="169">
        <f t="shared" si="23"/>
        <v>308682005</v>
      </c>
      <c r="AB74" s="169">
        <f t="shared" si="23"/>
        <v>331394770</v>
      </c>
      <c r="AC74" s="169">
        <f t="shared" si="23"/>
        <v>355454908</v>
      </c>
      <c r="AD74" s="169">
        <f t="shared" si="23"/>
        <v>356795000</v>
      </c>
      <c r="AE74" s="169">
        <f t="shared" si="23"/>
        <v>365356400</v>
      </c>
      <c r="AF74" s="169">
        <f t="shared" si="23"/>
        <v>412022100</v>
      </c>
      <c r="AG74" s="169">
        <f t="shared" si="23"/>
        <v>448338000</v>
      </c>
      <c r="AH74" s="169">
        <f t="shared" si="23"/>
        <v>365090511</v>
      </c>
      <c r="AI74" s="169">
        <f t="shared" si="23"/>
        <v>340314599</v>
      </c>
      <c r="AJ74" s="169">
        <f t="shared" si="23"/>
        <v>339203135</v>
      </c>
      <c r="AK74" s="169">
        <f t="shared" si="23"/>
        <v>346270013</v>
      </c>
      <c r="AL74" s="169">
        <f t="shared" si="23"/>
        <v>343914817</v>
      </c>
      <c r="AM74" s="169">
        <f t="shared" si="23"/>
        <v>333095071</v>
      </c>
      <c r="AN74" s="169">
        <f t="shared" si="23"/>
        <v>352220912</v>
      </c>
      <c r="AO74" s="169">
        <f t="shared" si="23"/>
        <v>344651751</v>
      </c>
      <c r="AP74" s="169">
        <f t="shared" si="23"/>
        <v>332180848</v>
      </c>
      <c r="AQ74" s="169">
        <f t="shared" si="23"/>
        <v>343530612</v>
      </c>
      <c r="AR74" s="169">
        <f t="shared" si="23"/>
        <v>333386568</v>
      </c>
      <c r="AS74" s="169">
        <f t="shared" si="23"/>
        <v>334639330</v>
      </c>
      <c r="AT74" s="169">
        <f t="shared" si="23"/>
        <v>335634780</v>
      </c>
      <c r="AU74" s="169">
        <f t="shared" si="23"/>
        <v>314168191</v>
      </c>
      <c r="AV74" s="169">
        <f t="shared" si="23"/>
        <v>327286287</v>
      </c>
      <c r="AW74" s="169">
        <f t="shared" si="23"/>
        <v>362386542</v>
      </c>
    </row>
    <row r="75" spans="1:49" ht="14.4">
      <c r="A75" s="168" t="s">
        <v>245</v>
      </c>
      <c r="B75" s="149" t="s">
        <v>222</v>
      </c>
      <c r="C75" s="169">
        <f>-C57</f>
        <v>0</v>
      </c>
      <c r="D75" s="169">
        <f t="shared" si="23"/>
        <v>0</v>
      </c>
      <c r="E75" s="169">
        <f t="shared" si="23"/>
        <v>0</v>
      </c>
      <c r="F75" s="169">
        <f t="shared" si="23"/>
        <v>0</v>
      </c>
      <c r="G75" s="169">
        <f t="shared" si="23"/>
        <v>0</v>
      </c>
      <c r="H75" s="169">
        <f t="shared" si="23"/>
        <v>0</v>
      </c>
      <c r="I75" s="169">
        <f t="shared" si="23"/>
        <v>0</v>
      </c>
      <c r="J75" s="169">
        <f t="shared" si="23"/>
        <v>0</v>
      </c>
      <c r="K75" s="169">
        <f t="shared" si="23"/>
        <v>-3457958</v>
      </c>
      <c r="L75" s="169">
        <f t="shared" si="23"/>
        <v>-7614121</v>
      </c>
      <c r="M75" s="169">
        <f t="shared" si="23"/>
        <v>6238156</v>
      </c>
      <c r="N75" s="169">
        <f t="shared" si="23"/>
        <v>-5426302</v>
      </c>
      <c r="O75" s="169">
        <f t="shared" si="23"/>
        <v>-8224462</v>
      </c>
      <c r="P75" s="169">
        <f t="shared" si="23"/>
        <v>-2400635</v>
      </c>
      <c r="Q75" s="169">
        <f t="shared" si="23"/>
        <v>23622270</v>
      </c>
      <c r="R75" s="169">
        <f t="shared" si="23"/>
        <v>14693192</v>
      </c>
      <c r="S75" s="169">
        <f t="shared" si="23"/>
        <v>33676426</v>
      </c>
      <c r="T75" s="169">
        <f t="shared" si="23"/>
        <v>27651458</v>
      </c>
      <c r="U75" s="169">
        <f t="shared" si="23"/>
        <v>23113835</v>
      </c>
      <c r="V75" s="169">
        <f t="shared" si="23"/>
        <v>17504277</v>
      </c>
      <c r="W75" s="169">
        <f t="shared" si="23"/>
        <v>25215094</v>
      </c>
      <c r="X75" s="169">
        <f t="shared" si="23"/>
        <v>26158943</v>
      </c>
      <c r="Y75" s="169">
        <f t="shared" si="23"/>
        <v>30378383</v>
      </c>
      <c r="Z75" s="169">
        <f t="shared" si="23"/>
        <v>34123962</v>
      </c>
      <c r="AA75" s="169">
        <f t="shared" si="23"/>
        <v>26874299</v>
      </c>
      <c r="AB75" s="169">
        <f t="shared" si="23"/>
        <v>16785219</v>
      </c>
      <c r="AC75" s="169">
        <f t="shared" si="23"/>
        <v>7427491</v>
      </c>
      <c r="AD75" s="169">
        <f t="shared" si="23"/>
        <v>22531702</v>
      </c>
      <c r="AE75" s="169">
        <f t="shared" si="23"/>
        <v>11718613</v>
      </c>
      <c r="AF75" s="169">
        <f t="shared" si="23"/>
        <v>-2452088</v>
      </c>
      <c r="AG75" s="169">
        <f t="shared" si="23"/>
        <v>4375488</v>
      </c>
      <c r="AH75" s="169">
        <f t="shared" si="23"/>
        <v>3270427</v>
      </c>
      <c r="AI75" s="169">
        <f t="shared" si="23"/>
        <v>968768</v>
      </c>
      <c r="AJ75" s="169">
        <f t="shared" si="23"/>
        <v>8817156</v>
      </c>
      <c r="AK75" s="169">
        <f t="shared" si="23"/>
        <v>5113752</v>
      </c>
      <c r="AL75" s="169">
        <f t="shared" si="23"/>
        <v>2322437</v>
      </c>
      <c r="AM75" s="169">
        <f t="shared" si="23"/>
        <v>2161479</v>
      </c>
      <c r="AN75" s="169">
        <f t="shared" si="23"/>
        <v>1990228</v>
      </c>
      <c r="AO75" s="169">
        <f t="shared" si="23"/>
        <v>196701</v>
      </c>
      <c r="AP75" s="169">
        <f t="shared" si="23"/>
        <v>2357523</v>
      </c>
      <c r="AQ75" s="169">
        <f t="shared" si="23"/>
        <v>3397029</v>
      </c>
      <c r="AR75" s="169">
        <f t="shared" si="23"/>
        <v>645244</v>
      </c>
      <c r="AS75" s="169">
        <f t="shared" si="23"/>
        <v>482422</v>
      </c>
      <c r="AT75" s="169">
        <f t="shared" si="23"/>
        <v>1317982</v>
      </c>
      <c r="AU75" s="169">
        <f t="shared" si="23"/>
        <v>2073495</v>
      </c>
      <c r="AV75" s="169">
        <f t="shared" si="23"/>
        <v>2408184</v>
      </c>
      <c r="AW75" s="169">
        <f t="shared" si="23"/>
        <v>735379</v>
      </c>
    </row>
    <row r="76" spans="1:49" ht="14.4">
      <c r="A76" s="183" t="s">
        <v>245</v>
      </c>
      <c r="B76" s="184" t="s">
        <v>223</v>
      </c>
      <c r="C76" s="185"/>
      <c r="D76" s="186"/>
      <c r="E76" s="186"/>
      <c r="F76" s="186"/>
      <c r="G76" s="186"/>
      <c r="H76" s="186"/>
      <c r="I76" s="186"/>
      <c r="J76" s="186"/>
      <c r="K76" s="186"/>
      <c r="L76" s="186"/>
      <c r="M76" s="186"/>
      <c r="N76" s="186"/>
      <c r="O76" s="186"/>
      <c r="P76" s="186"/>
      <c r="Q76" s="186"/>
      <c r="R76" s="186"/>
      <c r="S76" s="186"/>
      <c r="T76" s="186"/>
      <c r="U76" s="186"/>
      <c r="V76" s="186"/>
      <c r="W76" s="186"/>
      <c r="X76" s="186"/>
      <c r="Y76" s="186"/>
      <c r="Z76" s="186"/>
      <c r="AA76" s="186"/>
      <c r="AB76" s="186"/>
      <c r="AC76" s="186"/>
      <c r="AD76" s="186"/>
      <c r="AE76" s="186"/>
      <c r="AF76" s="186"/>
      <c r="AG76" s="186"/>
      <c r="AH76" s="186"/>
      <c r="AI76" s="186"/>
      <c r="AJ76" s="186"/>
      <c r="AK76" s="186"/>
      <c r="AL76" s="186"/>
      <c r="AM76" s="186"/>
      <c r="AN76" s="186"/>
      <c r="AO76" s="186"/>
      <c r="AP76" s="186"/>
      <c r="AQ76" s="186"/>
      <c r="AR76" s="186"/>
      <c r="AS76" s="186"/>
      <c r="AT76" s="186"/>
      <c r="AU76" s="186"/>
      <c r="AV76" s="186"/>
      <c r="AW76" s="187"/>
    </row>
    <row r="77" spans="1:49" ht="14.4">
      <c r="A77" s="138" t="s">
        <v>245</v>
      </c>
      <c r="B77" s="139" t="s">
        <v>75</v>
      </c>
      <c r="C77" s="140"/>
      <c r="D77" s="141"/>
      <c r="E77" s="141"/>
      <c r="F77" s="141"/>
      <c r="G77" s="141"/>
      <c r="H77" s="141"/>
      <c r="I77" s="141"/>
      <c r="J77" s="141"/>
      <c r="K77" s="141"/>
      <c r="L77" s="141"/>
      <c r="M77" s="141"/>
      <c r="N77" s="141"/>
      <c r="O77" s="141"/>
      <c r="P77" s="141"/>
      <c r="Q77" s="141"/>
      <c r="R77" s="141"/>
      <c r="S77" s="141"/>
      <c r="T77" s="141"/>
      <c r="U77" s="141"/>
      <c r="V77" s="141"/>
      <c r="W77" s="141"/>
      <c r="X77" s="141"/>
      <c r="Y77" s="141"/>
      <c r="Z77" s="141"/>
      <c r="AA77" s="141"/>
      <c r="AB77" s="141"/>
      <c r="AC77" s="141"/>
      <c r="AD77" s="141"/>
      <c r="AE77" s="141"/>
      <c r="AF77" s="141"/>
      <c r="AG77" s="141"/>
      <c r="AH77" s="141"/>
      <c r="AI77" s="141"/>
      <c r="AJ77" s="141"/>
      <c r="AK77" s="141"/>
      <c r="AL77" s="141"/>
      <c r="AM77" s="141"/>
      <c r="AN77" s="141"/>
      <c r="AO77" s="141"/>
      <c r="AP77" s="141"/>
      <c r="AQ77" s="141"/>
      <c r="AR77" s="141"/>
      <c r="AS77" s="141"/>
      <c r="AT77" s="141"/>
      <c r="AU77" s="141"/>
      <c r="AV77" s="141"/>
      <c r="AW77" s="142"/>
    </row>
    <row r="78" spans="1:49" ht="14.4">
      <c r="A78" s="138" t="s">
        <v>245</v>
      </c>
      <c r="B78" s="139" t="s">
        <v>100</v>
      </c>
      <c r="C78" s="140"/>
      <c r="D78" s="141"/>
      <c r="E78" s="141"/>
      <c r="F78" s="141"/>
      <c r="G78" s="141"/>
      <c r="H78" s="141"/>
      <c r="I78" s="141"/>
      <c r="J78" s="141"/>
      <c r="K78" s="141"/>
      <c r="L78" s="141"/>
      <c r="M78" s="141"/>
      <c r="N78" s="141"/>
      <c r="O78" s="141"/>
      <c r="P78" s="141"/>
      <c r="Q78" s="141"/>
      <c r="R78" s="141"/>
      <c r="S78" s="141"/>
      <c r="T78" s="141"/>
      <c r="U78" s="141"/>
      <c r="V78" s="141"/>
      <c r="W78" s="141"/>
      <c r="X78" s="141"/>
      <c r="Y78" s="141"/>
      <c r="Z78" s="141"/>
      <c r="AA78" s="141"/>
      <c r="AB78" s="141"/>
      <c r="AC78" s="141"/>
      <c r="AD78" s="141"/>
      <c r="AE78" s="141"/>
      <c r="AF78" s="141"/>
      <c r="AG78" s="141"/>
      <c r="AH78" s="141"/>
      <c r="AI78" s="141"/>
      <c r="AJ78" s="141"/>
      <c r="AK78" s="141"/>
      <c r="AL78" s="141"/>
      <c r="AM78" s="141"/>
      <c r="AN78" s="141"/>
      <c r="AO78" s="141"/>
      <c r="AP78" s="141"/>
      <c r="AQ78" s="141"/>
      <c r="AR78" s="141"/>
      <c r="AS78" s="141"/>
      <c r="AT78" s="141"/>
      <c r="AU78" s="141"/>
      <c r="AV78" s="141"/>
      <c r="AW78" s="142"/>
    </row>
    <row r="79" spans="1:49" ht="14.4">
      <c r="A79" s="138" t="s">
        <v>245</v>
      </c>
      <c r="B79" s="139" t="s">
        <v>77</v>
      </c>
      <c r="C79" s="140"/>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1"/>
      <c r="AV79" s="141"/>
      <c r="AW79" s="142"/>
    </row>
    <row r="80" spans="1:49" ht="14.4">
      <c r="A80" s="138" t="s">
        <v>245</v>
      </c>
      <c r="B80" s="139" t="s">
        <v>96</v>
      </c>
      <c r="C80" s="140"/>
      <c r="D80" s="141"/>
      <c r="E80" s="141"/>
      <c r="F80" s="141"/>
      <c r="G80" s="141"/>
      <c r="H80" s="141"/>
      <c r="I80" s="141"/>
      <c r="J80" s="141"/>
      <c r="K80" s="141"/>
      <c r="L80" s="141"/>
      <c r="M80" s="141"/>
      <c r="N80" s="141"/>
      <c r="O80" s="141"/>
      <c r="P80" s="141"/>
      <c r="Q80" s="141"/>
      <c r="R80" s="141"/>
      <c r="S80" s="141"/>
      <c r="T80" s="141"/>
      <c r="U80" s="141"/>
      <c r="V80" s="141"/>
      <c r="W80" s="141"/>
      <c r="X80" s="141"/>
      <c r="Y80" s="141"/>
      <c r="Z80" s="141"/>
      <c r="AA80" s="141"/>
      <c r="AB80" s="141"/>
      <c r="AC80" s="141"/>
      <c r="AD80" s="141"/>
      <c r="AE80" s="141"/>
      <c r="AF80" s="141"/>
      <c r="AG80" s="141"/>
      <c r="AH80" s="141"/>
      <c r="AI80" s="141"/>
      <c r="AJ80" s="141"/>
      <c r="AK80" s="141"/>
      <c r="AL80" s="141"/>
      <c r="AM80" s="141"/>
      <c r="AN80" s="141"/>
      <c r="AO80" s="141"/>
      <c r="AP80" s="141"/>
      <c r="AQ80" s="141"/>
      <c r="AR80" s="141"/>
      <c r="AS80" s="141"/>
      <c r="AT80" s="141"/>
      <c r="AU80" s="141"/>
      <c r="AV80" s="141"/>
      <c r="AW80" s="142"/>
    </row>
    <row r="81" spans="1:54" ht="14.4">
      <c r="A81" s="138" t="s">
        <v>245</v>
      </c>
      <c r="B81" s="139" t="s">
        <v>51</v>
      </c>
      <c r="C81" s="140"/>
      <c r="D81" s="141"/>
      <c r="E81" s="141"/>
      <c r="F81" s="141"/>
      <c r="G81" s="141"/>
      <c r="H81" s="141"/>
      <c r="I81" s="141"/>
      <c r="J81" s="141"/>
      <c r="K81" s="141"/>
      <c r="L81" s="141"/>
      <c r="M81" s="141"/>
      <c r="N81" s="141"/>
      <c r="O81" s="141"/>
      <c r="P81" s="141"/>
      <c r="Q81" s="141"/>
      <c r="R81" s="141"/>
      <c r="S81" s="141"/>
      <c r="T81" s="141"/>
      <c r="U81" s="141"/>
      <c r="V81" s="141"/>
      <c r="W81" s="141"/>
      <c r="X81" s="141"/>
      <c r="Y81" s="141"/>
      <c r="Z81" s="141"/>
      <c r="AA81" s="141"/>
      <c r="AB81" s="141"/>
      <c r="AC81" s="141"/>
      <c r="AD81" s="141"/>
      <c r="AE81" s="141"/>
      <c r="AF81" s="141"/>
      <c r="AG81" s="141"/>
      <c r="AH81" s="141"/>
      <c r="AI81" s="141"/>
      <c r="AJ81" s="141"/>
      <c r="AK81" s="141"/>
      <c r="AL81" s="141"/>
      <c r="AM81" s="141"/>
      <c r="AN81" s="141"/>
      <c r="AO81" s="141"/>
      <c r="AP81" s="141"/>
      <c r="AQ81" s="141"/>
      <c r="AR81" s="141"/>
      <c r="AS81" s="141"/>
      <c r="AT81" s="141"/>
      <c r="AU81" s="141"/>
      <c r="AV81" s="141"/>
      <c r="AW81" s="142"/>
      <c r="AX81" s="157">
        <f t="shared" ref="AX81:AX94" si="24">SUM(C20:AW20)</f>
        <v>0</v>
      </c>
      <c r="AZ81" s="188" t="str">
        <f>Commodities!$E$15</f>
        <v>LPG</v>
      </c>
      <c r="BA81" s="189" t="s">
        <v>93</v>
      </c>
      <c r="BB81" s="189" t="s">
        <v>94</v>
      </c>
    </row>
    <row r="82" spans="1:54" ht="14.4">
      <c r="A82" s="138" t="s">
        <v>245</v>
      </c>
      <c r="B82" s="139" t="s">
        <v>224</v>
      </c>
      <c r="C82" s="140"/>
      <c r="D82" s="141"/>
      <c r="E82" s="141"/>
      <c r="F82" s="141"/>
      <c r="G82" s="141"/>
      <c r="H82" s="141"/>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c r="AG82" s="141"/>
      <c r="AH82" s="141"/>
      <c r="AI82" s="141"/>
      <c r="AJ82" s="141"/>
      <c r="AK82" s="141"/>
      <c r="AL82" s="141"/>
      <c r="AM82" s="141"/>
      <c r="AN82" s="141"/>
      <c r="AO82" s="141"/>
      <c r="AP82" s="141"/>
      <c r="AQ82" s="141"/>
      <c r="AR82" s="141"/>
      <c r="AS82" s="141"/>
      <c r="AT82" s="141"/>
      <c r="AU82" s="141"/>
      <c r="AV82" s="141"/>
      <c r="AW82" s="142"/>
      <c r="AX82" s="157">
        <f t="shared" si="24"/>
        <v>114809412</v>
      </c>
      <c r="AZ82" s="188" t="str">
        <f>Commodities!$E$17</f>
        <v>GSL</v>
      </c>
      <c r="BA82" s="190" t="s">
        <v>100</v>
      </c>
      <c r="BB82" s="190" t="s">
        <v>254</v>
      </c>
    </row>
    <row r="83" spans="1:54" ht="14.4">
      <c r="A83" s="138" t="s">
        <v>245</v>
      </c>
      <c r="B83" s="139" t="s">
        <v>225</v>
      </c>
      <c r="C83" s="140"/>
      <c r="D83" s="141"/>
      <c r="E83" s="141"/>
      <c r="F83" s="141"/>
      <c r="G83" s="141"/>
      <c r="H83" s="141"/>
      <c r="I83" s="141"/>
      <c r="J83" s="141"/>
      <c r="K83" s="141"/>
      <c r="L83" s="141"/>
      <c r="M83" s="141"/>
      <c r="N83" s="141"/>
      <c r="O83" s="141"/>
      <c r="P83" s="141"/>
      <c r="Q83" s="141"/>
      <c r="R83" s="141"/>
      <c r="S83" s="141"/>
      <c r="T83" s="141"/>
      <c r="U83" s="141"/>
      <c r="V83" s="141"/>
      <c r="W83" s="141"/>
      <c r="X83" s="141"/>
      <c r="Y83" s="141"/>
      <c r="Z83" s="141"/>
      <c r="AA83" s="141"/>
      <c r="AB83" s="141"/>
      <c r="AC83" s="141"/>
      <c r="AD83" s="141"/>
      <c r="AE83" s="141"/>
      <c r="AF83" s="141"/>
      <c r="AG83" s="141"/>
      <c r="AH83" s="141"/>
      <c r="AI83" s="141"/>
      <c r="AJ83" s="141"/>
      <c r="AK83" s="141"/>
      <c r="AL83" s="141"/>
      <c r="AM83" s="141"/>
      <c r="AN83" s="141"/>
      <c r="AO83" s="141"/>
      <c r="AP83" s="141"/>
      <c r="AQ83" s="141"/>
      <c r="AR83" s="141"/>
      <c r="AS83" s="141"/>
      <c r="AT83" s="141"/>
      <c r="AU83" s="141"/>
      <c r="AV83" s="141"/>
      <c r="AW83" s="142"/>
      <c r="AX83" s="157">
        <f t="shared" si="24"/>
        <v>569513581</v>
      </c>
      <c r="AZ83" s="188" t="str">
        <f>Commodities!$E$18</f>
        <v>KER</v>
      </c>
      <c r="BA83" s="191" t="s">
        <v>97</v>
      </c>
      <c r="BB83" s="192" t="s">
        <v>95</v>
      </c>
    </row>
    <row r="84" spans="1:54" ht="14.4">
      <c r="A84" s="138" t="s">
        <v>245</v>
      </c>
      <c r="B84" s="139" t="s">
        <v>226</v>
      </c>
      <c r="C84" s="140"/>
      <c r="D84" s="141"/>
      <c r="E84" s="141"/>
      <c r="F84" s="141"/>
      <c r="G84" s="141"/>
      <c r="H84" s="141"/>
      <c r="I84" s="141"/>
      <c r="J84" s="141"/>
      <c r="K84" s="141"/>
      <c r="L84" s="141"/>
      <c r="M84" s="141"/>
      <c r="N84" s="141"/>
      <c r="O84" s="141"/>
      <c r="P84" s="141"/>
      <c r="Q84" s="141"/>
      <c r="R84" s="141"/>
      <c r="S84" s="141"/>
      <c r="T84" s="141"/>
      <c r="U84" s="141"/>
      <c r="V84" s="141"/>
      <c r="W84" s="141"/>
      <c r="X84" s="141"/>
      <c r="Y84" s="141"/>
      <c r="Z84" s="141"/>
      <c r="AA84" s="141"/>
      <c r="AB84" s="141"/>
      <c r="AC84" s="141"/>
      <c r="AD84" s="141"/>
      <c r="AE84" s="141"/>
      <c r="AF84" s="141"/>
      <c r="AG84" s="141"/>
      <c r="AH84" s="141"/>
      <c r="AI84" s="141"/>
      <c r="AJ84" s="141"/>
      <c r="AK84" s="141"/>
      <c r="AL84" s="141"/>
      <c r="AM84" s="141"/>
      <c r="AN84" s="141"/>
      <c r="AO84" s="141"/>
      <c r="AP84" s="141"/>
      <c r="AQ84" s="141"/>
      <c r="AR84" s="141"/>
      <c r="AS84" s="141"/>
      <c r="AT84" s="141"/>
      <c r="AU84" s="141"/>
      <c r="AV84" s="141"/>
      <c r="AW84" s="142"/>
      <c r="AX84" s="157">
        <f t="shared" si="24"/>
        <v>342703860</v>
      </c>
      <c r="AZ84" s="188" t="str">
        <f>Commodities!$E$30</f>
        <v>KRB1</v>
      </c>
      <c r="BA84" s="190" t="s">
        <v>75</v>
      </c>
      <c r="BB84" s="190" t="s">
        <v>75</v>
      </c>
    </row>
    <row r="85" spans="1:54" ht="14.4">
      <c r="A85" s="138" t="s">
        <v>245</v>
      </c>
      <c r="B85" s="139" t="s">
        <v>70</v>
      </c>
      <c r="C85" s="140"/>
      <c r="D85" s="141"/>
      <c r="E85" s="141"/>
      <c r="F85" s="141"/>
      <c r="G85" s="141"/>
      <c r="H85" s="141"/>
      <c r="I85" s="141"/>
      <c r="J85" s="141"/>
      <c r="K85" s="141"/>
      <c r="L85" s="141"/>
      <c r="M85" s="141"/>
      <c r="N85" s="141"/>
      <c r="O85" s="141"/>
      <c r="P85" s="141"/>
      <c r="Q85" s="141"/>
      <c r="R85" s="141"/>
      <c r="S85" s="141"/>
      <c r="T85" s="141"/>
      <c r="U85" s="141"/>
      <c r="V85" s="141"/>
      <c r="W85" s="141"/>
      <c r="X85" s="141"/>
      <c r="Y85" s="141"/>
      <c r="Z85" s="141"/>
      <c r="AA85" s="141"/>
      <c r="AB85" s="141"/>
      <c r="AC85" s="141"/>
      <c r="AD85" s="141"/>
      <c r="AE85" s="141"/>
      <c r="AF85" s="141"/>
      <c r="AG85" s="141"/>
      <c r="AH85" s="141"/>
      <c r="AI85" s="141"/>
      <c r="AJ85" s="141"/>
      <c r="AK85" s="141"/>
      <c r="AL85" s="141"/>
      <c r="AM85" s="141"/>
      <c r="AN85" s="141"/>
      <c r="AO85" s="141"/>
      <c r="AP85" s="141"/>
      <c r="AQ85" s="141"/>
      <c r="AR85" s="141"/>
      <c r="AS85" s="141"/>
      <c r="AT85" s="141"/>
      <c r="AU85" s="141"/>
      <c r="AV85" s="141"/>
      <c r="AW85" s="142"/>
      <c r="AX85" s="157">
        <f t="shared" si="24"/>
        <v>494194739</v>
      </c>
      <c r="AZ85" s="188" t="str">
        <f>Commodities!$E$19</f>
        <v>DSL</v>
      </c>
      <c r="BA85" s="190" t="s">
        <v>76</v>
      </c>
      <c r="BB85" s="190" t="s">
        <v>77</v>
      </c>
    </row>
    <row r="86" spans="1:54" ht="14.4">
      <c r="A86" s="168" t="s">
        <v>245</v>
      </c>
      <c r="B86" s="149" t="s">
        <v>227</v>
      </c>
      <c r="C86" s="169">
        <f>-C68</f>
        <v>397650</v>
      </c>
      <c r="D86" s="169">
        <f t="shared" ref="D86:AW87" si="25">-D68</f>
        <v>432699</v>
      </c>
      <c r="E86" s="169">
        <f t="shared" si="25"/>
        <v>476143</v>
      </c>
      <c r="F86" s="169">
        <f t="shared" si="25"/>
        <v>530132</v>
      </c>
      <c r="G86" s="169">
        <f t="shared" si="25"/>
        <v>593411</v>
      </c>
      <c r="H86" s="169">
        <f t="shared" si="25"/>
        <v>643437</v>
      </c>
      <c r="I86" s="169">
        <f t="shared" si="25"/>
        <v>685084</v>
      </c>
      <c r="J86" s="169">
        <f t="shared" si="25"/>
        <v>736411</v>
      </c>
      <c r="K86" s="169">
        <f t="shared" si="25"/>
        <v>731086</v>
      </c>
      <c r="L86" s="169">
        <f t="shared" si="25"/>
        <v>686570</v>
      </c>
      <c r="M86" s="169">
        <f t="shared" si="25"/>
        <v>613406</v>
      </c>
      <c r="N86" s="169">
        <f t="shared" si="25"/>
        <v>594418</v>
      </c>
      <c r="O86" s="169">
        <f t="shared" si="25"/>
        <v>639873</v>
      </c>
      <c r="P86" s="169">
        <f t="shared" si="25"/>
        <v>625981</v>
      </c>
      <c r="Q86" s="169">
        <f t="shared" si="25"/>
        <v>647706</v>
      </c>
      <c r="R86" s="169">
        <f t="shared" si="25"/>
        <v>763354</v>
      </c>
      <c r="S86" s="169">
        <f t="shared" si="25"/>
        <v>759288</v>
      </c>
      <c r="T86" s="169">
        <f t="shared" si="25"/>
        <v>783722</v>
      </c>
      <c r="U86" s="169">
        <f t="shared" si="25"/>
        <v>785727</v>
      </c>
      <c r="V86" s="169">
        <f t="shared" si="25"/>
        <v>767902</v>
      </c>
      <c r="W86" s="169">
        <f t="shared" si="25"/>
        <v>911578</v>
      </c>
      <c r="X86" s="169">
        <f t="shared" si="25"/>
        <v>909734</v>
      </c>
      <c r="Y86" s="169">
        <f t="shared" si="25"/>
        <v>857186</v>
      </c>
      <c r="Z86" s="169">
        <f t="shared" si="25"/>
        <v>844713</v>
      </c>
      <c r="AA86" s="169">
        <f t="shared" si="25"/>
        <v>891592</v>
      </c>
      <c r="AB86" s="169">
        <f t="shared" si="25"/>
        <v>1096782</v>
      </c>
      <c r="AC86" s="169">
        <f t="shared" si="25"/>
        <v>1163069</v>
      </c>
      <c r="AD86" s="169">
        <f t="shared" si="25"/>
        <v>1103643</v>
      </c>
      <c r="AE86" s="169">
        <f t="shared" si="25"/>
        <v>1200480</v>
      </c>
      <c r="AF86" s="169">
        <f t="shared" si="25"/>
        <v>1178367</v>
      </c>
      <c r="AG86" s="169">
        <f t="shared" si="25"/>
        <v>1231778</v>
      </c>
      <c r="AH86" s="169">
        <f t="shared" si="25"/>
        <v>1027529</v>
      </c>
      <c r="AI86" s="169">
        <f t="shared" si="25"/>
        <v>905799</v>
      </c>
      <c r="AJ86" s="169">
        <f t="shared" si="25"/>
        <v>977882</v>
      </c>
      <c r="AK86" s="169">
        <f t="shared" si="25"/>
        <v>756137</v>
      </c>
      <c r="AL86" s="169">
        <f t="shared" si="25"/>
        <v>555652</v>
      </c>
      <c r="AM86" s="169">
        <f t="shared" si="25"/>
        <v>565485</v>
      </c>
      <c r="AN86" s="169">
        <f t="shared" si="25"/>
        <v>904276</v>
      </c>
      <c r="AO86" s="169">
        <f t="shared" si="25"/>
        <v>922446</v>
      </c>
      <c r="AP86" s="169">
        <f t="shared" si="25"/>
        <v>644273</v>
      </c>
      <c r="AQ86" s="169">
        <f t="shared" si="25"/>
        <v>781406</v>
      </c>
      <c r="AR86" s="169">
        <f t="shared" si="25"/>
        <v>1101084</v>
      </c>
      <c r="AS86" s="169">
        <f t="shared" si="25"/>
        <v>1285842</v>
      </c>
      <c r="AT86" s="169">
        <f t="shared" si="25"/>
        <v>1153932</v>
      </c>
      <c r="AU86" s="169">
        <f t="shared" si="25"/>
        <v>1169936</v>
      </c>
      <c r="AV86" s="169">
        <f t="shared" si="25"/>
        <v>1056349</v>
      </c>
      <c r="AW86" s="169">
        <f t="shared" si="25"/>
        <v>1074112</v>
      </c>
      <c r="AX86" s="157">
        <f t="shared" si="24"/>
        <v>3248533087</v>
      </c>
      <c r="AZ86" s="188" t="str">
        <f>Commodities!$E$20</f>
        <v>HFO</v>
      </c>
      <c r="BA86" s="190" t="s">
        <v>79</v>
      </c>
      <c r="BB86" s="190" t="s">
        <v>78</v>
      </c>
    </row>
    <row r="87" spans="1:54" ht="15" thickBot="1">
      <c r="A87" s="193" t="s">
        <v>245</v>
      </c>
      <c r="B87" s="194" t="s">
        <v>228</v>
      </c>
      <c r="C87" s="195">
        <f>-C69</f>
        <v>2278</v>
      </c>
      <c r="D87" s="195">
        <f t="shared" si="25"/>
        <v>2479</v>
      </c>
      <c r="E87" s="195">
        <f t="shared" si="25"/>
        <v>3063</v>
      </c>
      <c r="F87" s="195">
        <f t="shared" si="25"/>
        <v>4198</v>
      </c>
      <c r="G87" s="195">
        <f t="shared" si="25"/>
        <v>4495</v>
      </c>
      <c r="H87" s="195">
        <f t="shared" si="25"/>
        <v>4899</v>
      </c>
      <c r="I87" s="195">
        <f t="shared" si="25"/>
        <v>5362</v>
      </c>
      <c r="J87" s="195">
        <f t="shared" si="25"/>
        <v>5639</v>
      </c>
      <c r="K87" s="195">
        <f t="shared" si="25"/>
        <v>5838</v>
      </c>
      <c r="L87" s="195">
        <f t="shared" si="25"/>
        <v>5961</v>
      </c>
      <c r="M87" s="195">
        <f t="shared" si="25"/>
        <v>5173</v>
      </c>
      <c r="N87" s="195">
        <f t="shared" si="25"/>
        <v>5701</v>
      </c>
      <c r="O87" s="195">
        <f t="shared" si="25"/>
        <v>5536</v>
      </c>
      <c r="P87" s="195">
        <f t="shared" si="25"/>
        <v>5388</v>
      </c>
      <c r="Q87" s="195">
        <f t="shared" si="25"/>
        <v>0</v>
      </c>
      <c r="R87" s="195">
        <f t="shared" si="25"/>
        <v>0</v>
      </c>
      <c r="S87" s="195">
        <f t="shared" si="25"/>
        <v>294559</v>
      </c>
      <c r="T87" s="195">
        <f t="shared" si="25"/>
        <v>446939</v>
      </c>
      <c r="U87" s="195">
        <f t="shared" si="25"/>
        <v>459885</v>
      </c>
      <c r="V87" s="195">
        <f t="shared" si="25"/>
        <v>439145</v>
      </c>
      <c r="W87" s="195">
        <f t="shared" si="25"/>
        <v>335697</v>
      </c>
      <c r="X87" s="195">
        <f t="shared" si="25"/>
        <v>362024</v>
      </c>
      <c r="Y87" s="195">
        <f t="shared" si="25"/>
        <v>405850</v>
      </c>
      <c r="Z87" s="195">
        <f t="shared" si="25"/>
        <v>416804</v>
      </c>
      <c r="AA87" s="195">
        <f t="shared" si="25"/>
        <v>427758</v>
      </c>
      <c r="AB87" s="195">
        <f t="shared" si="25"/>
        <v>387197</v>
      </c>
      <c r="AC87" s="195">
        <f t="shared" si="25"/>
        <v>346636</v>
      </c>
      <c r="AD87" s="195">
        <f t="shared" si="25"/>
        <v>306075</v>
      </c>
      <c r="AE87" s="195">
        <f t="shared" si="25"/>
        <v>351620</v>
      </c>
      <c r="AF87" s="195">
        <f t="shared" si="25"/>
        <v>380457</v>
      </c>
      <c r="AG87" s="195">
        <f t="shared" si="25"/>
        <v>318666</v>
      </c>
      <c r="AH87" s="195">
        <f t="shared" si="25"/>
        <v>256816</v>
      </c>
      <c r="AI87" s="195">
        <f t="shared" si="25"/>
        <v>222847</v>
      </c>
      <c r="AJ87" s="195">
        <f t="shared" si="25"/>
        <v>299190</v>
      </c>
      <c r="AK87" s="195">
        <f t="shared" si="25"/>
        <v>275371</v>
      </c>
      <c r="AL87" s="195">
        <f t="shared" si="25"/>
        <v>252295</v>
      </c>
      <c r="AM87" s="195">
        <f t="shared" si="25"/>
        <v>252295</v>
      </c>
      <c r="AN87" s="195">
        <f t="shared" si="25"/>
        <v>260862</v>
      </c>
      <c r="AO87" s="195">
        <f t="shared" si="25"/>
        <v>247819</v>
      </c>
      <c r="AP87" s="195">
        <f t="shared" si="25"/>
        <v>354806</v>
      </c>
      <c r="AQ87" s="195">
        <f t="shared" si="25"/>
        <v>367693</v>
      </c>
      <c r="AR87" s="195">
        <f t="shared" si="25"/>
        <v>404977</v>
      </c>
      <c r="AS87" s="195">
        <f t="shared" si="25"/>
        <v>585757</v>
      </c>
      <c r="AT87" s="195">
        <f t="shared" si="25"/>
        <v>585699</v>
      </c>
      <c r="AU87" s="195">
        <f t="shared" si="25"/>
        <v>583942</v>
      </c>
      <c r="AV87" s="195">
        <f t="shared" si="25"/>
        <v>558832</v>
      </c>
      <c r="AW87" s="195">
        <f t="shared" si="25"/>
        <v>558832</v>
      </c>
      <c r="AX87" s="157">
        <f t="shared" si="24"/>
        <v>658608834</v>
      </c>
      <c r="AZ87" s="196" t="e">
        <f>Commodities!#REF!</f>
        <v>#REF!</v>
      </c>
    </row>
    <row r="88" spans="1:54" ht="13.8" thickTop="1">
      <c r="AX88" s="157">
        <f t="shared" si="24"/>
        <v>6226864393</v>
      </c>
    </row>
    <row r="89" spans="1:54">
      <c r="AM89" s="116">
        <f>AM68/SUM(AM58:AM67)</f>
        <v>-1.77871862134056E-3</v>
      </c>
      <c r="AN89" s="116">
        <f t="shared" ref="AN89:AW89" si="26">AN68/SUM(AN58:AN67)</f>
        <v>-2.7140929057128003E-3</v>
      </c>
      <c r="AO89" s="116">
        <f t="shared" si="26"/>
        <v>-2.8419199343221431E-3</v>
      </c>
      <c r="AP89" s="116">
        <f t="shared" si="26"/>
        <v>-2.0567272926195058E-3</v>
      </c>
      <c r="AQ89" s="116">
        <f t="shared" si="26"/>
        <v>-2.3829489824817359E-3</v>
      </c>
      <c r="AR89" s="116">
        <f t="shared" si="26"/>
        <v>-3.4305880064370866E-3</v>
      </c>
      <c r="AS89" s="116">
        <f t="shared" si="26"/>
        <v>-4.0465358323819112E-3</v>
      </c>
      <c r="AT89" s="116">
        <f t="shared" si="26"/>
        <v>-3.6183382330474633E-3</v>
      </c>
      <c r="AU89" s="116">
        <f t="shared" si="26"/>
        <v>-3.8355235059163843E-3</v>
      </c>
      <c r="AV89" s="116">
        <f t="shared" si="26"/>
        <v>-3.4223194800251768E-3</v>
      </c>
      <c r="AW89" s="116">
        <f t="shared" si="26"/>
        <v>-3.1167808464225037E-3</v>
      </c>
      <c r="AX89" s="157">
        <f t="shared" si="24"/>
        <v>4308286856</v>
      </c>
    </row>
    <row r="90" spans="1:54">
      <c r="AM90" s="116">
        <f>AM69/SUM(AM58:AM67)</f>
        <v>-7.9358747724717126E-4</v>
      </c>
      <c r="AN90" s="116">
        <f t="shared" ref="AN90:AW90" si="27">AN69/SUM(AN58:AN67)</f>
        <v>-7.8295089504758783E-4</v>
      </c>
      <c r="AO90" s="116">
        <f t="shared" si="27"/>
        <v>-7.6349375053258309E-4</v>
      </c>
      <c r="AP90" s="116">
        <f t="shared" si="27"/>
        <v>-1.1326552312221005E-3</v>
      </c>
      <c r="AQ90" s="116">
        <f t="shared" si="27"/>
        <v>-1.1213039830966962E-3</v>
      </c>
      <c r="AR90" s="116">
        <f t="shared" si="27"/>
        <v>-1.2617649871243901E-3</v>
      </c>
      <c r="AS90" s="116">
        <f t="shared" si="27"/>
        <v>-1.8433732057037576E-3</v>
      </c>
      <c r="AT90" s="116">
        <f t="shared" si="27"/>
        <v>-1.8365528339258001E-3</v>
      </c>
      <c r="AU90" s="116">
        <f t="shared" si="27"/>
        <v>-1.9143981098896225E-3</v>
      </c>
      <c r="AV90" s="116">
        <f t="shared" si="27"/>
        <v>-1.8104827473320179E-3</v>
      </c>
      <c r="AW90" s="116">
        <f t="shared" si="27"/>
        <v>-1.6215784517517545E-3</v>
      </c>
      <c r="AX90" s="157">
        <f t="shared" si="24"/>
        <v>0</v>
      </c>
    </row>
    <row r="91" spans="1:54">
      <c r="AM91" s="1054">
        <f>SUM(AM56:AM57)/SUM(AM58:AM67)</f>
        <v>-1.0545409133953907</v>
      </c>
      <c r="AN91" s="1054">
        <f t="shared" ref="AN91:AW91" si="28">SUM(AN56:AN57)/SUM(AN58:AN67)</f>
        <v>-1.0631288922833775</v>
      </c>
      <c r="AO91" s="1054">
        <f t="shared" si="28"/>
        <v>-1.0624271665321685</v>
      </c>
      <c r="AP91" s="1054">
        <f t="shared" si="28"/>
        <v>-1.0679544200426989</v>
      </c>
      <c r="AQ91" s="1054">
        <f t="shared" si="28"/>
        <v>-1.0579786552902575</v>
      </c>
      <c r="AR91" s="1054">
        <f t="shared" si="28"/>
        <v>-1.0407248929379118</v>
      </c>
      <c r="AS91" s="1054">
        <f t="shared" si="28"/>
        <v>-1.0546258231404826</v>
      </c>
      <c r="AT91" s="1054">
        <f t="shared" si="28"/>
        <v>-1.0565692445270107</v>
      </c>
      <c r="AU91" s="1054">
        <f t="shared" si="28"/>
        <v>-1.0367681823652135</v>
      </c>
      <c r="AV91" s="1054">
        <f t="shared" si="28"/>
        <v>-1.0681316596691963</v>
      </c>
      <c r="AW91" s="1054">
        <f t="shared" si="28"/>
        <v>-1.0536810391178437</v>
      </c>
      <c r="AX91" s="157">
        <f t="shared" si="24"/>
        <v>31362852</v>
      </c>
    </row>
    <row r="92" spans="1:54">
      <c r="AM92" s="1054">
        <f>AM89+AM90+AM91</f>
        <v>-1.0571132194939785</v>
      </c>
      <c r="AN92" s="1054">
        <f t="shared" ref="AN92:AW92" si="29">AN89+AN90+AN91</f>
        <v>-1.0666259360841379</v>
      </c>
      <c r="AO92" s="1054">
        <f t="shared" si="29"/>
        <v>-1.0660325802170232</v>
      </c>
      <c r="AP92" s="1054">
        <f t="shared" si="29"/>
        <v>-1.0711438025665405</v>
      </c>
      <c r="AQ92" s="1054">
        <f t="shared" si="29"/>
        <v>-1.0614829082558359</v>
      </c>
      <c r="AR92" s="1054">
        <f t="shared" si="29"/>
        <v>-1.0454172459314732</v>
      </c>
      <c r="AS92" s="1054">
        <f t="shared" si="29"/>
        <v>-1.0605157321785683</v>
      </c>
      <c r="AT92" s="1054">
        <f t="shared" si="29"/>
        <v>-1.0620241355939839</v>
      </c>
      <c r="AU92" s="1054">
        <f t="shared" si="29"/>
        <v>-1.0425181039810194</v>
      </c>
      <c r="AV92" s="1054">
        <f t="shared" si="29"/>
        <v>-1.0733644618965534</v>
      </c>
      <c r="AW92" s="1054">
        <f t="shared" si="29"/>
        <v>-1.058419398416018</v>
      </c>
      <c r="AX92" s="157">
        <f t="shared" si="24"/>
        <v>0</v>
      </c>
    </row>
    <row r="93" spans="1:54">
      <c r="AM93" s="116">
        <f>1/AM92</f>
        <v>-0.94597246686469627</v>
      </c>
      <c r="AN93" s="116">
        <f t="shared" ref="AN93:AW93" si="30">1/AN92</f>
        <v>-0.93753579973056056</v>
      </c>
      <c r="AO93" s="116">
        <f t="shared" si="30"/>
        <v>-0.93805763403255438</v>
      </c>
      <c r="AP93" s="116">
        <f t="shared" si="30"/>
        <v>-0.93358146460253544</v>
      </c>
      <c r="AQ93" s="116">
        <f t="shared" si="30"/>
        <v>-0.94207828710415986</v>
      </c>
      <c r="AR93" s="116">
        <f t="shared" si="30"/>
        <v>-0.956555866943819</v>
      </c>
      <c r="AS93" s="116">
        <f t="shared" si="30"/>
        <v>-0.94293744982523398</v>
      </c>
      <c r="AT93" s="116">
        <f t="shared" si="30"/>
        <v>-0.94159818641099513</v>
      </c>
      <c r="AU93" s="116">
        <f t="shared" si="30"/>
        <v>-0.95921595623264733</v>
      </c>
      <c r="AV93" s="116">
        <f t="shared" si="30"/>
        <v>-0.93164999913736291</v>
      </c>
      <c r="AW93" s="116">
        <f t="shared" si="30"/>
        <v>-0.94480505695242756</v>
      </c>
      <c r="AX93" s="157">
        <f t="shared" si="24"/>
        <v>0</v>
      </c>
    </row>
    <row r="94" spans="1:54">
      <c r="AX94" s="157">
        <f t="shared" si="24"/>
        <v>0</v>
      </c>
    </row>
    <row r="98" spans="50:50">
      <c r="AX98" s="157">
        <f t="shared" ref="AX98:AX111" si="31">SUM(C37:AW37)</f>
        <v>15696574621</v>
      </c>
    </row>
    <row r="99" spans="50:50">
      <c r="AX99" s="157">
        <f t="shared" si="31"/>
        <v>475580860</v>
      </c>
    </row>
    <row r="100" spans="50:50">
      <c r="AX100" s="157">
        <f t="shared" si="31"/>
        <v>569513581</v>
      </c>
    </row>
    <row r="101" spans="50:50">
      <c r="AX101" s="157">
        <f t="shared" si="31"/>
        <v>12509376</v>
      </c>
    </row>
    <row r="102" spans="50:50">
      <c r="AX102" s="157">
        <f t="shared" si="31"/>
        <v>75815012</v>
      </c>
    </row>
    <row r="103" spans="50:50">
      <c r="AX103" s="157">
        <f t="shared" si="31"/>
        <v>255581</v>
      </c>
    </row>
    <row r="104" spans="50:50">
      <c r="AX104" s="157">
        <f t="shared" si="31"/>
        <v>0</v>
      </c>
    </row>
    <row r="105" spans="50:50">
      <c r="AX105" s="157">
        <f t="shared" si="31"/>
        <v>3708286</v>
      </c>
    </row>
    <row r="106" spans="50:50">
      <c r="AX106" s="157">
        <f t="shared" si="31"/>
        <v>136577074</v>
      </c>
    </row>
    <row r="107" spans="50:50">
      <c r="AX107" s="157">
        <f t="shared" si="31"/>
        <v>0</v>
      </c>
    </row>
    <row r="108" spans="50:50">
      <c r="AX108" s="157">
        <f t="shared" si="31"/>
        <v>1551</v>
      </c>
    </row>
    <row r="109" spans="50:50">
      <c r="AX109" s="157">
        <f t="shared" si="31"/>
        <v>191171</v>
      </c>
    </row>
    <row r="110" spans="50:50">
      <c r="AX110" s="157">
        <f t="shared" si="31"/>
        <v>39165062</v>
      </c>
    </row>
    <row r="111" spans="50:50">
      <c r="AX111" s="157">
        <f t="shared" si="31"/>
        <v>11813355</v>
      </c>
    </row>
  </sheetData>
  <mergeCells count="8">
    <mergeCell ref="I1:I2"/>
    <mergeCell ref="J1:J2"/>
    <mergeCell ref="A1:A2"/>
    <mergeCell ref="B1:B2"/>
    <mergeCell ref="C1:C2"/>
    <mergeCell ref="D1:D2"/>
    <mergeCell ref="E1:F1"/>
    <mergeCell ref="G1:H1"/>
  </mergeCells>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zoomScale="70" zoomScaleNormal="70" workbookViewId="0">
      <selection activeCell="L12" sqref="L12"/>
    </sheetView>
  </sheetViews>
  <sheetFormatPr defaultColWidth="8.44140625" defaultRowHeight="14.4"/>
  <cols>
    <col min="1" max="2" width="40.44140625" style="648" customWidth="1"/>
    <col min="3" max="3" width="6.21875" style="648" customWidth="1"/>
    <col min="4" max="4" width="25.44140625" style="648" customWidth="1"/>
    <col min="5" max="5" width="40.44140625" style="648" customWidth="1"/>
    <col min="6" max="13" width="7" style="648" customWidth="1"/>
    <col min="14" max="16384" width="8.44140625" style="648"/>
  </cols>
  <sheetData>
    <row r="1" spans="1:13">
      <c r="A1" s="648" t="s">
        <v>960</v>
      </c>
    </row>
    <row r="2" spans="1:13" ht="18">
      <c r="A2" s="653" t="s">
        <v>959</v>
      </c>
    </row>
    <row r="4" spans="1:13">
      <c r="E4" s="649" t="s">
        <v>900</v>
      </c>
    </row>
    <row r="5" spans="1:13">
      <c r="E5" s="649" t="s">
        <v>958</v>
      </c>
      <c r="F5" s="649" t="s">
        <v>957</v>
      </c>
      <c r="G5" s="649" t="s">
        <v>956</v>
      </c>
      <c r="H5" s="649" t="s">
        <v>955</v>
      </c>
      <c r="I5" s="649" t="s">
        <v>954</v>
      </c>
      <c r="J5" s="649" t="s">
        <v>953</v>
      </c>
      <c r="K5" s="649" t="s">
        <v>952</v>
      </c>
      <c r="L5" s="649" t="s">
        <v>951</v>
      </c>
      <c r="M5" s="649" t="s">
        <v>950</v>
      </c>
    </row>
    <row r="6" spans="1:13">
      <c r="A6" s="649" t="s">
        <v>949</v>
      </c>
      <c r="B6" s="649" t="s">
        <v>948</v>
      </c>
      <c r="C6" s="649" t="s">
        <v>945</v>
      </c>
      <c r="D6" s="649" t="s">
        <v>944</v>
      </c>
      <c r="E6" s="650">
        <v>260</v>
      </c>
      <c r="F6" s="650">
        <v>292</v>
      </c>
      <c r="G6" s="650">
        <v>272</v>
      </c>
      <c r="H6" s="650">
        <v>362</v>
      </c>
      <c r="I6" s="650">
        <v>356</v>
      </c>
      <c r="J6" s="650">
        <v>367</v>
      </c>
      <c r="K6" s="650">
        <v>315</v>
      </c>
      <c r="L6" s="650">
        <v>221</v>
      </c>
      <c r="M6" s="652" t="s">
        <v>937</v>
      </c>
    </row>
    <row r="7" spans="1:13">
      <c r="C7" s="649" t="s">
        <v>943</v>
      </c>
      <c r="D7" s="649" t="s">
        <v>942</v>
      </c>
      <c r="E7" s="650">
        <v>91</v>
      </c>
      <c r="F7" s="650">
        <v>99</v>
      </c>
      <c r="G7" s="650">
        <v>85</v>
      </c>
      <c r="H7" s="650">
        <v>107</v>
      </c>
      <c r="I7" s="650">
        <v>104</v>
      </c>
      <c r="J7" s="650">
        <v>88</v>
      </c>
      <c r="K7" s="650">
        <v>83</v>
      </c>
      <c r="L7" s="650">
        <v>73</v>
      </c>
      <c r="M7" s="652" t="s">
        <v>937</v>
      </c>
    </row>
    <row r="8" spans="1:13">
      <c r="C8" s="649" t="s">
        <v>941</v>
      </c>
      <c r="D8" s="649" t="s">
        <v>940</v>
      </c>
      <c r="E8" s="650">
        <v>3</v>
      </c>
      <c r="F8" s="650">
        <v>3</v>
      </c>
      <c r="G8" s="650">
        <v>3</v>
      </c>
      <c r="H8" s="650">
        <v>3</v>
      </c>
      <c r="I8" s="650">
        <v>3</v>
      </c>
      <c r="J8" s="650">
        <v>3</v>
      </c>
      <c r="K8" s="650">
        <v>3</v>
      </c>
      <c r="L8" s="650">
        <v>2</v>
      </c>
      <c r="M8" s="652" t="s">
        <v>937</v>
      </c>
    </row>
    <row r="9" spans="1:13">
      <c r="C9" s="649" t="s">
        <v>939</v>
      </c>
      <c r="D9" s="649" t="s">
        <v>938</v>
      </c>
      <c r="E9" s="650">
        <v>0</v>
      </c>
      <c r="F9" s="650">
        <v>0</v>
      </c>
      <c r="G9" s="650">
        <v>0</v>
      </c>
      <c r="H9" s="650">
        <v>0</v>
      </c>
      <c r="I9" s="650">
        <v>0</v>
      </c>
      <c r="J9" s="650">
        <v>0</v>
      </c>
      <c r="K9" s="650">
        <v>0</v>
      </c>
      <c r="L9" s="650">
        <v>0</v>
      </c>
      <c r="M9" s="652" t="s">
        <v>937</v>
      </c>
    </row>
    <row r="10" spans="1:13">
      <c r="C10" s="649" t="s">
        <v>936</v>
      </c>
      <c r="D10" s="649" t="s">
        <v>935</v>
      </c>
      <c r="E10" s="652" t="s">
        <v>932</v>
      </c>
      <c r="F10" s="652" t="s">
        <v>932</v>
      </c>
      <c r="G10" s="652" t="s">
        <v>932</v>
      </c>
      <c r="H10" s="652" t="s">
        <v>932</v>
      </c>
      <c r="I10" s="652" t="s">
        <v>932</v>
      </c>
      <c r="J10" s="652" t="s">
        <v>932</v>
      </c>
      <c r="K10" s="652" t="s">
        <v>932</v>
      </c>
      <c r="L10" s="652" t="s">
        <v>932</v>
      </c>
      <c r="M10" s="652" t="s">
        <v>932</v>
      </c>
    </row>
    <row r="11" spans="1:13">
      <c r="C11" s="649" t="s">
        <v>934</v>
      </c>
      <c r="D11" s="649" t="s">
        <v>933</v>
      </c>
      <c r="E11" s="652" t="s">
        <v>932</v>
      </c>
      <c r="F11" s="652" t="s">
        <v>932</v>
      </c>
      <c r="G11" s="652" t="s">
        <v>932</v>
      </c>
      <c r="H11" s="652" t="s">
        <v>932</v>
      </c>
      <c r="I11" s="652" t="s">
        <v>932</v>
      </c>
      <c r="J11" s="652" t="s">
        <v>932</v>
      </c>
      <c r="K11" s="652" t="s">
        <v>932</v>
      </c>
      <c r="L11" s="652" t="s">
        <v>932</v>
      </c>
      <c r="M11" s="652" t="s">
        <v>932</v>
      </c>
    </row>
    <row r="12" spans="1:13">
      <c r="A12" s="649" t="s">
        <v>947</v>
      </c>
      <c r="B12" s="649" t="s">
        <v>946</v>
      </c>
      <c r="C12" s="649" t="s">
        <v>945</v>
      </c>
      <c r="D12" s="649" t="s">
        <v>944</v>
      </c>
      <c r="E12" s="650">
        <v>15555</v>
      </c>
      <c r="F12" s="650">
        <v>15444</v>
      </c>
      <c r="G12" s="650">
        <v>15491</v>
      </c>
      <c r="H12" s="650">
        <v>15315</v>
      </c>
      <c r="I12" s="650">
        <v>15918</v>
      </c>
      <c r="J12" s="650">
        <v>16101</v>
      </c>
      <c r="K12" s="650">
        <v>15579</v>
      </c>
      <c r="L12" s="650">
        <v>15117</v>
      </c>
      <c r="M12" s="652" t="s">
        <v>937</v>
      </c>
    </row>
    <row r="13" spans="1:13">
      <c r="C13" s="649" t="s">
        <v>943</v>
      </c>
      <c r="D13" s="649" t="s">
        <v>942</v>
      </c>
      <c r="E13" s="650">
        <v>809</v>
      </c>
      <c r="F13" s="650">
        <v>725</v>
      </c>
      <c r="G13" s="650">
        <v>698</v>
      </c>
      <c r="H13" s="650">
        <v>707</v>
      </c>
      <c r="I13" s="650">
        <v>845</v>
      </c>
      <c r="J13" s="650">
        <v>772</v>
      </c>
      <c r="K13" s="650">
        <v>761</v>
      </c>
      <c r="L13" s="650">
        <v>760</v>
      </c>
      <c r="M13" s="652" t="s">
        <v>937</v>
      </c>
    </row>
    <row r="14" spans="1:13">
      <c r="C14" s="649" t="s">
        <v>941</v>
      </c>
      <c r="D14" s="649" t="s">
        <v>940</v>
      </c>
      <c r="E14" s="650">
        <v>17</v>
      </c>
      <c r="F14" s="650">
        <v>17</v>
      </c>
      <c r="G14" s="650">
        <v>16</v>
      </c>
      <c r="H14" s="650">
        <v>16</v>
      </c>
      <c r="I14" s="650">
        <v>16</v>
      </c>
      <c r="J14" s="650">
        <v>15</v>
      </c>
      <c r="K14" s="650">
        <v>14</v>
      </c>
      <c r="L14" s="650">
        <v>13</v>
      </c>
      <c r="M14" s="652" t="s">
        <v>937</v>
      </c>
    </row>
    <row r="15" spans="1:13">
      <c r="C15" s="649" t="s">
        <v>939</v>
      </c>
      <c r="D15" s="649" t="s">
        <v>938</v>
      </c>
      <c r="E15" s="650">
        <v>13</v>
      </c>
      <c r="F15" s="650">
        <v>12</v>
      </c>
      <c r="G15" s="650">
        <v>11</v>
      </c>
      <c r="H15" s="650">
        <v>10</v>
      </c>
      <c r="I15" s="650">
        <v>8</v>
      </c>
      <c r="J15" s="650">
        <v>6</v>
      </c>
      <c r="K15" s="650">
        <v>3</v>
      </c>
      <c r="L15" s="650">
        <v>0</v>
      </c>
      <c r="M15" s="652" t="s">
        <v>937</v>
      </c>
    </row>
    <row r="16" spans="1:13">
      <c r="C16" s="649" t="s">
        <v>936</v>
      </c>
      <c r="D16" s="649" t="s">
        <v>935</v>
      </c>
      <c r="E16" s="652" t="s">
        <v>932</v>
      </c>
      <c r="F16" s="652" t="s">
        <v>932</v>
      </c>
      <c r="G16" s="652" t="s">
        <v>932</v>
      </c>
      <c r="H16" s="652" t="s">
        <v>932</v>
      </c>
      <c r="I16" s="652" t="s">
        <v>932</v>
      </c>
      <c r="J16" s="652" t="s">
        <v>932</v>
      </c>
      <c r="K16" s="652" t="s">
        <v>932</v>
      </c>
      <c r="L16" s="652" t="s">
        <v>932</v>
      </c>
      <c r="M16" s="652" t="s">
        <v>932</v>
      </c>
    </row>
    <row r="17" spans="1:13">
      <c r="C17" s="649" t="s">
        <v>934</v>
      </c>
      <c r="D17" s="649" t="s">
        <v>933</v>
      </c>
      <c r="E17" s="652" t="s">
        <v>932</v>
      </c>
      <c r="F17" s="652" t="s">
        <v>932</v>
      </c>
      <c r="G17" s="652" t="s">
        <v>932</v>
      </c>
      <c r="H17" s="652" t="s">
        <v>932</v>
      </c>
      <c r="I17" s="652" t="s">
        <v>932</v>
      </c>
      <c r="J17" s="652" t="s">
        <v>932</v>
      </c>
      <c r="K17" s="652" t="s">
        <v>932</v>
      </c>
      <c r="L17" s="652" t="s">
        <v>932</v>
      </c>
      <c r="M17" s="652" t="s">
        <v>932</v>
      </c>
    </row>
    <row r="19" spans="1:13" ht="86.4">
      <c r="A19" s="651" t="s">
        <v>931</v>
      </c>
      <c r="B19" s="648" t="s">
        <v>930</v>
      </c>
    </row>
    <row r="20" spans="1:13" ht="28.8">
      <c r="A20" s="651" t="s">
        <v>929</v>
      </c>
      <c r="B20" s="648">
        <v>4.1868000000000002E-2</v>
      </c>
    </row>
    <row r="21" spans="1:13">
      <c r="A21" s="651" t="s">
        <v>928</v>
      </c>
      <c r="B21" s="649" t="s">
        <v>927</v>
      </c>
      <c r="D21" s="649">
        <v>2010</v>
      </c>
      <c r="G21" s="648" t="s">
        <v>926</v>
      </c>
    </row>
    <row r="22" spans="1:13">
      <c r="A22" s="651" t="s">
        <v>925</v>
      </c>
      <c r="D22" s="648" t="s">
        <v>919</v>
      </c>
      <c r="E22" s="648" t="s">
        <v>924</v>
      </c>
      <c r="G22" s="648">
        <f>E12/(D23+D24)</f>
        <v>1.993736169296463</v>
      </c>
    </row>
    <row r="23" spans="1:13">
      <c r="B23" s="649" t="s">
        <v>910</v>
      </c>
      <c r="D23" s="650">
        <f>'Eurostat_EB-2010'!X4*B20</f>
        <v>3815.7599999999998</v>
      </c>
      <c r="E23" s="648">
        <f>D23*$G$22</f>
        <v>7607.6187253546714</v>
      </c>
    </row>
    <row r="24" spans="1:13">
      <c r="A24" s="648" t="s">
        <v>923</v>
      </c>
      <c r="B24" s="649" t="s">
        <v>305</v>
      </c>
      <c r="D24" s="650">
        <f>'Eurostat_EB-2010'!AU4*B20</f>
        <v>3986.1749999999997</v>
      </c>
      <c r="E24" s="648">
        <f>D24*$G$22</f>
        <v>7947.3812746453277</v>
      </c>
    </row>
    <row r="25" spans="1:13">
      <c r="A25" s="648" t="s">
        <v>903</v>
      </c>
      <c r="B25" s="648" t="s">
        <v>922</v>
      </c>
    </row>
    <row r="26" spans="1:13">
      <c r="A26" s="648" t="s">
        <v>921</v>
      </c>
    </row>
    <row r="27" spans="1:13">
      <c r="B27" s="649" t="s">
        <v>920</v>
      </c>
      <c r="D27" s="648" t="s">
        <v>919</v>
      </c>
    </row>
    <row r="28" spans="1:13">
      <c r="A28" s="648" t="s">
        <v>615</v>
      </c>
      <c r="B28" s="648" t="s">
        <v>247</v>
      </c>
      <c r="D28" s="650">
        <f>'Eurostat_EB-2010'!BT120*B20</f>
        <v>19.454000000000001</v>
      </c>
    </row>
    <row r="29" spans="1:13">
      <c r="A29" s="648" t="s">
        <v>918</v>
      </c>
      <c r="B29" s="648" t="s">
        <v>51</v>
      </c>
      <c r="D29" s="650">
        <f>'Eurostat_EB-2010'!AL120*B20</f>
        <v>8.6230000000000011</v>
      </c>
    </row>
    <row r="30" spans="1:13">
      <c r="B30" s="648" t="s">
        <v>60</v>
      </c>
      <c r="D30" s="650">
        <f>'Eurostat_EB-2010'!AU120*B20</f>
        <v>153.07</v>
      </c>
    </row>
    <row r="31" spans="1:13">
      <c r="A31" s="648" t="s">
        <v>917</v>
      </c>
    </row>
    <row r="32" spans="1:13">
      <c r="A32" s="648" t="s">
        <v>903</v>
      </c>
      <c r="B32" s="648" t="s">
        <v>916</v>
      </c>
      <c r="D32" s="648">
        <f>SUM(E23:E24)/D28</f>
        <v>799.57849285493978</v>
      </c>
    </row>
    <row r="33" spans="1:6">
      <c r="A33" s="648" t="s">
        <v>915</v>
      </c>
    </row>
    <row r="34" spans="1:6">
      <c r="A34" s="648" t="s">
        <v>914</v>
      </c>
    </row>
    <row r="35" spans="1:6">
      <c r="A35" s="648" t="s">
        <v>913</v>
      </c>
      <c r="D35" s="649">
        <v>2010</v>
      </c>
      <c r="E35" s="649">
        <v>2011</v>
      </c>
      <c r="F35" s="649">
        <v>2012</v>
      </c>
    </row>
    <row r="36" spans="1:6">
      <c r="B36" s="649" t="s">
        <v>912</v>
      </c>
      <c r="D36" s="648">
        <f>'Eurostat_EB-2010'!H14*B20</f>
        <v>7597.5609999999997</v>
      </c>
      <c r="E36" s="648">
        <f>'Eurostat_EB-2011'!H14*B20</f>
        <v>7439.0239999999994</v>
      </c>
      <c r="F36" s="648">
        <f>'Eurostat_EB-2012'!H14*B20</f>
        <v>7506.0630000000001</v>
      </c>
    </row>
    <row r="37" spans="1:6">
      <c r="A37" s="648" t="s">
        <v>911</v>
      </c>
      <c r="B37" s="648" t="s">
        <v>910</v>
      </c>
      <c r="D37" s="648">
        <f>'Eurostat_EB-2010'!X14*B20</f>
        <v>3310.8470000000002</v>
      </c>
      <c r="E37" s="648">
        <f>'Eurostat_EB-2011'!X14*B20</f>
        <v>3096.1860000000001</v>
      </c>
      <c r="F37" s="648">
        <f>'Eurostat_EB-2012'!X14*B20</f>
        <v>2710.27</v>
      </c>
    </row>
    <row r="38" spans="1:6">
      <c r="A38" s="648" t="s">
        <v>909</v>
      </c>
      <c r="B38" s="648" t="s">
        <v>305</v>
      </c>
      <c r="D38" s="648">
        <f>'Eurostat_EB-2010'!AU14*B20</f>
        <v>3663.0249999999996</v>
      </c>
      <c r="E38" s="648">
        <f>'Eurostat_EB-2011'!AU14*B20</f>
        <v>3553.306</v>
      </c>
      <c r="F38" s="648">
        <f>'Eurostat_EB-2012'!AU14*B20</f>
        <v>4027.2530000000002</v>
      </c>
    </row>
    <row r="39" spans="1:6">
      <c r="A39" s="648" t="s">
        <v>908</v>
      </c>
    </row>
    <row r="43" spans="1:6">
      <c r="A43" s="648" t="s">
        <v>907</v>
      </c>
    </row>
    <row r="45" spans="1:6">
      <c r="A45" s="648" t="s">
        <v>906</v>
      </c>
    </row>
    <row r="46" spans="1:6">
      <c r="A46" s="648" t="s">
        <v>903</v>
      </c>
    </row>
    <row r="47" spans="1:6">
      <c r="A47" s="648" t="s">
        <v>905</v>
      </c>
    </row>
    <row r="48" spans="1:6">
      <c r="A48" s="648" t="s">
        <v>904</v>
      </c>
    </row>
    <row r="49" spans="1:1">
      <c r="A49" s="648" t="s">
        <v>903</v>
      </c>
    </row>
    <row r="50" spans="1:1">
      <c r="A50" s="648" t="s">
        <v>902</v>
      </c>
    </row>
    <row r="52" spans="1:1">
      <c r="A52" s="648" t="s">
        <v>901</v>
      </c>
    </row>
    <row r="53" spans="1:1">
      <c r="A53" s="648" t="s">
        <v>900</v>
      </c>
    </row>
    <row r="54" spans="1:1">
      <c r="A54" s="648" t="s">
        <v>899</v>
      </c>
    </row>
    <row r="61" spans="1:1">
      <c r="A61" s="648" t="s">
        <v>898</v>
      </c>
    </row>
    <row r="62" spans="1:1">
      <c r="A62" s="648" t="s">
        <v>897</v>
      </c>
    </row>
    <row r="64" spans="1:1">
      <c r="A64" s="648" t="s">
        <v>896</v>
      </c>
    </row>
    <row r="65" spans="1:1">
      <c r="A65" s="648" t="s">
        <v>895</v>
      </c>
    </row>
  </sheetData>
  <pageMargins left="0.75" right="0.75" top="0.75" bottom="0.5" header="0.5" footer="0.75"/>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BU179"/>
  <sheetViews>
    <sheetView zoomScale="115" zoomScaleNormal="115" workbookViewId="0">
      <pane xSplit="7" ySplit="2" topLeftCell="AN3" activePane="bottomRight" state="frozen"/>
      <selection activeCell="D27" sqref="D27"/>
      <selection pane="topRight" activeCell="D27" sqref="D27"/>
      <selection pane="bottomLeft" activeCell="D27" sqref="D27"/>
      <selection pane="bottomRight" activeCell="AP124" sqref="AP124"/>
    </sheetView>
  </sheetViews>
  <sheetFormatPr defaultColWidth="8.44140625" defaultRowHeight="10.199999999999999"/>
  <cols>
    <col min="1" max="3" width="2" style="654" customWidth="1"/>
    <col min="4" max="4" width="2.44140625" style="654" customWidth="1"/>
    <col min="5" max="5" width="45.44140625" style="654" customWidth="1"/>
    <col min="6" max="6" width="7.21875" style="655" customWidth="1"/>
    <col min="7" max="7" width="0.44140625" style="655" customWidth="1"/>
    <col min="8" max="22" width="10.44140625" style="655" customWidth="1"/>
    <col min="23" max="45" width="10.44140625" style="654" customWidth="1"/>
    <col min="46" max="51" width="9.44140625" style="654" customWidth="1"/>
    <col min="52" max="52" width="10.44140625" style="655" customWidth="1"/>
    <col min="53" max="57" width="9.44140625" style="654" customWidth="1"/>
    <col min="58" max="256" width="8.44140625" style="654"/>
    <col min="257" max="259" width="2" style="654" customWidth="1"/>
    <col min="260" max="260" width="2.44140625" style="654" customWidth="1"/>
    <col min="261" max="261" width="45.44140625" style="654" customWidth="1"/>
    <col min="262" max="262" width="7.21875" style="654" customWidth="1"/>
    <col min="263" max="263" width="0.44140625" style="654" customWidth="1"/>
    <col min="264" max="301" width="10.44140625" style="654" customWidth="1"/>
    <col min="302" max="307" width="9.44140625" style="654" customWidth="1"/>
    <col min="308" max="308" width="10.44140625" style="654" customWidth="1"/>
    <col min="309" max="313" width="9.44140625" style="654" customWidth="1"/>
    <col min="314" max="512" width="8.44140625" style="654"/>
    <col min="513" max="515" width="2" style="654" customWidth="1"/>
    <col min="516" max="516" width="2.44140625" style="654" customWidth="1"/>
    <col min="517" max="517" width="45.44140625" style="654" customWidth="1"/>
    <col min="518" max="518" width="7.21875" style="654" customWidth="1"/>
    <col min="519" max="519" width="0.44140625" style="654" customWidth="1"/>
    <col min="520" max="557" width="10.44140625" style="654" customWidth="1"/>
    <col min="558" max="563" width="9.44140625" style="654" customWidth="1"/>
    <col min="564" max="564" width="10.44140625" style="654" customWidth="1"/>
    <col min="565" max="569" width="9.44140625" style="654" customWidth="1"/>
    <col min="570" max="768" width="8.44140625" style="654"/>
    <col min="769" max="771" width="2" style="654" customWidth="1"/>
    <col min="772" max="772" width="2.44140625" style="654" customWidth="1"/>
    <col min="773" max="773" width="45.44140625" style="654" customWidth="1"/>
    <col min="774" max="774" width="7.21875" style="654" customWidth="1"/>
    <col min="775" max="775" width="0.44140625" style="654" customWidth="1"/>
    <col min="776" max="813" width="10.44140625" style="654" customWidth="1"/>
    <col min="814" max="819" width="9.44140625" style="654" customWidth="1"/>
    <col min="820" max="820" width="10.44140625" style="654" customWidth="1"/>
    <col min="821" max="825" width="9.44140625" style="654" customWidth="1"/>
    <col min="826" max="1024" width="8.44140625" style="654"/>
    <col min="1025" max="1027" width="2" style="654" customWidth="1"/>
    <col min="1028" max="1028" width="2.44140625" style="654" customWidth="1"/>
    <col min="1029" max="1029" width="45.44140625" style="654" customWidth="1"/>
    <col min="1030" max="1030" width="7.21875" style="654" customWidth="1"/>
    <col min="1031" max="1031" width="0.44140625" style="654" customWidth="1"/>
    <col min="1032" max="1069" width="10.44140625" style="654" customWidth="1"/>
    <col min="1070" max="1075" width="9.44140625" style="654" customWidth="1"/>
    <col min="1076" max="1076" width="10.44140625" style="654" customWidth="1"/>
    <col min="1077" max="1081" width="9.44140625" style="654" customWidth="1"/>
    <col min="1082" max="1280" width="8.44140625" style="654"/>
    <col min="1281" max="1283" width="2" style="654" customWidth="1"/>
    <col min="1284" max="1284" width="2.44140625" style="654" customWidth="1"/>
    <col min="1285" max="1285" width="45.44140625" style="654" customWidth="1"/>
    <col min="1286" max="1286" width="7.21875" style="654" customWidth="1"/>
    <col min="1287" max="1287" width="0.44140625" style="654" customWidth="1"/>
    <col min="1288" max="1325" width="10.44140625" style="654" customWidth="1"/>
    <col min="1326" max="1331" width="9.44140625" style="654" customWidth="1"/>
    <col min="1332" max="1332" width="10.44140625" style="654" customWidth="1"/>
    <col min="1333" max="1337" width="9.44140625" style="654" customWidth="1"/>
    <col min="1338" max="1536" width="8.44140625" style="654"/>
    <col min="1537" max="1539" width="2" style="654" customWidth="1"/>
    <col min="1540" max="1540" width="2.44140625" style="654" customWidth="1"/>
    <col min="1541" max="1541" width="45.44140625" style="654" customWidth="1"/>
    <col min="1542" max="1542" width="7.21875" style="654" customWidth="1"/>
    <col min="1543" max="1543" width="0.44140625" style="654" customWidth="1"/>
    <col min="1544" max="1581" width="10.44140625" style="654" customWidth="1"/>
    <col min="1582" max="1587" width="9.44140625" style="654" customWidth="1"/>
    <col min="1588" max="1588" width="10.44140625" style="654" customWidth="1"/>
    <col min="1589" max="1593" width="9.44140625" style="654" customWidth="1"/>
    <col min="1594" max="1792" width="8.44140625" style="654"/>
    <col min="1793" max="1795" width="2" style="654" customWidth="1"/>
    <col min="1796" max="1796" width="2.44140625" style="654" customWidth="1"/>
    <col min="1797" max="1797" width="45.44140625" style="654" customWidth="1"/>
    <col min="1798" max="1798" width="7.21875" style="654" customWidth="1"/>
    <col min="1799" max="1799" width="0.44140625" style="654" customWidth="1"/>
    <col min="1800" max="1837" width="10.44140625" style="654" customWidth="1"/>
    <col min="1838" max="1843" width="9.44140625" style="654" customWidth="1"/>
    <col min="1844" max="1844" width="10.44140625" style="654" customWidth="1"/>
    <col min="1845" max="1849" width="9.44140625" style="654" customWidth="1"/>
    <col min="1850" max="2048" width="8.44140625" style="654"/>
    <col min="2049" max="2051" width="2" style="654" customWidth="1"/>
    <col min="2052" max="2052" width="2.44140625" style="654" customWidth="1"/>
    <col min="2053" max="2053" width="45.44140625" style="654" customWidth="1"/>
    <col min="2054" max="2054" width="7.21875" style="654" customWidth="1"/>
    <col min="2055" max="2055" width="0.44140625" style="654" customWidth="1"/>
    <col min="2056" max="2093" width="10.44140625" style="654" customWidth="1"/>
    <col min="2094" max="2099" width="9.44140625" style="654" customWidth="1"/>
    <col min="2100" max="2100" width="10.44140625" style="654" customWidth="1"/>
    <col min="2101" max="2105" width="9.44140625" style="654" customWidth="1"/>
    <col min="2106" max="2304" width="8.44140625" style="654"/>
    <col min="2305" max="2307" width="2" style="654" customWidth="1"/>
    <col min="2308" max="2308" width="2.44140625" style="654" customWidth="1"/>
    <col min="2309" max="2309" width="45.44140625" style="654" customWidth="1"/>
    <col min="2310" max="2310" width="7.21875" style="654" customWidth="1"/>
    <col min="2311" max="2311" width="0.44140625" style="654" customWidth="1"/>
    <col min="2312" max="2349" width="10.44140625" style="654" customWidth="1"/>
    <col min="2350" max="2355" width="9.44140625" style="654" customWidth="1"/>
    <col min="2356" max="2356" width="10.44140625" style="654" customWidth="1"/>
    <col min="2357" max="2361" width="9.44140625" style="654" customWidth="1"/>
    <col min="2362" max="2560" width="8.44140625" style="654"/>
    <col min="2561" max="2563" width="2" style="654" customWidth="1"/>
    <col min="2564" max="2564" width="2.44140625" style="654" customWidth="1"/>
    <col min="2565" max="2565" width="45.44140625" style="654" customWidth="1"/>
    <col min="2566" max="2566" width="7.21875" style="654" customWidth="1"/>
    <col min="2567" max="2567" width="0.44140625" style="654" customWidth="1"/>
    <col min="2568" max="2605" width="10.44140625" style="654" customWidth="1"/>
    <col min="2606" max="2611" width="9.44140625" style="654" customWidth="1"/>
    <col min="2612" max="2612" width="10.44140625" style="654" customWidth="1"/>
    <col min="2613" max="2617" width="9.44140625" style="654" customWidth="1"/>
    <col min="2618" max="2816" width="8.44140625" style="654"/>
    <col min="2817" max="2819" width="2" style="654" customWidth="1"/>
    <col min="2820" max="2820" width="2.44140625" style="654" customWidth="1"/>
    <col min="2821" max="2821" width="45.44140625" style="654" customWidth="1"/>
    <col min="2822" max="2822" width="7.21875" style="654" customWidth="1"/>
    <col min="2823" max="2823" width="0.44140625" style="654" customWidth="1"/>
    <col min="2824" max="2861" width="10.44140625" style="654" customWidth="1"/>
    <col min="2862" max="2867" width="9.44140625" style="654" customWidth="1"/>
    <col min="2868" max="2868" width="10.44140625" style="654" customWidth="1"/>
    <col min="2869" max="2873" width="9.44140625" style="654" customWidth="1"/>
    <col min="2874" max="3072" width="8.44140625" style="654"/>
    <col min="3073" max="3075" width="2" style="654" customWidth="1"/>
    <col min="3076" max="3076" width="2.44140625" style="654" customWidth="1"/>
    <col min="3077" max="3077" width="45.44140625" style="654" customWidth="1"/>
    <col min="3078" max="3078" width="7.21875" style="654" customWidth="1"/>
    <col min="3079" max="3079" width="0.44140625" style="654" customWidth="1"/>
    <col min="3080" max="3117" width="10.44140625" style="654" customWidth="1"/>
    <col min="3118" max="3123" width="9.44140625" style="654" customWidth="1"/>
    <col min="3124" max="3124" width="10.44140625" style="654" customWidth="1"/>
    <col min="3125" max="3129" width="9.44140625" style="654" customWidth="1"/>
    <col min="3130" max="3328" width="8.44140625" style="654"/>
    <col min="3329" max="3331" width="2" style="654" customWidth="1"/>
    <col min="3332" max="3332" width="2.44140625" style="654" customWidth="1"/>
    <col min="3333" max="3333" width="45.44140625" style="654" customWidth="1"/>
    <col min="3334" max="3334" width="7.21875" style="654" customWidth="1"/>
    <col min="3335" max="3335" width="0.44140625" style="654" customWidth="1"/>
    <col min="3336" max="3373" width="10.44140625" style="654" customWidth="1"/>
    <col min="3374" max="3379" width="9.44140625" style="654" customWidth="1"/>
    <col min="3380" max="3380" width="10.44140625" style="654" customWidth="1"/>
    <col min="3381" max="3385" width="9.44140625" style="654" customWidth="1"/>
    <col min="3386" max="3584" width="8.44140625" style="654"/>
    <col min="3585" max="3587" width="2" style="654" customWidth="1"/>
    <col min="3588" max="3588" width="2.44140625" style="654" customWidth="1"/>
    <col min="3589" max="3589" width="45.44140625" style="654" customWidth="1"/>
    <col min="3590" max="3590" width="7.21875" style="654" customWidth="1"/>
    <col min="3591" max="3591" width="0.44140625" style="654" customWidth="1"/>
    <col min="3592" max="3629" width="10.44140625" style="654" customWidth="1"/>
    <col min="3630" max="3635" width="9.44140625" style="654" customWidth="1"/>
    <col min="3636" max="3636" width="10.44140625" style="654" customWidth="1"/>
    <col min="3637" max="3641" width="9.44140625" style="654" customWidth="1"/>
    <col min="3642" max="3840" width="8.44140625" style="654"/>
    <col min="3841" max="3843" width="2" style="654" customWidth="1"/>
    <col min="3844" max="3844" width="2.44140625" style="654" customWidth="1"/>
    <col min="3845" max="3845" width="45.44140625" style="654" customWidth="1"/>
    <col min="3846" max="3846" width="7.21875" style="654" customWidth="1"/>
    <col min="3847" max="3847" width="0.44140625" style="654" customWidth="1"/>
    <col min="3848" max="3885" width="10.44140625" style="654" customWidth="1"/>
    <col min="3886" max="3891" width="9.44140625" style="654" customWidth="1"/>
    <col min="3892" max="3892" width="10.44140625" style="654" customWidth="1"/>
    <col min="3893" max="3897" width="9.44140625" style="654" customWidth="1"/>
    <col min="3898" max="4096" width="8.44140625" style="654"/>
    <col min="4097" max="4099" width="2" style="654" customWidth="1"/>
    <col min="4100" max="4100" width="2.44140625" style="654" customWidth="1"/>
    <col min="4101" max="4101" width="45.44140625" style="654" customWidth="1"/>
    <col min="4102" max="4102" width="7.21875" style="654" customWidth="1"/>
    <col min="4103" max="4103" width="0.44140625" style="654" customWidth="1"/>
    <col min="4104" max="4141" width="10.44140625" style="654" customWidth="1"/>
    <col min="4142" max="4147" width="9.44140625" style="654" customWidth="1"/>
    <col min="4148" max="4148" width="10.44140625" style="654" customWidth="1"/>
    <col min="4149" max="4153" width="9.44140625" style="654" customWidth="1"/>
    <col min="4154" max="4352" width="8.44140625" style="654"/>
    <col min="4353" max="4355" width="2" style="654" customWidth="1"/>
    <col min="4356" max="4356" width="2.44140625" style="654" customWidth="1"/>
    <col min="4357" max="4357" width="45.44140625" style="654" customWidth="1"/>
    <col min="4358" max="4358" width="7.21875" style="654" customWidth="1"/>
    <col min="4359" max="4359" width="0.44140625" style="654" customWidth="1"/>
    <col min="4360" max="4397" width="10.44140625" style="654" customWidth="1"/>
    <col min="4398" max="4403" width="9.44140625" style="654" customWidth="1"/>
    <col min="4404" max="4404" width="10.44140625" style="654" customWidth="1"/>
    <col min="4405" max="4409" width="9.44140625" style="654" customWidth="1"/>
    <col min="4410" max="4608" width="8.44140625" style="654"/>
    <col min="4609" max="4611" width="2" style="654" customWidth="1"/>
    <col min="4612" max="4612" width="2.44140625" style="654" customWidth="1"/>
    <col min="4613" max="4613" width="45.44140625" style="654" customWidth="1"/>
    <col min="4614" max="4614" width="7.21875" style="654" customWidth="1"/>
    <col min="4615" max="4615" width="0.44140625" style="654" customWidth="1"/>
    <col min="4616" max="4653" width="10.44140625" style="654" customWidth="1"/>
    <col min="4654" max="4659" width="9.44140625" style="654" customWidth="1"/>
    <col min="4660" max="4660" width="10.44140625" style="654" customWidth="1"/>
    <col min="4661" max="4665" width="9.44140625" style="654" customWidth="1"/>
    <col min="4666" max="4864" width="8.44140625" style="654"/>
    <col min="4865" max="4867" width="2" style="654" customWidth="1"/>
    <col min="4868" max="4868" width="2.44140625" style="654" customWidth="1"/>
    <col min="4869" max="4869" width="45.44140625" style="654" customWidth="1"/>
    <col min="4870" max="4870" width="7.21875" style="654" customWidth="1"/>
    <col min="4871" max="4871" width="0.44140625" style="654" customWidth="1"/>
    <col min="4872" max="4909" width="10.44140625" style="654" customWidth="1"/>
    <col min="4910" max="4915" width="9.44140625" style="654" customWidth="1"/>
    <col min="4916" max="4916" width="10.44140625" style="654" customWidth="1"/>
    <col min="4917" max="4921" width="9.44140625" style="654" customWidth="1"/>
    <col min="4922" max="5120" width="8.44140625" style="654"/>
    <col min="5121" max="5123" width="2" style="654" customWidth="1"/>
    <col min="5124" max="5124" width="2.44140625" style="654" customWidth="1"/>
    <col min="5125" max="5125" width="45.44140625" style="654" customWidth="1"/>
    <col min="5126" max="5126" width="7.21875" style="654" customWidth="1"/>
    <col min="5127" max="5127" width="0.44140625" style="654" customWidth="1"/>
    <col min="5128" max="5165" width="10.44140625" style="654" customWidth="1"/>
    <col min="5166" max="5171" width="9.44140625" style="654" customWidth="1"/>
    <col min="5172" max="5172" width="10.44140625" style="654" customWidth="1"/>
    <col min="5173" max="5177" width="9.44140625" style="654" customWidth="1"/>
    <col min="5178" max="5376" width="8.44140625" style="654"/>
    <col min="5377" max="5379" width="2" style="654" customWidth="1"/>
    <col min="5380" max="5380" width="2.44140625" style="654" customWidth="1"/>
    <col min="5381" max="5381" width="45.44140625" style="654" customWidth="1"/>
    <col min="5382" max="5382" width="7.21875" style="654" customWidth="1"/>
    <col min="5383" max="5383" width="0.44140625" style="654" customWidth="1"/>
    <col min="5384" max="5421" width="10.44140625" style="654" customWidth="1"/>
    <col min="5422" max="5427" width="9.44140625" style="654" customWidth="1"/>
    <col min="5428" max="5428" width="10.44140625" style="654" customWidth="1"/>
    <col min="5429" max="5433" width="9.44140625" style="654" customWidth="1"/>
    <col min="5434" max="5632" width="8.44140625" style="654"/>
    <col min="5633" max="5635" width="2" style="654" customWidth="1"/>
    <col min="5636" max="5636" width="2.44140625" style="654" customWidth="1"/>
    <col min="5637" max="5637" width="45.44140625" style="654" customWidth="1"/>
    <col min="5638" max="5638" width="7.21875" style="654" customWidth="1"/>
    <col min="5639" max="5639" width="0.44140625" style="654" customWidth="1"/>
    <col min="5640" max="5677" width="10.44140625" style="654" customWidth="1"/>
    <col min="5678" max="5683" width="9.44140625" style="654" customWidth="1"/>
    <col min="5684" max="5684" width="10.44140625" style="654" customWidth="1"/>
    <col min="5685" max="5689" width="9.44140625" style="654" customWidth="1"/>
    <col min="5690" max="5888" width="8.44140625" style="654"/>
    <col min="5889" max="5891" width="2" style="654" customWidth="1"/>
    <col min="5892" max="5892" width="2.44140625" style="654" customWidth="1"/>
    <col min="5893" max="5893" width="45.44140625" style="654" customWidth="1"/>
    <col min="5894" max="5894" width="7.21875" style="654" customWidth="1"/>
    <col min="5895" max="5895" width="0.44140625" style="654" customWidth="1"/>
    <col min="5896" max="5933" width="10.44140625" style="654" customWidth="1"/>
    <col min="5934" max="5939" width="9.44140625" style="654" customWidth="1"/>
    <col min="5940" max="5940" width="10.44140625" style="654" customWidth="1"/>
    <col min="5941" max="5945" width="9.44140625" style="654" customWidth="1"/>
    <col min="5946" max="6144" width="8.44140625" style="654"/>
    <col min="6145" max="6147" width="2" style="654" customWidth="1"/>
    <col min="6148" max="6148" width="2.44140625" style="654" customWidth="1"/>
    <col min="6149" max="6149" width="45.44140625" style="654" customWidth="1"/>
    <col min="6150" max="6150" width="7.21875" style="654" customWidth="1"/>
    <col min="6151" max="6151" width="0.44140625" style="654" customWidth="1"/>
    <col min="6152" max="6189" width="10.44140625" style="654" customWidth="1"/>
    <col min="6190" max="6195" width="9.44140625" style="654" customWidth="1"/>
    <col min="6196" max="6196" width="10.44140625" style="654" customWidth="1"/>
    <col min="6197" max="6201" width="9.44140625" style="654" customWidth="1"/>
    <col min="6202" max="6400" width="8.44140625" style="654"/>
    <col min="6401" max="6403" width="2" style="654" customWidth="1"/>
    <col min="6404" max="6404" width="2.44140625" style="654" customWidth="1"/>
    <col min="6405" max="6405" width="45.44140625" style="654" customWidth="1"/>
    <col min="6406" max="6406" width="7.21875" style="654" customWidth="1"/>
    <col min="6407" max="6407" width="0.44140625" style="654" customWidth="1"/>
    <col min="6408" max="6445" width="10.44140625" style="654" customWidth="1"/>
    <col min="6446" max="6451" width="9.44140625" style="654" customWidth="1"/>
    <col min="6452" max="6452" width="10.44140625" style="654" customWidth="1"/>
    <col min="6453" max="6457" width="9.44140625" style="654" customWidth="1"/>
    <col min="6458" max="6656" width="8.44140625" style="654"/>
    <col min="6657" max="6659" width="2" style="654" customWidth="1"/>
    <col min="6660" max="6660" width="2.44140625" style="654" customWidth="1"/>
    <col min="6661" max="6661" width="45.44140625" style="654" customWidth="1"/>
    <col min="6662" max="6662" width="7.21875" style="654" customWidth="1"/>
    <col min="6663" max="6663" width="0.44140625" style="654" customWidth="1"/>
    <col min="6664" max="6701" width="10.44140625" style="654" customWidth="1"/>
    <col min="6702" max="6707" width="9.44140625" style="654" customWidth="1"/>
    <col min="6708" max="6708" width="10.44140625" style="654" customWidth="1"/>
    <col min="6709" max="6713" width="9.44140625" style="654" customWidth="1"/>
    <col min="6714" max="6912" width="8.44140625" style="654"/>
    <col min="6913" max="6915" width="2" style="654" customWidth="1"/>
    <col min="6916" max="6916" width="2.44140625" style="654" customWidth="1"/>
    <col min="6917" max="6917" width="45.44140625" style="654" customWidth="1"/>
    <col min="6918" max="6918" width="7.21875" style="654" customWidth="1"/>
    <col min="6919" max="6919" width="0.44140625" style="654" customWidth="1"/>
    <col min="6920" max="6957" width="10.44140625" style="654" customWidth="1"/>
    <col min="6958" max="6963" width="9.44140625" style="654" customWidth="1"/>
    <col min="6964" max="6964" width="10.44140625" style="654" customWidth="1"/>
    <col min="6965" max="6969" width="9.44140625" style="654" customWidth="1"/>
    <col min="6970" max="7168" width="8.44140625" style="654"/>
    <col min="7169" max="7171" width="2" style="654" customWidth="1"/>
    <col min="7172" max="7172" width="2.44140625" style="654" customWidth="1"/>
    <col min="7173" max="7173" width="45.44140625" style="654" customWidth="1"/>
    <col min="7174" max="7174" width="7.21875" style="654" customWidth="1"/>
    <col min="7175" max="7175" width="0.44140625" style="654" customWidth="1"/>
    <col min="7176" max="7213" width="10.44140625" style="654" customWidth="1"/>
    <col min="7214" max="7219" width="9.44140625" style="654" customWidth="1"/>
    <col min="7220" max="7220" width="10.44140625" style="654" customWidth="1"/>
    <col min="7221" max="7225" width="9.44140625" style="654" customWidth="1"/>
    <col min="7226" max="7424" width="8.44140625" style="654"/>
    <col min="7425" max="7427" width="2" style="654" customWidth="1"/>
    <col min="7428" max="7428" width="2.44140625" style="654" customWidth="1"/>
    <col min="7429" max="7429" width="45.44140625" style="654" customWidth="1"/>
    <col min="7430" max="7430" width="7.21875" style="654" customWidth="1"/>
    <col min="7431" max="7431" width="0.44140625" style="654" customWidth="1"/>
    <col min="7432" max="7469" width="10.44140625" style="654" customWidth="1"/>
    <col min="7470" max="7475" width="9.44140625" style="654" customWidth="1"/>
    <col min="7476" max="7476" width="10.44140625" style="654" customWidth="1"/>
    <col min="7477" max="7481" width="9.44140625" style="654" customWidth="1"/>
    <col min="7482" max="7680" width="8.44140625" style="654"/>
    <col min="7681" max="7683" width="2" style="654" customWidth="1"/>
    <col min="7684" max="7684" width="2.44140625" style="654" customWidth="1"/>
    <col min="7685" max="7685" width="45.44140625" style="654" customWidth="1"/>
    <col min="7686" max="7686" width="7.21875" style="654" customWidth="1"/>
    <col min="7687" max="7687" width="0.44140625" style="654" customWidth="1"/>
    <col min="7688" max="7725" width="10.44140625" style="654" customWidth="1"/>
    <col min="7726" max="7731" width="9.44140625" style="654" customWidth="1"/>
    <col min="7732" max="7732" width="10.44140625" style="654" customWidth="1"/>
    <col min="7733" max="7737" width="9.44140625" style="654" customWidth="1"/>
    <col min="7738" max="7936" width="8.44140625" style="654"/>
    <col min="7937" max="7939" width="2" style="654" customWidth="1"/>
    <col min="7940" max="7940" width="2.44140625" style="654" customWidth="1"/>
    <col min="7941" max="7941" width="45.44140625" style="654" customWidth="1"/>
    <col min="7942" max="7942" width="7.21875" style="654" customWidth="1"/>
    <col min="7943" max="7943" width="0.44140625" style="654" customWidth="1"/>
    <col min="7944" max="7981" width="10.44140625" style="654" customWidth="1"/>
    <col min="7982" max="7987" width="9.44140625" style="654" customWidth="1"/>
    <col min="7988" max="7988" width="10.44140625" style="654" customWidth="1"/>
    <col min="7989" max="7993" width="9.44140625" style="654" customWidth="1"/>
    <col min="7994" max="8192" width="8.44140625" style="654"/>
    <col min="8193" max="8195" width="2" style="654" customWidth="1"/>
    <col min="8196" max="8196" width="2.44140625" style="654" customWidth="1"/>
    <col min="8197" max="8197" width="45.44140625" style="654" customWidth="1"/>
    <col min="8198" max="8198" width="7.21875" style="654" customWidth="1"/>
    <col min="8199" max="8199" width="0.44140625" style="654" customWidth="1"/>
    <col min="8200" max="8237" width="10.44140625" style="654" customWidth="1"/>
    <col min="8238" max="8243" width="9.44140625" style="654" customWidth="1"/>
    <col min="8244" max="8244" width="10.44140625" style="654" customWidth="1"/>
    <col min="8245" max="8249" width="9.44140625" style="654" customWidth="1"/>
    <col min="8250" max="8448" width="8.44140625" style="654"/>
    <col min="8449" max="8451" width="2" style="654" customWidth="1"/>
    <col min="8452" max="8452" width="2.44140625" style="654" customWidth="1"/>
    <col min="8453" max="8453" width="45.44140625" style="654" customWidth="1"/>
    <col min="8454" max="8454" width="7.21875" style="654" customWidth="1"/>
    <col min="8455" max="8455" width="0.44140625" style="654" customWidth="1"/>
    <col min="8456" max="8493" width="10.44140625" style="654" customWidth="1"/>
    <col min="8494" max="8499" width="9.44140625" style="654" customWidth="1"/>
    <col min="8500" max="8500" width="10.44140625" style="654" customWidth="1"/>
    <col min="8501" max="8505" width="9.44140625" style="654" customWidth="1"/>
    <col min="8506" max="8704" width="8.44140625" style="654"/>
    <col min="8705" max="8707" width="2" style="654" customWidth="1"/>
    <col min="8708" max="8708" width="2.44140625" style="654" customWidth="1"/>
    <col min="8709" max="8709" width="45.44140625" style="654" customWidth="1"/>
    <col min="8710" max="8710" width="7.21875" style="654" customWidth="1"/>
    <col min="8711" max="8711" width="0.44140625" style="654" customWidth="1"/>
    <col min="8712" max="8749" width="10.44140625" style="654" customWidth="1"/>
    <col min="8750" max="8755" width="9.44140625" style="654" customWidth="1"/>
    <col min="8756" max="8756" width="10.44140625" style="654" customWidth="1"/>
    <col min="8757" max="8761" width="9.44140625" style="654" customWidth="1"/>
    <col min="8762" max="8960" width="8.44140625" style="654"/>
    <col min="8961" max="8963" width="2" style="654" customWidth="1"/>
    <col min="8964" max="8964" width="2.44140625" style="654" customWidth="1"/>
    <col min="8965" max="8965" width="45.44140625" style="654" customWidth="1"/>
    <col min="8966" max="8966" width="7.21875" style="654" customWidth="1"/>
    <col min="8967" max="8967" width="0.44140625" style="654" customWidth="1"/>
    <col min="8968" max="9005" width="10.44140625" style="654" customWidth="1"/>
    <col min="9006" max="9011" width="9.44140625" style="654" customWidth="1"/>
    <col min="9012" max="9012" width="10.44140625" style="654" customWidth="1"/>
    <col min="9013" max="9017" width="9.44140625" style="654" customWidth="1"/>
    <col min="9018" max="9216" width="8.44140625" style="654"/>
    <col min="9217" max="9219" width="2" style="654" customWidth="1"/>
    <col min="9220" max="9220" width="2.44140625" style="654" customWidth="1"/>
    <col min="9221" max="9221" width="45.44140625" style="654" customWidth="1"/>
    <col min="9222" max="9222" width="7.21875" style="654" customWidth="1"/>
    <col min="9223" max="9223" width="0.44140625" style="654" customWidth="1"/>
    <col min="9224" max="9261" width="10.44140625" style="654" customWidth="1"/>
    <col min="9262" max="9267" width="9.44140625" style="654" customWidth="1"/>
    <col min="9268" max="9268" width="10.44140625" style="654" customWidth="1"/>
    <col min="9269" max="9273" width="9.44140625" style="654" customWidth="1"/>
    <col min="9274" max="9472" width="8.44140625" style="654"/>
    <col min="9473" max="9475" width="2" style="654" customWidth="1"/>
    <col min="9476" max="9476" width="2.44140625" style="654" customWidth="1"/>
    <col min="9477" max="9477" width="45.44140625" style="654" customWidth="1"/>
    <col min="9478" max="9478" width="7.21875" style="654" customWidth="1"/>
    <col min="9479" max="9479" width="0.44140625" style="654" customWidth="1"/>
    <col min="9480" max="9517" width="10.44140625" style="654" customWidth="1"/>
    <col min="9518" max="9523" width="9.44140625" style="654" customWidth="1"/>
    <col min="9524" max="9524" width="10.44140625" style="654" customWidth="1"/>
    <col min="9525" max="9529" width="9.44140625" style="654" customWidth="1"/>
    <col min="9530" max="9728" width="8.44140625" style="654"/>
    <col min="9729" max="9731" width="2" style="654" customWidth="1"/>
    <col min="9732" max="9732" width="2.44140625" style="654" customWidth="1"/>
    <col min="9733" max="9733" width="45.44140625" style="654" customWidth="1"/>
    <col min="9734" max="9734" width="7.21875" style="654" customWidth="1"/>
    <col min="9735" max="9735" width="0.44140625" style="654" customWidth="1"/>
    <col min="9736" max="9773" width="10.44140625" style="654" customWidth="1"/>
    <col min="9774" max="9779" width="9.44140625" style="654" customWidth="1"/>
    <col min="9780" max="9780" width="10.44140625" style="654" customWidth="1"/>
    <col min="9781" max="9785" width="9.44140625" style="654" customWidth="1"/>
    <col min="9786" max="9984" width="8.44140625" style="654"/>
    <col min="9985" max="9987" width="2" style="654" customWidth="1"/>
    <col min="9988" max="9988" width="2.44140625" style="654" customWidth="1"/>
    <col min="9989" max="9989" width="45.44140625" style="654" customWidth="1"/>
    <col min="9990" max="9990" width="7.21875" style="654" customWidth="1"/>
    <col min="9991" max="9991" width="0.44140625" style="654" customWidth="1"/>
    <col min="9992" max="10029" width="10.44140625" style="654" customWidth="1"/>
    <col min="10030" max="10035" width="9.44140625" style="654" customWidth="1"/>
    <col min="10036" max="10036" width="10.44140625" style="654" customWidth="1"/>
    <col min="10037" max="10041" width="9.44140625" style="654" customWidth="1"/>
    <col min="10042" max="10240" width="8.44140625" style="654"/>
    <col min="10241" max="10243" width="2" style="654" customWidth="1"/>
    <col min="10244" max="10244" width="2.44140625" style="654" customWidth="1"/>
    <col min="10245" max="10245" width="45.44140625" style="654" customWidth="1"/>
    <col min="10246" max="10246" width="7.21875" style="654" customWidth="1"/>
    <col min="10247" max="10247" width="0.44140625" style="654" customWidth="1"/>
    <col min="10248" max="10285" width="10.44140625" style="654" customWidth="1"/>
    <col min="10286" max="10291" width="9.44140625" style="654" customWidth="1"/>
    <col min="10292" max="10292" width="10.44140625" style="654" customWidth="1"/>
    <col min="10293" max="10297" width="9.44140625" style="654" customWidth="1"/>
    <col min="10298" max="10496" width="8.44140625" style="654"/>
    <col min="10497" max="10499" width="2" style="654" customWidth="1"/>
    <col min="10500" max="10500" width="2.44140625" style="654" customWidth="1"/>
    <col min="10501" max="10501" width="45.44140625" style="654" customWidth="1"/>
    <col min="10502" max="10502" width="7.21875" style="654" customWidth="1"/>
    <col min="10503" max="10503" width="0.44140625" style="654" customWidth="1"/>
    <col min="10504" max="10541" width="10.44140625" style="654" customWidth="1"/>
    <col min="10542" max="10547" width="9.44140625" style="654" customWidth="1"/>
    <col min="10548" max="10548" width="10.44140625" style="654" customWidth="1"/>
    <col min="10549" max="10553" width="9.44140625" style="654" customWidth="1"/>
    <col min="10554" max="10752" width="8.44140625" style="654"/>
    <col min="10753" max="10755" width="2" style="654" customWidth="1"/>
    <col min="10756" max="10756" width="2.44140625" style="654" customWidth="1"/>
    <col min="10757" max="10757" width="45.44140625" style="654" customWidth="1"/>
    <col min="10758" max="10758" width="7.21875" style="654" customWidth="1"/>
    <col min="10759" max="10759" width="0.44140625" style="654" customWidth="1"/>
    <col min="10760" max="10797" width="10.44140625" style="654" customWidth="1"/>
    <col min="10798" max="10803" width="9.44140625" style="654" customWidth="1"/>
    <col min="10804" max="10804" width="10.44140625" style="654" customWidth="1"/>
    <col min="10805" max="10809" width="9.44140625" style="654" customWidth="1"/>
    <col min="10810" max="11008" width="8.44140625" style="654"/>
    <col min="11009" max="11011" width="2" style="654" customWidth="1"/>
    <col min="11012" max="11012" width="2.44140625" style="654" customWidth="1"/>
    <col min="11013" max="11013" width="45.44140625" style="654" customWidth="1"/>
    <col min="11014" max="11014" width="7.21875" style="654" customWidth="1"/>
    <col min="11015" max="11015" width="0.44140625" style="654" customWidth="1"/>
    <col min="11016" max="11053" width="10.44140625" style="654" customWidth="1"/>
    <col min="11054" max="11059" width="9.44140625" style="654" customWidth="1"/>
    <col min="11060" max="11060" width="10.44140625" style="654" customWidth="1"/>
    <col min="11061" max="11065" width="9.44140625" style="654" customWidth="1"/>
    <col min="11066" max="11264" width="8.44140625" style="654"/>
    <col min="11265" max="11267" width="2" style="654" customWidth="1"/>
    <col min="11268" max="11268" width="2.44140625" style="654" customWidth="1"/>
    <col min="11269" max="11269" width="45.44140625" style="654" customWidth="1"/>
    <col min="11270" max="11270" width="7.21875" style="654" customWidth="1"/>
    <col min="11271" max="11271" width="0.44140625" style="654" customWidth="1"/>
    <col min="11272" max="11309" width="10.44140625" style="654" customWidth="1"/>
    <col min="11310" max="11315" width="9.44140625" style="654" customWidth="1"/>
    <col min="11316" max="11316" width="10.44140625" style="654" customWidth="1"/>
    <col min="11317" max="11321" width="9.44140625" style="654" customWidth="1"/>
    <col min="11322" max="11520" width="8.44140625" style="654"/>
    <col min="11521" max="11523" width="2" style="654" customWidth="1"/>
    <col min="11524" max="11524" width="2.44140625" style="654" customWidth="1"/>
    <col min="11525" max="11525" width="45.44140625" style="654" customWidth="1"/>
    <col min="11526" max="11526" width="7.21875" style="654" customWidth="1"/>
    <col min="11527" max="11527" width="0.44140625" style="654" customWidth="1"/>
    <col min="11528" max="11565" width="10.44140625" style="654" customWidth="1"/>
    <col min="11566" max="11571" width="9.44140625" style="654" customWidth="1"/>
    <col min="11572" max="11572" width="10.44140625" style="654" customWidth="1"/>
    <col min="11573" max="11577" width="9.44140625" style="654" customWidth="1"/>
    <col min="11578" max="11776" width="8.44140625" style="654"/>
    <col min="11777" max="11779" width="2" style="654" customWidth="1"/>
    <col min="11780" max="11780" width="2.44140625" style="654" customWidth="1"/>
    <col min="11781" max="11781" width="45.44140625" style="654" customWidth="1"/>
    <col min="11782" max="11782" width="7.21875" style="654" customWidth="1"/>
    <col min="11783" max="11783" width="0.44140625" style="654" customWidth="1"/>
    <col min="11784" max="11821" width="10.44140625" style="654" customWidth="1"/>
    <col min="11822" max="11827" width="9.44140625" style="654" customWidth="1"/>
    <col min="11828" max="11828" width="10.44140625" style="654" customWidth="1"/>
    <col min="11829" max="11833" width="9.44140625" style="654" customWidth="1"/>
    <col min="11834" max="12032" width="8.44140625" style="654"/>
    <col min="12033" max="12035" width="2" style="654" customWidth="1"/>
    <col min="12036" max="12036" width="2.44140625" style="654" customWidth="1"/>
    <col min="12037" max="12037" width="45.44140625" style="654" customWidth="1"/>
    <col min="12038" max="12038" width="7.21875" style="654" customWidth="1"/>
    <col min="12039" max="12039" width="0.44140625" style="654" customWidth="1"/>
    <col min="12040" max="12077" width="10.44140625" style="654" customWidth="1"/>
    <col min="12078" max="12083" width="9.44140625" style="654" customWidth="1"/>
    <col min="12084" max="12084" width="10.44140625" style="654" customWidth="1"/>
    <col min="12085" max="12089" width="9.44140625" style="654" customWidth="1"/>
    <col min="12090" max="12288" width="8.44140625" style="654"/>
    <col min="12289" max="12291" width="2" style="654" customWidth="1"/>
    <col min="12292" max="12292" width="2.44140625" style="654" customWidth="1"/>
    <col min="12293" max="12293" width="45.44140625" style="654" customWidth="1"/>
    <col min="12294" max="12294" width="7.21875" style="654" customWidth="1"/>
    <col min="12295" max="12295" width="0.44140625" style="654" customWidth="1"/>
    <col min="12296" max="12333" width="10.44140625" style="654" customWidth="1"/>
    <col min="12334" max="12339" width="9.44140625" style="654" customWidth="1"/>
    <col min="12340" max="12340" width="10.44140625" style="654" customWidth="1"/>
    <col min="12341" max="12345" width="9.44140625" style="654" customWidth="1"/>
    <col min="12346" max="12544" width="8.44140625" style="654"/>
    <col min="12545" max="12547" width="2" style="654" customWidth="1"/>
    <col min="12548" max="12548" width="2.44140625" style="654" customWidth="1"/>
    <col min="12549" max="12549" width="45.44140625" style="654" customWidth="1"/>
    <col min="12550" max="12550" width="7.21875" style="654" customWidth="1"/>
    <col min="12551" max="12551" width="0.44140625" style="654" customWidth="1"/>
    <col min="12552" max="12589" width="10.44140625" style="654" customWidth="1"/>
    <col min="12590" max="12595" width="9.44140625" style="654" customWidth="1"/>
    <col min="12596" max="12596" width="10.44140625" style="654" customWidth="1"/>
    <col min="12597" max="12601" width="9.44140625" style="654" customWidth="1"/>
    <col min="12602" max="12800" width="8.44140625" style="654"/>
    <col min="12801" max="12803" width="2" style="654" customWidth="1"/>
    <col min="12804" max="12804" width="2.44140625" style="654" customWidth="1"/>
    <col min="12805" max="12805" width="45.44140625" style="654" customWidth="1"/>
    <col min="12806" max="12806" width="7.21875" style="654" customWidth="1"/>
    <col min="12807" max="12807" width="0.44140625" style="654" customWidth="1"/>
    <col min="12808" max="12845" width="10.44140625" style="654" customWidth="1"/>
    <col min="12846" max="12851" width="9.44140625" style="654" customWidth="1"/>
    <col min="12852" max="12852" width="10.44140625" style="654" customWidth="1"/>
    <col min="12853" max="12857" width="9.44140625" style="654" customWidth="1"/>
    <col min="12858" max="13056" width="8.44140625" style="654"/>
    <col min="13057" max="13059" width="2" style="654" customWidth="1"/>
    <col min="13060" max="13060" width="2.44140625" style="654" customWidth="1"/>
    <col min="13061" max="13061" width="45.44140625" style="654" customWidth="1"/>
    <col min="13062" max="13062" width="7.21875" style="654" customWidth="1"/>
    <col min="13063" max="13063" width="0.44140625" style="654" customWidth="1"/>
    <col min="13064" max="13101" width="10.44140625" style="654" customWidth="1"/>
    <col min="13102" max="13107" width="9.44140625" style="654" customWidth="1"/>
    <col min="13108" max="13108" width="10.44140625" style="654" customWidth="1"/>
    <col min="13109" max="13113" width="9.44140625" style="654" customWidth="1"/>
    <col min="13114" max="13312" width="8.44140625" style="654"/>
    <col min="13313" max="13315" width="2" style="654" customWidth="1"/>
    <col min="13316" max="13316" width="2.44140625" style="654" customWidth="1"/>
    <col min="13317" max="13317" width="45.44140625" style="654" customWidth="1"/>
    <col min="13318" max="13318" width="7.21875" style="654" customWidth="1"/>
    <col min="13319" max="13319" width="0.44140625" style="654" customWidth="1"/>
    <col min="13320" max="13357" width="10.44140625" style="654" customWidth="1"/>
    <col min="13358" max="13363" width="9.44140625" style="654" customWidth="1"/>
    <col min="13364" max="13364" width="10.44140625" style="654" customWidth="1"/>
    <col min="13365" max="13369" width="9.44140625" style="654" customWidth="1"/>
    <col min="13370" max="13568" width="8.44140625" style="654"/>
    <col min="13569" max="13571" width="2" style="654" customWidth="1"/>
    <col min="13572" max="13572" width="2.44140625" style="654" customWidth="1"/>
    <col min="13573" max="13573" width="45.44140625" style="654" customWidth="1"/>
    <col min="13574" max="13574" width="7.21875" style="654" customWidth="1"/>
    <col min="13575" max="13575" width="0.44140625" style="654" customWidth="1"/>
    <col min="13576" max="13613" width="10.44140625" style="654" customWidth="1"/>
    <col min="13614" max="13619" width="9.44140625" style="654" customWidth="1"/>
    <col min="13620" max="13620" width="10.44140625" style="654" customWidth="1"/>
    <col min="13621" max="13625" width="9.44140625" style="654" customWidth="1"/>
    <col min="13626" max="13824" width="8.44140625" style="654"/>
    <col min="13825" max="13827" width="2" style="654" customWidth="1"/>
    <col min="13828" max="13828" width="2.44140625" style="654" customWidth="1"/>
    <col min="13829" max="13829" width="45.44140625" style="654" customWidth="1"/>
    <col min="13830" max="13830" width="7.21875" style="654" customWidth="1"/>
    <col min="13831" max="13831" width="0.44140625" style="654" customWidth="1"/>
    <col min="13832" max="13869" width="10.44140625" style="654" customWidth="1"/>
    <col min="13870" max="13875" width="9.44140625" style="654" customWidth="1"/>
    <col min="13876" max="13876" width="10.44140625" style="654" customWidth="1"/>
    <col min="13877" max="13881" width="9.44140625" style="654" customWidth="1"/>
    <col min="13882" max="14080" width="8.44140625" style="654"/>
    <col min="14081" max="14083" width="2" style="654" customWidth="1"/>
    <col min="14084" max="14084" width="2.44140625" style="654" customWidth="1"/>
    <col min="14085" max="14085" width="45.44140625" style="654" customWidth="1"/>
    <col min="14086" max="14086" width="7.21875" style="654" customWidth="1"/>
    <col min="14087" max="14087" width="0.44140625" style="654" customWidth="1"/>
    <col min="14088" max="14125" width="10.44140625" style="654" customWidth="1"/>
    <col min="14126" max="14131" width="9.44140625" style="654" customWidth="1"/>
    <col min="14132" max="14132" width="10.44140625" style="654" customWidth="1"/>
    <col min="14133" max="14137" width="9.44140625" style="654" customWidth="1"/>
    <col min="14138" max="14336" width="8.44140625" style="654"/>
    <col min="14337" max="14339" width="2" style="654" customWidth="1"/>
    <col min="14340" max="14340" width="2.44140625" style="654" customWidth="1"/>
    <col min="14341" max="14341" width="45.44140625" style="654" customWidth="1"/>
    <col min="14342" max="14342" width="7.21875" style="654" customWidth="1"/>
    <col min="14343" max="14343" width="0.44140625" style="654" customWidth="1"/>
    <col min="14344" max="14381" width="10.44140625" style="654" customWidth="1"/>
    <col min="14382" max="14387" width="9.44140625" style="654" customWidth="1"/>
    <col min="14388" max="14388" width="10.44140625" style="654" customWidth="1"/>
    <col min="14389" max="14393" width="9.44140625" style="654" customWidth="1"/>
    <col min="14394" max="14592" width="8.44140625" style="654"/>
    <col min="14593" max="14595" width="2" style="654" customWidth="1"/>
    <col min="14596" max="14596" width="2.44140625" style="654" customWidth="1"/>
    <col min="14597" max="14597" width="45.44140625" style="654" customWidth="1"/>
    <col min="14598" max="14598" width="7.21875" style="654" customWidth="1"/>
    <col min="14599" max="14599" width="0.44140625" style="654" customWidth="1"/>
    <col min="14600" max="14637" width="10.44140625" style="654" customWidth="1"/>
    <col min="14638" max="14643" width="9.44140625" style="654" customWidth="1"/>
    <col min="14644" max="14644" width="10.44140625" style="654" customWidth="1"/>
    <col min="14645" max="14649" width="9.44140625" style="654" customWidth="1"/>
    <col min="14650" max="14848" width="8.44140625" style="654"/>
    <col min="14849" max="14851" width="2" style="654" customWidth="1"/>
    <col min="14852" max="14852" width="2.44140625" style="654" customWidth="1"/>
    <col min="14853" max="14853" width="45.44140625" style="654" customWidth="1"/>
    <col min="14854" max="14854" width="7.21875" style="654" customWidth="1"/>
    <col min="14855" max="14855" width="0.44140625" style="654" customWidth="1"/>
    <col min="14856" max="14893" width="10.44140625" style="654" customWidth="1"/>
    <col min="14894" max="14899" width="9.44140625" style="654" customWidth="1"/>
    <col min="14900" max="14900" width="10.44140625" style="654" customWidth="1"/>
    <col min="14901" max="14905" width="9.44140625" style="654" customWidth="1"/>
    <col min="14906" max="15104" width="8.44140625" style="654"/>
    <col min="15105" max="15107" width="2" style="654" customWidth="1"/>
    <col min="15108" max="15108" width="2.44140625" style="654" customWidth="1"/>
    <col min="15109" max="15109" width="45.44140625" style="654" customWidth="1"/>
    <col min="15110" max="15110" width="7.21875" style="654" customWidth="1"/>
    <col min="15111" max="15111" width="0.44140625" style="654" customWidth="1"/>
    <col min="15112" max="15149" width="10.44140625" style="654" customWidth="1"/>
    <col min="15150" max="15155" width="9.44140625" style="654" customWidth="1"/>
    <col min="15156" max="15156" width="10.44140625" style="654" customWidth="1"/>
    <col min="15157" max="15161" width="9.44140625" style="654" customWidth="1"/>
    <col min="15162" max="15360" width="8.44140625" style="654"/>
    <col min="15361" max="15363" width="2" style="654" customWidth="1"/>
    <col min="15364" max="15364" width="2.44140625" style="654" customWidth="1"/>
    <col min="15365" max="15365" width="45.44140625" style="654" customWidth="1"/>
    <col min="15366" max="15366" width="7.21875" style="654" customWidth="1"/>
    <col min="15367" max="15367" width="0.44140625" style="654" customWidth="1"/>
    <col min="15368" max="15405" width="10.44140625" style="654" customWidth="1"/>
    <col min="15406" max="15411" width="9.44140625" style="654" customWidth="1"/>
    <col min="15412" max="15412" width="10.44140625" style="654" customWidth="1"/>
    <col min="15413" max="15417" width="9.44140625" style="654" customWidth="1"/>
    <col min="15418" max="15616" width="8.44140625" style="654"/>
    <col min="15617" max="15619" width="2" style="654" customWidth="1"/>
    <col min="15620" max="15620" width="2.44140625" style="654" customWidth="1"/>
    <col min="15621" max="15621" width="45.44140625" style="654" customWidth="1"/>
    <col min="15622" max="15622" width="7.21875" style="654" customWidth="1"/>
    <col min="15623" max="15623" width="0.44140625" style="654" customWidth="1"/>
    <col min="15624" max="15661" width="10.44140625" style="654" customWidth="1"/>
    <col min="15662" max="15667" width="9.44140625" style="654" customWidth="1"/>
    <col min="15668" max="15668" width="10.44140625" style="654" customWidth="1"/>
    <col min="15669" max="15673" width="9.44140625" style="654" customWidth="1"/>
    <col min="15674" max="15872" width="8.44140625" style="654"/>
    <col min="15873" max="15875" width="2" style="654" customWidth="1"/>
    <col min="15876" max="15876" width="2.44140625" style="654" customWidth="1"/>
    <col min="15877" max="15877" width="45.44140625" style="654" customWidth="1"/>
    <col min="15878" max="15878" width="7.21875" style="654" customWidth="1"/>
    <col min="15879" max="15879" width="0.44140625" style="654" customWidth="1"/>
    <col min="15880" max="15917" width="10.44140625" style="654" customWidth="1"/>
    <col min="15918" max="15923" width="9.44140625" style="654" customWidth="1"/>
    <col min="15924" max="15924" width="10.44140625" style="654" customWidth="1"/>
    <col min="15925" max="15929" width="9.44140625" style="654" customWidth="1"/>
    <col min="15930" max="16128" width="8.44140625" style="654"/>
    <col min="16129" max="16131" width="2" style="654" customWidth="1"/>
    <col min="16132" max="16132" width="2.44140625" style="654" customWidth="1"/>
    <col min="16133" max="16133" width="45.44140625" style="654" customWidth="1"/>
    <col min="16134" max="16134" width="7.21875" style="654" customWidth="1"/>
    <col min="16135" max="16135" width="0.44140625" style="654" customWidth="1"/>
    <col min="16136" max="16173" width="10.44140625" style="654" customWidth="1"/>
    <col min="16174" max="16179" width="9.44140625" style="654" customWidth="1"/>
    <col min="16180" max="16180" width="10.44140625" style="654" customWidth="1"/>
    <col min="16181" max="16185" width="9.44140625" style="654" customWidth="1"/>
    <col min="16186" max="16384" width="8.44140625" style="654"/>
  </cols>
  <sheetData>
    <row r="1" spans="1:73">
      <c r="A1" s="751"/>
      <c r="B1" s="751"/>
      <c r="C1" s="751"/>
      <c r="D1" s="751"/>
      <c r="E1" s="750"/>
      <c r="F1" s="708"/>
      <c r="G1" s="708"/>
      <c r="H1" s="748" t="s">
        <v>1352</v>
      </c>
      <c r="I1" s="748">
        <v>2000</v>
      </c>
      <c r="J1" s="748">
        <v>2115</v>
      </c>
      <c r="K1" s="748">
        <v>2116</v>
      </c>
      <c r="L1" s="748">
        <v>2117</v>
      </c>
      <c r="M1" s="748">
        <v>2118</v>
      </c>
      <c r="N1" s="748">
        <v>2210</v>
      </c>
      <c r="O1" s="748">
        <v>2112</v>
      </c>
      <c r="P1" s="748">
        <v>2121</v>
      </c>
      <c r="Q1" s="748">
        <v>2122</v>
      </c>
      <c r="R1" s="748">
        <v>2130</v>
      </c>
      <c r="S1" s="748">
        <v>2230</v>
      </c>
      <c r="T1" s="748">
        <v>2310</v>
      </c>
      <c r="U1" s="748">
        <v>2330</v>
      </c>
      <c r="V1" s="748">
        <v>2410</v>
      </c>
      <c r="W1" s="748">
        <v>3000</v>
      </c>
      <c r="X1" s="748">
        <v>3105</v>
      </c>
      <c r="Y1" s="748">
        <v>3106</v>
      </c>
      <c r="Z1" s="748">
        <v>3191</v>
      </c>
      <c r="AA1" s="748">
        <v>3192</v>
      </c>
      <c r="AB1" s="748">
        <v>3193</v>
      </c>
      <c r="AC1" s="748">
        <v>3214</v>
      </c>
      <c r="AD1" s="748">
        <v>3215</v>
      </c>
      <c r="AE1" s="748">
        <v>3220</v>
      </c>
      <c r="AF1" s="748">
        <v>3234</v>
      </c>
      <c r="AG1" s="748">
        <v>3235</v>
      </c>
      <c r="AH1" s="748">
        <v>3246</v>
      </c>
      <c r="AI1" s="748">
        <v>3247</v>
      </c>
      <c r="AJ1" s="748">
        <v>3244</v>
      </c>
      <c r="AK1" s="748">
        <v>3250</v>
      </c>
      <c r="AL1" s="748">
        <v>3260</v>
      </c>
      <c r="AM1" s="748" t="s">
        <v>1351</v>
      </c>
      <c r="AN1" s="748">
        <v>3281</v>
      </c>
      <c r="AO1" s="748">
        <v>3282</v>
      </c>
      <c r="AP1" s="748">
        <v>3283</v>
      </c>
      <c r="AQ1" s="748">
        <v>3285</v>
      </c>
      <c r="AR1" s="748">
        <v>3286</v>
      </c>
      <c r="AS1" s="748">
        <v>3295</v>
      </c>
      <c r="AT1" s="748">
        <v>4000</v>
      </c>
      <c r="AU1" s="748">
        <v>4100</v>
      </c>
      <c r="AV1" s="748">
        <v>4210</v>
      </c>
      <c r="AW1" s="748">
        <v>4220</v>
      </c>
      <c r="AX1" s="748">
        <v>4230</v>
      </c>
      <c r="AY1" s="748">
        <v>4240</v>
      </c>
      <c r="AZ1" s="748">
        <v>5500</v>
      </c>
      <c r="BA1" s="748">
        <v>5510</v>
      </c>
      <c r="BB1" s="748">
        <v>5520</v>
      </c>
      <c r="BC1" s="748">
        <v>5535</v>
      </c>
      <c r="BD1" s="748">
        <v>5532</v>
      </c>
      <c r="BE1" s="748">
        <v>5534</v>
      </c>
      <c r="BF1" s="748">
        <v>5541</v>
      </c>
      <c r="BG1" s="748">
        <v>5544</v>
      </c>
      <c r="BH1" s="748">
        <v>5542</v>
      </c>
      <c r="BI1" s="748">
        <v>55431</v>
      </c>
      <c r="BJ1" s="748">
        <v>5546</v>
      </c>
      <c r="BK1" s="748">
        <v>5547</v>
      </c>
      <c r="BL1" s="748">
        <v>5549</v>
      </c>
      <c r="BM1" s="748">
        <v>5548</v>
      </c>
      <c r="BN1" s="748">
        <v>5550</v>
      </c>
      <c r="BO1" s="749">
        <v>7200</v>
      </c>
      <c r="BP1" s="748">
        <v>7100</v>
      </c>
      <c r="BQ1" s="748">
        <v>55432</v>
      </c>
      <c r="BR1" s="748">
        <v>5100</v>
      </c>
      <c r="BS1" s="748">
        <v>5200</v>
      </c>
      <c r="BT1" s="748">
        <v>6000</v>
      </c>
      <c r="BU1" s="747"/>
    </row>
    <row r="2" spans="1:73" ht="38.25" customHeight="1">
      <c r="A2" s="746" t="s">
        <v>1350</v>
      </c>
      <c r="B2" s="746"/>
      <c r="C2" s="746"/>
      <c r="D2" s="746"/>
      <c r="E2" s="745" t="s">
        <v>1349</v>
      </c>
      <c r="F2" s="744" t="s">
        <v>958</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207994.21992930162</v>
      </c>
      <c r="I4" s="723">
        <v>1298.7006783223464</v>
      </c>
      <c r="J4" s="725">
        <v>0</v>
      </c>
      <c r="K4" s="725">
        <v>0</v>
      </c>
      <c r="L4" s="725">
        <v>1298.7006783223464</v>
      </c>
      <c r="M4" s="725">
        <v>0</v>
      </c>
      <c r="N4" s="725">
        <v>0</v>
      </c>
      <c r="O4" s="725"/>
      <c r="P4" s="725"/>
      <c r="Q4" s="725"/>
      <c r="R4" s="725"/>
      <c r="S4" s="725"/>
      <c r="T4" s="725">
        <v>0</v>
      </c>
      <c r="U4" s="725"/>
      <c r="V4" s="725">
        <v>0</v>
      </c>
      <c r="W4" s="723">
        <v>99825.021496130692</v>
      </c>
      <c r="X4" s="725">
        <v>91137.86185153338</v>
      </c>
      <c r="Y4" s="725">
        <v>8571.1283080156682</v>
      </c>
      <c r="Z4" s="725"/>
      <c r="AA4" s="725">
        <v>116.03133658163752</v>
      </c>
      <c r="AB4" s="725"/>
      <c r="AC4" s="725"/>
      <c r="AD4" s="725"/>
      <c r="AE4" s="725"/>
      <c r="AF4" s="725"/>
      <c r="AG4" s="725"/>
      <c r="AH4" s="725"/>
      <c r="AI4" s="725"/>
      <c r="AJ4" s="725"/>
      <c r="AK4" s="725"/>
      <c r="AL4" s="725"/>
      <c r="AM4" s="725"/>
      <c r="AN4" s="725"/>
      <c r="AO4" s="725"/>
      <c r="AP4" s="725"/>
      <c r="AQ4" s="725"/>
      <c r="AR4" s="725"/>
      <c r="AS4" s="725"/>
      <c r="AT4" s="723">
        <v>95208.154198910852</v>
      </c>
      <c r="AU4" s="725">
        <v>95208.154198910852</v>
      </c>
      <c r="AV4" s="725"/>
      <c r="AW4" s="725"/>
      <c r="AX4" s="725"/>
      <c r="AY4" s="725"/>
      <c r="AZ4" s="723">
        <v>11519.991401547721</v>
      </c>
      <c r="BA4" s="725">
        <v>10038.693035253655</v>
      </c>
      <c r="BB4" s="725">
        <v>75.570841692939709</v>
      </c>
      <c r="BC4" s="725">
        <v>0</v>
      </c>
      <c r="BD4" s="725">
        <v>0</v>
      </c>
      <c r="BE4" s="725">
        <v>0</v>
      </c>
      <c r="BF4" s="725">
        <v>1233.4718639533771</v>
      </c>
      <c r="BG4" s="725"/>
      <c r="BH4" s="725">
        <v>29.688544950797745</v>
      </c>
      <c r="BI4" s="725">
        <v>142.56711569695233</v>
      </c>
      <c r="BJ4" s="725">
        <v>0</v>
      </c>
      <c r="BK4" s="725">
        <v>0</v>
      </c>
      <c r="BL4" s="725">
        <v>0</v>
      </c>
      <c r="BM4" s="725">
        <v>0</v>
      </c>
      <c r="BN4" s="725">
        <v>0</v>
      </c>
      <c r="BO4" s="723">
        <v>142.35215438998756</v>
      </c>
      <c r="BP4" s="725">
        <v>2.746727811216203</v>
      </c>
      <c r="BQ4" s="725">
        <v>139.60542657877136</v>
      </c>
      <c r="BR4" s="724">
        <v>0</v>
      </c>
      <c r="BS4" s="724"/>
      <c r="BT4" s="723"/>
    </row>
    <row r="5" spans="1:73">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c r="A6" s="680" t="s">
        <v>968</v>
      </c>
      <c r="B6" s="679" t="s">
        <v>1288</v>
      </c>
      <c r="C6" s="679"/>
      <c r="D6" s="679"/>
      <c r="E6" s="679"/>
      <c r="F6" s="678" t="s">
        <v>1287</v>
      </c>
      <c r="G6" s="678"/>
      <c r="H6" s="677">
        <v>0.88372981752173496</v>
      </c>
      <c r="I6" s="674">
        <v>0</v>
      </c>
      <c r="J6" s="676">
        <v>0</v>
      </c>
      <c r="K6" s="676">
        <v>0</v>
      </c>
      <c r="L6" s="676">
        <v>0</v>
      </c>
      <c r="M6" s="676">
        <v>0</v>
      </c>
      <c r="N6" s="676">
        <v>0</v>
      </c>
      <c r="O6" s="676">
        <v>0</v>
      </c>
      <c r="P6" s="676">
        <v>0</v>
      </c>
      <c r="Q6" s="676">
        <v>0</v>
      </c>
      <c r="R6" s="676">
        <v>0</v>
      </c>
      <c r="S6" s="676">
        <v>0</v>
      </c>
      <c r="T6" s="676">
        <v>0</v>
      </c>
      <c r="U6" s="676">
        <v>0</v>
      </c>
      <c r="V6" s="676">
        <v>0</v>
      </c>
      <c r="W6" s="674">
        <v>0.88372981752173496</v>
      </c>
      <c r="X6" s="676"/>
      <c r="Y6" s="676"/>
      <c r="Z6" s="676"/>
      <c r="AA6" s="676">
        <v>0.88372981752173496</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c r="A9" s="681"/>
      <c r="B9" s="680" t="s">
        <v>968</v>
      </c>
      <c r="C9" s="679" t="s">
        <v>1282</v>
      </c>
      <c r="D9" s="679"/>
      <c r="E9" s="679"/>
      <c r="F9" s="678" t="s">
        <v>1281</v>
      </c>
      <c r="G9" s="678"/>
      <c r="H9" s="677">
        <v>0.88372981752173496</v>
      </c>
      <c r="I9" s="674">
        <v>0</v>
      </c>
      <c r="J9" s="676"/>
      <c r="K9" s="676"/>
      <c r="L9" s="676"/>
      <c r="M9" s="676"/>
      <c r="N9" s="676"/>
      <c r="O9" s="676">
        <v>0</v>
      </c>
      <c r="P9" s="676">
        <v>0</v>
      </c>
      <c r="Q9" s="676">
        <v>0</v>
      </c>
      <c r="R9" s="676">
        <v>0</v>
      </c>
      <c r="S9" s="676">
        <v>0</v>
      </c>
      <c r="T9" s="676"/>
      <c r="U9" s="676">
        <v>0</v>
      </c>
      <c r="V9" s="676">
        <v>0</v>
      </c>
      <c r="W9" s="674">
        <v>0.88372981752173496</v>
      </c>
      <c r="X9" s="676"/>
      <c r="Y9" s="676"/>
      <c r="Z9" s="676"/>
      <c r="AA9" s="676">
        <v>0.88372981752173496</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c r="A12" s="680" t="s">
        <v>968</v>
      </c>
      <c r="B12" s="679" t="s">
        <v>164</v>
      </c>
      <c r="C12" s="679"/>
      <c r="D12" s="679"/>
      <c r="E12" s="679"/>
      <c r="F12" s="678" t="s">
        <v>1276</v>
      </c>
      <c r="G12" s="678"/>
      <c r="H12" s="677">
        <v>8173.5215438998757</v>
      </c>
      <c r="I12" s="674">
        <v>754.49030285659694</v>
      </c>
      <c r="J12" s="676">
        <v>0</v>
      </c>
      <c r="K12" s="676">
        <v>0</v>
      </c>
      <c r="L12" s="676">
        <v>459.0618133180472</v>
      </c>
      <c r="M12" s="676">
        <v>0</v>
      </c>
      <c r="N12" s="676">
        <v>0</v>
      </c>
      <c r="O12" s="676">
        <v>0</v>
      </c>
      <c r="P12" s="676">
        <v>295.42848953854974</v>
      </c>
      <c r="Q12" s="676">
        <v>0</v>
      </c>
      <c r="R12" s="676">
        <v>0</v>
      </c>
      <c r="S12" s="676">
        <v>0</v>
      </c>
      <c r="T12" s="676">
        <v>0</v>
      </c>
      <c r="U12" s="676">
        <v>0</v>
      </c>
      <c r="V12" s="676">
        <v>0</v>
      </c>
      <c r="W12" s="674">
        <v>5995.6530046813796</v>
      </c>
      <c r="X12" s="676">
        <v>1505.9472628260246</v>
      </c>
      <c r="Y12" s="676"/>
      <c r="Z12" s="676"/>
      <c r="AA12" s="676"/>
      <c r="AB12" s="676"/>
      <c r="AC12" s="676"/>
      <c r="AD12" s="676">
        <v>79.272953090665894</v>
      </c>
      <c r="AE12" s="676">
        <v>264.25910002866152</v>
      </c>
      <c r="AF12" s="676">
        <v>275.60428011846756</v>
      </c>
      <c r="AG12" s="676"/>
      <c r="AH12" s="676">
        <v>8.4551447406133562</v>
      </c>
      <c r="AI12" s="676">
        <v>274.2189739180281</v>
      </c>
      <c r="AJ12" s="676">
        <v>58.684436801375746</v>
      </c>
      <c r="AK12" s="676">
        <v>99.598738893665796</v>
      </c>
      <c r="AL12" s="676">
        <v>1162.9884398586032</v>
      </c>
      <c r="AM12" s="676">
        <v>1540.0783414540938</v>
      </c>
      <c r="AN12" s="676">
        <v>13.542562338779019</v>
      </c>
      <c r="AO12" s="676">
        <v>41.129263399254796</v>
      </c>
      <c r="AP12" s="676">
        <v>312.98366294067068</v>
      </c>
      <c r="AQ12" s="676">
        <v>316.82908187637332</v>
      </c>
      <c r="AR12" s="676"/>
      <c r="AS12" s="676">
        <v>42.036877806439286</v>
      </c>
      <c r="AT12" s="674">
        <v>0</v>
      </c>
      <c r="AU12" s="676">
        <v>0</v>
      </c>
      <c r="AV12" s="676"/>
      <c r="AW12" s="676"/>
      <c r="AX12" s="676"/>
      <c r="AY12" s="676"/>
      <c r="AZ12" s="674">
        <v>161.7225566064775</v>
      </c>
      <c r="BA12" s="676"/>
      <c r="BB12" s="676"/>
      <c r="BC12" s="676"/>
      <c r="BD12" s="676">
        <v>0</v>
      </c>
      <c r="BE12" s="676"/>
      <c r="BF12" s="676">
        <v>45.404604948886977</v>
      </c>
      <c r="BG12" s="676">
        <v>0</v>
      </c>
      <c r="BH12" s="676">
        <v>0</v>
      </c>
      <c r="BI12" s="676">
        <v>0</v>
      </c>
      <c r="BJ12" s="676">
        <v>4.8008025222126678</v>
      </c>
      <c r="BK12" s="676">
        <v>110.60953472819337</v>
      </c>
      <c r="BL12" s="676">
        <v>0</v>
      </c>
      <c r="BM12" s="676">
        <v>0.93149899684723414</v>
      </c>
      <c r="BN12" s="676">
        <v>0</v>
      </c>
      <c r="BO12" s="674">
        <v>0</v>
      </c>
      <c r="BP12" s="676">
        <v>0</v>
      </c>
      <c r="BQ12" s="676">
        <v>0</v>
      </c>
      <c r="BR12" s="675"/>
      <c r="BS12" s="675">
        <v>0</v>
      </c>
      <c r="BT12" s="674">
        <v>1261.6556797554217</v>
      </c>
    </row>
    <row r="13" spans="1:73">
      <c r="A13" s="680" t="s">
        <v>968</v>
      </c>
      <c r="B13" s="679" t="s">
        <v>1275</v>
      </c>
      <c r="C13" s="679"/>
      <c r="D13" s="679"/>
      <c r="E13" s="679"/>
      <c r="F13" s="678" t="s">
        <v>1274</v>
      </c>
      <c r="G13" s="678"/>
      <c r="H13" s="677">
        <v>21.854399541415876</v>
      </c>
      <c r="I13" s="674">
        <v>-152.40756663800516</v>
      </c>
      <c r="J13" s="676">
        <v>0</v>
      </c>
      <c r="K13" s="676">
        <v>0</v>
      </c>
      <c r="L13" s="676">
        <v>-148.99207031623195</v>
      </c>
      <c r="M13" s="676">
        <v>0</v>
      </c>
      <c r="N13" s="676">
        <v>0</v>
      </c>
      <c r="O13" s="676">
        <v>0</v>
      </c>
      <c r="P13" s="676">
        <v>-3.3916117321104422</v>
      </c>
      <c r="Q13" s="676">
        <v>0</v>
      </c>
      <c r="R13" s="676">
        <v>0</v>
      </c>
      <c r="S13" s="676">
        <v>0</v>
      </c>
      <c r="T13" s="676">
        <v>0</v>
      </c>
      <c r="U13" s="676">
        <v>0</v>
      </c>
      <c r="V13" s="676">
        <v>0</v>
      </c>
      <c r="W13" s="674">
        <v>139.29492691315562</v>
      </c>
      <c r="X13" s="676">
        <v>-150.68787618228717</v>
      </c>
      <c r="Y13" s="676"/>
      <c r="Z13" s="676"/>
      <c r="AA13" s="676"/>
      <c r="AB13" s="676"/>
      <c r="AC13" s="676"/>
      <c r="AD13" s="676">
        <v>-2.1973822489729624</v>
      </c>
      <c r="AE13" s="676">
        <v>-66.06477500716538</v>
      </c>
      <c r="AF13" s="676">
        <v>142.63876946594056</v>
      </c>
      <c r="AG13" s="676"/>
      <c r="AH13" s="676"/>
      <c r="AI13" s="676">
        <v>59.568166618897486</v>
      </c>
      <c r="AJ13" s="676">
        <v>-44.258144645074992</v>
      </c>
      <c r="AK13" s="676">
        <v>41.941339447788287</v>
      </c>
      <c r="AL13" s="676">
        <v>165.99789815610967</v>
      </c>
      <c r="AM13" s="676">
        <v>18.152288143689692</v>
      </c>
      <c r="AN13" s="676">
        <v>2.0779593006592147</v>
      </c>
      <c r="AO13" s="676">
        <v>9.0283748925193468</v>
      </c>
      <c r="AP13" s="676">
        <v>-0.93149899684723414</v>
      </c>
      <c r="AQ13" s="676">
        <v>-35.94630744243814</v>
      </c>
      <c r="AR13" s="676"/>
      <c r="AS13" s="676"/>
      <c r="AT13" s="674">
        <v>34.967039266265402</v>
      </c>
      <c r="AU13" s="676">
        <v>34.967039266265402</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c r="A14" s="680" t="s">
        <v>1081</v>
      </c>
      <c r="B14" s="679" t="s">
        <v>170</v>
      </c>
      <c r="C14" s="679"/>
      <c r="D14" s="679"/>
      <c r="E14" s="679"/>
      <c r="F14" s="678" t="s">
        <v>1273</v>
      </c>
      <c r="G14" s="678"/>
      <c r="H14" s="677">
        <v>181464.62692270946</v>
      </c>
      <c r="I14" s="674">
        <v>1137.6468902264257</v>
      </c>
      <c r="J14" s="676">
        <v>0</v>
      </c>
      <c r="K14" s="676">
        <v>0</v>
      </c>
      <c r="L14" s="676">
        <v>1134.9240470048724</v>
      </c>
      <c r="M14" s="676">
        <v>0</v>
      </c>
      <c r="N14" s="676">
        <v>0</v>
      </c>
      <c r="O14" s="676">
        <v>0</v>
      </c>
      <c r="P14" s="676">
        <v>2.7228432215534535</v>
      </c>
      <c r="Q14" s="676">
        <v>0</v>
      </c>
      <c r="R14" s="676">
        <v>0</v>
      </c>
      <c r="S14" s="676">
        <v>0</v>
      </c>
      <c r="T14" s="676">
        <v>0</v>
      </c>
      <c r="U14" s="676">
        <v>0</v>
      </c>
      <c r="V14" s="676">
        <v>0</v>
      </c>
      <c r="W14" s="674">
        <v>92217.87522690359</v>
      </c>
      <c r="X14" s="676">
        <v>79078.222031145502</v>
      </c>
      <c r="Y14" s="676"/>
      <c r="Z14" s="676"/>
      <c r="AA14" s="676"/>
      <c r="AB14" s="676"/>
      <c r="AC14" s="676"/>
      <c r="AD14" s="676">
        <v>351.24677558039554</v>
      </c>
      <c r="AE14" s="676">
        <v>4798.5096016050438</v>
      </c>
      <c r="AF14" s="676">
        <v>2119.0885640584693</v>
      </c>
      <c r="AG14" s="676"/>
      <c r="AH14" s="676"/>
      <c r="AI14" s="676">
        <v>36.97334479793637</v>
      </c>
      <c r="AJ14" s="676">
        <v>134.85239323588419</v>
      </c>
      <c r="AK14" s="676">
        <v>2137.9573898920416</v>
      </c>
      <c r="AL14" s="676">
        <v>1972.4371835291868</v>
      </c>
      <c r="AM14" s="676">
        <v>1572.5613833954333</v>
      </c>
      <c r="AN14" s="676"/>
      <c r="AO14" s="676"/>
      <c r="AP14" s="676"/>
      <c r="AQ14" s="676">
        <v>15.047291487532243</v>
      </c>
      <c r="AR14" s="676"/>
      <c r="AS14" s="676">
        <v>0.95538358650998367</v>
      </c>
      <c r="AT14" s="674">
        <v>87489.84904939332</v>
      </c>
      <c r="AU14" s="676">
        <v>87489.84904939332</v>
      </c>
      <c r="AV14" s="676"/>
      <c r="AW14" s="676"/>
      <c r="AX14" s="676"/>
      <c r="AY14" s="676"/>
      <c r="AZ14" s="674">
        <v>6.6876851055698863</v>
      </c>
      <c r="BA14" s="676"/>
      <c r="BB14" s="676"/>
      <c r="BC14" s="676"/>
      <c r="BD14" s="676">
        <v>0</v>
      </c>
      <c r="BE14" s="676"/>
      <c r="BF14" s="676">
        <v>6.6876851055698863</v>
      </c>
      <c r="BG14" s="676">
        <v>0</v>
      </c>
      <c r="BH14" s="676">
        <v>0</v>
      </c>
      <c r="BI14" s="676">
        <v>0</v>
      </c>
      <c r="BJ14" s="676">
        <v>0</v>
      </c>
      <c r="BK14" s="676">
        <v>0</v>
      </c>
      <c r="BL14" s="676">
        <v>0</v>
      </c>
      <c r="BM14" s="676">
        <v>0</v>
      </c>
      <c r="BN14" s="676">
        <v>0</v>
      </c>
      <c r="BO14" s="674">
        <v>0</v>
      </c>
      <c r="BP14" s="676">
        <v>0</v>
      </c>
      <c r="BQ14" s="676">
        <v>0</v>
      </c>
      <c r="BR14" s="675"/>
      <c r="BS14" s="675">
        <v>0</v>
      </c>
      <c r="BT14" s="674">
        <v>612.54418649087609</v>
      </c>
    </row>
    <row r="15" spans="1:73">
      <c r="A15" s="680" t="s">
        <v>1081</v>
      </c>
      <c r="B15" s="679" t="s">
        <v>1272</v>
      </c>
      <c r="C15" s="679"/>
      <c r="D15" s="679"/>
      <c r="E15" s="679"/>
      <c r="F15" s="678" t="s">
        <v>1271</v>
      </c>
      <c r="G15" s="678"/>
      <c r="H15" s="677">
        <v>387.52746727811217</v>
      </c>
      <c r="I15" s="674">
        <v>0</v>
      </c>
      <c r="J15" s="676">
        <v>0</v>
      </c>
      <c r="K15" s="676">
        <v>0</v>
      </c>
      <c r="L15" s="676">
        <v>0</v>
      </c>
      <c r="M15" s="676">
        <v>0</v>
      </c>
      <c r="N15" s="676">
        <v>0</v>
      </c>
      <c r="O15" s="676">
        <v>0</v>
      </c>
      <c r="P15" s="676">
        <v>0</v>
      </c>
      <c r="Q15" s="676">
        <v>0</v>
      </c>
      <c r="R15" s="676">
        <v>0</v>
      </c>
      <c r="S15" s="676">
        <v>0</v>
      </c>
      <c r="T15" s="676">
        <v>0</v>
      </c>
      <c r="U15" s="676">
        <v>0</v>
      </c>
      <c r="V15" s="676">
        <v>0</v>
      </c>
      <c r="W15" s="674">
        <v>387.52746727811217</v>
      </c>
      <c r="X15" s="676"/>
      <c r="Y15" s="676"/>
      <c r="Z15" s="676"/>
      <c r="AA15" s="676"/>
      <c r="AB15" s="676"/>
      <c r="AC15" s="676"/>
      <c r="AD15" s="676"/>
      <c r="AE15" s="676"/>
      <c r="AF15" s="676"/>
      <c r="AG15" s="676"/>
      <c r="AH15" s="676"/>
      <c r="AI15" s="676"/>
      <c r="AJ15" s="676"/>
      <c r="AK15" s="676"/>
      <c r="AL15" s="676">
        <v>192.62921563007546</v>
      </c>
      <c r="AM15" s="676">
        <v>194.89825164803668</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c r="A17" s="709" t="s">
        <v>1268</v>
      </c>
      <c r="B17" s="709"/>
      <c r="C17" s="709"/>
      <c r="D17" s="709"/>
      <c r="E17" s="709"/>
      <c r="F17" s="708" t="s">
        <v>1267</v>
      </c>
      <c r="G17" s="708"/>
      <c r="H17" s="707">
        <v>34338.325212572847</v>
      </c>
      <c r="I17" s="704">
        <v>763.13652431451226</v>
      </c>
      <c r="J17" s="706">
        <v>0</v>
      </c>
      <c r="K17" s="706">
        <v>0</v>
      </c>
      <c r="L17" s="706">
        <v>473.84637431928917</v>
      </c>
      <c r="M17" s="706">
        <v>0</v>
      </c>
      <c r="N17" s="706">
        <v>0</v>
      </c>
      <c r="O17" s="706">
        <v>0</v>
      </c>
      <c r="P17" s="706">
        <v>289.29014999522309</v>
      </c>
      <c r="Q17" s="706">
        <v>0</v>
      </c>
      <c r="R17" s="706">
        <v>0</v>
      </c>
      <c r="S17" s="706">
        <v>0</v>
      </c>
      <c r="T17" s="706">
        <v>0</v>
      </c>
      <c r="U17" s="706">
        <v>0</v>
      </c>
      <c r="V17" s="706">
        <v>0</v>
      </c>
      <c r="W17" s="704">
        <v>13355.426578771376</v>
      </c>
      <c r="X17" s="706">
        <v>13414.899207031622</v>
      </c>
      <c r="Y17" s="706">
        <v>8571.1283080156682</v>
      </c>
      <c r="Z17" s="706"/>
      <c r="AA17" s="706">
        <v>116.8911818094965</v>
      </c>
      <c r="AB17" s="706"/>
      <c r="AC17" s="706"/>
      <c r="AD17" s="706">
        <v>-274.17120473870256</v>
      </c>
      <c r="AE17" s="706">
        <v>-4600.3152765835484</v>
      </c>
      <c r="AF17" s="706">
        <v>-1700.8455144740612</v>
      </c>
      <c r="AG17" s="706"/>
      <c r="AH17" s="706">
        <v>8.4551447406133562</v>
      </c>
      <c r="AI17" s="706">
        <v>296.8137957389892</v>
      </c>
      <c r="AJ17" s="706">
        <v>-120.4499856692462</v>
      </c>
      <c r="AK17" s="706">
        <v>-1996.4173115505876</v>
      </c>
      <c r="AL17" s="706">
        <v>-836.10394573421229</v>
      </c>
      <c r="AM17" s="706">
        <v>-209.22900544568643</v>
      </c>
      <c r="AN17" s="706">
        <v>15.620521639438234</v>
      </c>
      <c r="AO17" s="706">
        <v>50.157638291774148</v>
      </c>
      <c r="AP17" s="706">
        <v>312.05216394382342</v>
      </c>
      <c r="AQ17" s="706">
        <v>265.83548294640298</v>
      </c>
      <c r="AR17" s="706"/>
      <c r="AS17" s="706">
        <v>41.081494219929297</v>
      </c>
      <c r="AT17" s="704">
        <v>7753.2721887837961</v>
      </c>
      <c r="AU17" s="706">
        <v>7753.2721887837961</v>
      </c>
      <c r="AV17" s="706">
        <v>0</v>
      </c>
      <c r="AW17" s="706">
        <v>0</v>
      </c>
      <c r="AX17" s="706">
        <v>0</v>
      </c>
      <c r="AY17" s="706">
        <v>0</v>
      </c>
      <c r="AZ17" s="704">
        <v>11675.05015763829</v>
      </c>
      <c r="BA17" s="706">
        <v>10038.693035253655</v>
      </c>
      <c r="BB17" s="706">
        <v>75.570841692939709</v>
      </c>
      <c r="BC17" s="706">
        <v>0</v>
      </c>
      <c r="BD17" s="706">
        <v>0</v>
      </c>
      <c r="BE17" s="706">
        <v>0</v>
      </c>
      <c r="BF17" s="706">
        <v>1272.1887837966942</v>
      </c>
      <c r="BG17" s="706">
        <v>0</v>
      </c>
      <c r="BH17" s="706">
        <v>29.688544950797745</v>
      </c>
      <c r="BI17" s="706">
        <v>142.56711569695233</v>
      </c>
      <c r="BJ17" s="706">
        <v>4.8008025222126678</v>
      </c>
      <c r="BK17" s="706">
        <v>110.60953472819337</v>
      </c>
      <c r="BL17" s="706">
        <v>0</v>
      </c>
      <c r="BM17" s="706">
        <v>0.93149899684723414</v>
      </c>
      <c r="BN17" s="706">
        <v>0</v>
      </c>
      <c r="BO17" s="704">
        <v>142.35215438998756</v>
      </c>
      <c r="BP17" s="706">
        <v>2.746727811216203</v>
      </c>
      <c r="BQ17" s="706">
        <v>139.60542657877136</v>
      </c>
      <c r="BR17" s="705">
        <v>0</v>
      </c>
      <c r="BS17" s="705">
        <v>0</v>
      </c>
      <c r="BT17" s="704">
        <v>649.08760867488297</v>
      </c>
    </row>
    <row r="18" spans="1:72">
      <c r="A18" s="709" t="s">
        <v>1266</v>
      </c>
      <c r="B18" s="709"/>
      <c r="C18" s="709"/>
      <c r="D18" s="709"/>
      <c r="E18" s="709"/>
      <c r="F18" s="708" t="s">
        <v>1265</v>
      </c>
      <c r="G18" s="708"/>
      <c r="H18" s="707">
        <v>15998.280309544281</v>
      </c>
      <c r="I18" s="704">
        <v>76.860609534728184</v>
      </c>
      <c r="J18" s="706">
        <v>0</v>
      </c>
      <c r="K18" s="706">
        <v>0</v>
      </c>
      <c r="L18" s="706">
        <v>17.459635043469952</v>
      </c>
      <c r="M18" s="706">
        <v>0</v>
      </c>
      <c r="N18" s="706">
        <v>0</v>
      </c>
      <c r="O18" s="706">
        <v>0</v>
      </c>
      <c r="P18" s="706">
        <v>59.400974491258239</v>
      </c>
      <c r="Q18" s="706">
        <v>0</v>
      </c>
      <c r="R18" s="706">
        <v>0</v>
      </c>
      <c r="S18" s="706">
        <v>0</v>
      </c>
      <c r="T18" s="706">
        <v>0</v>
      </c>
      <c r="U18" s="706">
        <v>0</v>
      </c>
      <c r="V18" s="706">
        <v>0</v>
      </c>
      <c r="W18" s="704">
        <v>14617.607719499378</v>
      </c>
      <c r="X18" s="706">
        <v>12868.993025699818</v>
      </c>
      <c r="Y18" s="706"/>
      <c r="Z18" s="706">
        <v>1548.8201012706602</v>
      </c>
      <c r="AA18" s="706">
        <v>116.8911818094965</v>
      </c>
      <c r="AB18" s="706"/>
      <c r="AC18" s="706"/>
      <c r="AD18" s="706"/>
      <c r="AE18" s="706">
        <v>13.208178083500524</v>
      </c>
      <c r="AF18" s="706"/>
      <c r="AG18" s="706"/>
      <c r="AH18" s="706"/>
      <c r="AI18" s="706"/>
      <c r="AJ18" s="706"/>
      <c r="AK18" s="706"/>
      <c r="AL18" s="706">
        <v>69.671348046240567</v>
      </c>
      <c r="AM18" s="706">
        <v>0</v>
      </c>
      <c r="AN18" s="706"/>
      <c r="AO18" s="706"/>
      <c r="AP18" s="706"/>
      <c r="AQ18" s="706"/>
      <c r="AR18" s="706"/>
      <c r="AS18" s="706"/>
      <c r="AT18" s="704">
        <v>802.64163561670011</v>
      </c>
      <c r="AU18" s="706">
        <v>794.23426005541216</v>
      </c>
      <c r="AV18" s="706">
        <v>0</v>
      </c>
      <c r="AW18" s="706">
        <v>8.4073755612878571</v>
      </c>
      <c r="AX18" s="706">
        <v>0</v>
      </c>
      <c r="AY18" s="706">
        <v>0</v>
      </c>
      <c r="AZ18" s="704">
        <v>268.72551829559569</v>
      </c>
      <c r="BA18" s="706"/>
      <c r="BB18" s="706"/>
      <c r="BC18" s="706"/>
      <c r="BD18" s="706">
        <v>0</v>
      </c>
      <c r="BE18" s="706"/>
      <c r="BF18" s="706">
        <v>143.92853730772904</v>
      </c>
      <c r="BG18" s="706">
        <v>0</v>
      </c>
      <c r="BH18" s="706">
        <v>3.9409572943536828</v>
      </c>
      <c r="BI18" s="706">
        <v>120.85602369351294</v>
      </c>
      <c r="BJ18" s="706">
        <v>0</v>
      </c>
      <c r="BK18" s="706">
        <v>0</v>
      </c>
      <c r="BL18" s="706">
        <v>0</v>
      </c>
      <c r="BM18" s="706">
        <v>0</v>
      </c>
      <c r="BN18" s="706">
        <v>0</v>
      </c>
      <c r="BO18" s="704">
        <v>120.6410623865482</v>
      </c>
      <c r="BP18" s="706">
        <v>2.746727811216203</v>
      </c>
      <c r="BQ18" s="706">
        <v>117.894334575332</v>
      </c>
      <c r="BR18" s="705">
        <v>0</v>
      </c>
      <c r="BS18" s="705">
        <v>39.075188688258336</v>
      </c>
      <c r="BT18" s="704">
        <v>72.752460112735264</v>
      </c>
    </row>
    <row r="19" spans="1:72">
      <c r="A19" s="688" t="s">
        <v>968</v>
      </c>
      <c r="B19" s="687" t="s">
        <v>1222</v>
      </c>
      <c r="C19" s="687"/>
      <c r="D19" s="687"/>
      <c r="E19" s="687"/>
      <c r="F19" s="686" t="s">
        <v>1264</v>
      </c>
      <c r="G19" s="686"/>
      <c r="H19" s="685">
        <v>1045.0702206936085</v>
      </c>
      <c r="I19" s="682">
        <v>17.459635043469952</v>
      </c>
      <c r="J19" s="684">
        <v>0</v>
      </c>
      <c r="K19" s="684">
        <v>0</v>
      </c>
      <c r="L19" s="684">
        <v>17.459635043469952</v>
      </c>
      <c r="M19" s="684">
        <v>0</v>
      </c>
      <c r="N19" s="684">
        <v>0</v>
      </c>
      <c r="O19" s="684">
        <v>0</v>
      </c>
      <c r="P19" s="684">
        <v>0</v>
      </c>
      <c r="Q19" s="684">
        <v>0</v>
      </c>
      <c r="R19" s="684">
        <v>0</v>
      </c>
      <c r="S19" s="684">
        <v>0</v>
      </c>
      <c r="T19" s="684">
        <v>0</v>
      </c>
      <c r="U19" s="684">
        <v>0</v>
      </c>
      <c r="V19" s="684">
        <v>0</v>
      </c>
      <c r="W19" s="682">
        <v>3.0811120664946974</v>
      </c>
      <c r="X19" s="684"/>
      <c r="Y19" s="684"/>
      <c r="Z19" s="684"/>
      <c r="AA19" s="684"/>
      <c r="AB19" s="684"/>
      <c r="AC19" s="684"/>
      <c r="AD19" s="684"/>
      <c r="AE19" s="684"/>
      <c r="AF19" s="684"/>
      <c r="AG19" s="684"/>
      <c r="AH19" s="684"/>
      <c r="AI19" s="684"/>
      <c r="AJ19" s="684"/>
      <c r="AK19" s="684"/>
      <c r="AL19" s="684">
        <v>3.0811120664946974</v>
      </c>
      <c r="AM19" s="684">
        <v>0</v>
      </c>
      <c r="AN19" s="684"/>
      <c r="AO19" s="684"/>
      <c r="AP19" s="684"/>
      <c r="AQ19" s="684"/>
      <c r="AR19" s="684"/>
      <c r="AS19" s="684"/>
      <c r="AT19" s="682">
        <v>785.9224228527753</v>
      </c>
      <c r="AU19" s="684">
        <v>778.06439285373074</v>
      </c>
      <c r="AV19" s="684">
        <v>0</v>
      </c>
      <c r="AW19" s="684">
        <v>7.8580299990446161</v>
      </c>
      <c r="AX19" s="684">
        <v>0</v>
      </c>
      <c r="AY19" s="684">
        <v>0</v>
      </c>
      <c r="AZ19" s="682">
        <v>114.62214579153529</v>
      </c>
      <c r="BA19" s="684"/>
      <c r="BB19" s="684"/>
      <c r="BC19" s="684"/>
      <c r="BD19" s="684">
        <v>0</v>
      </c>
      <c r="BE19" s="684"/>
      <c r="BF19" s="684">
        <v>30.357313461354732</v>
      </c>
      <c r="BG19" s="684"/>
      <c r="BH19" s="684">
        <v>2.1018438903219643</v>
      </c>
      <c r="BI19" s="684">
        <v>82.162988439858594</v>
      </c>
      <c r="BJ19" s="684">
        <v>0</v>
      </c>
      <c r="BK19" s="684">
        <v>0</v>
      </c>
      <c r="BL19" s="684">
        <v>0</v>
      </c>
      <c r="BM19" s="684">
        <v>0</v>
      </c>
      <c r="BN19" s="684">
        <v>0</v>
      </c>
      <c r="BO19" s="682">
        <v>84.909716251074798</v>
      </c>
      <c r="BP19" s="684">
        <v>2.746727811216203</v>
      </c>
      <c r="BQ19" s="684">
        <v>82.162988439858594</v>
      </c>
      <c r="BR19" s="683"/>
      <c r="BS19" s="683">
        <v>39.075188688258336</v>
      </c>
      <c r="BT19" s="682"/>
    </row>
    <row r="20" spans="1:72">
      <c r="A20" s="681"/>
      <c r="B20" s="680" t="s">
        <v>968</v>
      </c>
      <c r="C20" s="679" t="s">
        <v>1220</v>
      </c>
      <c r="D20" s="679"/>
      <c r="E20" s="679"/>
      <c r="F20" s="678" t="s">
        <v>1263</v>
      </c>
      <c r="G20" s="678"/>
      <c r="H20" s="677">
        <v>191.74548581255374</v>
      </c>
      <c r="I20" s="674">
        <v>17.459635043469952</v>
      </c>
      <c r="J20" s="676">
        <v>0</v>
      </c>
      <c r="K20" s="676">
        <v>0</v>
      </c>
      <c r="L20" s="676">
        <v>17.459635043469952</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7.8580299990446161</v>
      </c>
      <c r="AU20" s="676">
        <v>0</v>
      </c>
      <c r="AV20" s="676">
        <v>0</v>
      </c>
      <c r="AW20" s="676">
        <v>7.8580299990446161</v>
      </c>
      <c r="AX20" s="676">
        <v>0</v>
      </c>
      <c r="AY20" s="676">
        <v>0</v>
      </c>
      <c r="AZ20" s="674">
        <v>84.264832330180568</v>
      </c>
      <c r="BA20" s="676"/>
      <c r="BB20" s="676"/>
      <c r="BC20" s="676"/>
      <c r="BD20" s="676">
        <v>0</v>
      </c>
      <c r="BE20" s="676"/>
      <c r="BF20" s="676">
        <v>0</v>
      </c>
      <c r="BG20" s="676"/>
      <c r="BH20" s="676">
        <v>2.1018438903219643</v>
      </c>
      <c r="BI20" s="676">
        <v>82.162988439858594</v>
      </c>
      <c r="BJ20" s="676">
        <v>0</v>
      </c>
      <c r="BK20" s="676">
        <v>0</v>
      </c>
      <c r="BL20" s="676">
        <v>0</v>
      </c>
      <c r="BM20" s="676">
        <v>0</v>
      </c>
      <c r="BN20" s="676">
        <v>0</v>
      </c>
      <c r="BO20" s="674">
        <v>82.162988439858594</v>
      </c>
      <c r="BP20" s="676">
        <v>0</v>
      </c>
      <c r="BQ20" s="676">
        <v>82.162988439858594</v>
      </c>
      <c r="BR20" s="675"/>
      <c r="BS20" s="675"/>
      <c r="BT20" s="674"/>
    </row>
    <row r="21" spans="1:72">
      <c r="A21" s="681"/>
      <c r="B21" s="680"/>
      <c r="C21" s="680" t="s">
        <v>968</v>
      </c>
      <c r="D21" s="679" t="s">
        <v>1262</v>
      </c>
      <c r="E21" s="679"/>
      <c r="F21" s="678" t="s">
        <v>1261</v>
      </c>
      <c r="G21" s="678"/>
      <c r="H21" s="677">
        <v>9.0522594821820963</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7.8580299990446161</v>
      </c>
      <c r="AU21" s="676">
        <v>0</v>
      </c>
      <c r="AV21" s="676">
        <v>0</v>
      </c>
      <c r="AW21" s="676">
        <v>7.8580299990446161</v>
      </c>
      <c r="AX21" s="676">
        <v>0</v>
      </c>
      <c r="AY21" s="676">
        <v>0</v>
      </c>
      <c r="AZ21" s="674">
        <v>1.1942294831374796</v>
      </c>
      <c r="BA21" s="676"/>
      <c r="BB21" s="676"/>
      <c r="BC21" s="676"/>
      <c r="BD21" s="676">
        <v>0</v>
      </c>
      <c r="BE21" s="676"/>
      <c r="BF21" s="676">
        <v>0</v>
      </c>
      <c r="BG21" s="676"/>
      <c r="BH21" s="676">
        <v>1.1942294831374796</v>
      </c>
      <c r="BI21" s="676">
        <v>0</v>
      </c>
      <c r="BJ21" s="676">
        <v>0</v>
      </c>
      <c r="BK21" s="676">
        <v>0</v>
      </c>
      <c r="BL21" s="676">
        <v>0</v>
      </c>
      <c r="BM21" s="676">
        <v>0</v>
      </c>
      <c r="BN21" s="676">
        <v>0</v>
      </c>
      <c r="BO21" s="674">
        <v>0</v>
      </c>
      <c r="BP21" s="676">
        <v>0</v>
      </c>
      <c r="BQ21" s="676">
        <v>0</v>
      </c>
      <c r="BR21" s="675"/>
      <c r="BS21" s="675"/>
      <c r="BT21" s="674"/>
    </row>
    <row r="22" spans="1:72">
      <c r="A22" s="681"/>
      <c r="B22" s="680"/>
      <c r="C22" s="680" t="s">
        <v>968</v>
      </c>
      <c r="D22" s="679" t="s">
        <v>1260</v>
      </c>
      <c r="E22" s="679"/>
      <c r="F22" s="678" t="s">
        <v>1259</v>
      </c>
      <c r="G22" s="678"/>
      <c r="H22" s="677">
        <v>182.69322633037163</v>
      </c>
      <c r="I22" s="674">
        <v>17.459635043469952</v>
      </c>
      <c r="J22" s="676">
        <v>0</v>
      </c>
      <c r="K22" s="676">
        <v>0</v>
      </c>
      <c r="L22" s="676">
        <v>17.459635043469952</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83.070602847043077</v>
      </c>
      <c r="BA22" s="676"/>
      <c r="BB22" s="676"/>
      <c r="BC22" s="676"/>
      <c r="BD22" s="676">
        <v>0</v>
      </c>
      <c r="BE22" s="676"/>
      <c r="BF22" s="676">
        <v>0</v>
      </c>
      <c r="BG22" s="676"/>
      <c r="BH22" s="676">
        <v>0.9076144071844845</v>
      </c>
      <c r="BI22" s="676">
        <v>82.162988439858594</v>
      </c>
      <c r="BJ22" s="676">
        <v>0</v>
      </c>
      <c r="BK22" s="676">
        <v>0</v>
      </c>
      <c r="BL22" s="676">
        <v>0</v>
      </c>
      <c r="BM22" s="676">
        <v>0</v>
      </c>
      <c r="BN22" s="676">
        <v>0</v>
      </c>
      <c r="BO22" s="674">
        <v>82.162988439858594</v>
      </c>
      <c r="BP22" s="676">
        <v>0</v>
      </c>
      <c r="BQ22" s="676">
        <v>82.162988439858594</v>
      </c>
      <c r="BR22" s="675"/>
      <c r="BS22" s="675"/>
      <c r="BT22" s="674"/>
    </row>
    <row r="23" spans="1:72">
      <c r="A23" s="681"/>
      <c r="B23" s="680" t="s">
        <v>968</v>
      </c>
      <c r="C23" s="679" t="s">
        <v>1190</v>
      </c>
      <c r="D23" s="679"/>
      <c r="E23" s="679"/>
      <c r="F23" s="678" t="s">
        <v>1258</v>
      </c>
      <c r="G23" s="678"/>
      <c r="H23" s="677">
        <v>814.2495461927964</v>
      </c>
      <c r="I23" s="674">
        <v>0</v>
      </c>
      <c r="J23" s="676">
        <v>0</v>
      </c>
      <c r="K23" s="676">
        <v>0</v>
      </c>
      <c r="L23" s="676">
        <v>0</v>
      </c>
      <c r="M23" s="676">
        <v>0</v>
      </c>
      <c r="N23" s="676">
        <v>0</v>
      </c>
      <c r="O23" s="676">
        <v>0</v>
      </c>
      <c r="P23" s="676">
        <v>0</v>
      </c>
      <c r="Q23" s="676">
        <v>0</v>
      </c>
      <c r="R23" s="676">
        <v>0</v>
      </c>
      <c r="S23" s="676">
        <v>0</v>
      </c>
      <c r="T23" s="676">
        <v>0</v>
      </c>
      <c r="U23" s="676">
        <v>0</v>
      </c>
      <c r="V23" s="676">
        <v>0</v>
      </c>
      <c r="W23" s="674">
        <v>3.0811120664946974</v>
      </c>
      <c r="X23" s="676"/>
      <c r="Y23" s="676"/>
      <c r="Z23" s="676"/>
      <c r="AA23" s="676"/>
      <c r="AB23" s="676"/>
      <c r="AC23" s="676"/>
      <c r="AD23" s="676"/>
      <c r="AE23" s="676"/>
      <c r="AF23" s="676"/>
      <c r="AG23" s="676"/>
      <c r="AH23" s="676"/>
      <c r="AI23" s="676"/>
      <c r="AJ23" s="676"/>
      <c r="AK23" s="676"/>
      <c r="AL23" s="676">
        <v>3.0811120664946974</v>
      </c>
      <c r="AM23" s="676">
        <v>0</v>
      </c>
      <c r="AN23" s="676"/>
      <c r="AO23" s="676"/>
      <c r="AP23" s="676"/>
      <c r="AQ23" s="676"/>
      <c r="AR23" s="676"/>
      <c r="AS23" s="676"/>
      <c r="AT23" s="674">
        <v>778.06439285373074</v>
      </c>
      <c r="AU23" s="676">
        <v>778.06439285373074</v>
      </c>
      <c r="AV23" s="676">
        <v>0</v>
      </c>
      <c r="AW23" s="676">
        <v>0</v>
      </c>
      <c r="AX23" s="676">
        <v>0</v>
      </c>
      <c r="AY23" s="676">
        <v>0</v>
      </c>
      <c r="AZ23" s="674">
        <v>30.357313461354732</v>
      </c>
      <c r="BA23" s="676"/>
      <c r="BB23" s="676"/>
      <c r="BC23" s="676"/>
      <c r="BD23" s="676">
        <v>0</v>
      </c>
      <c r="BE23" s="676"/>
      <c r="BF23" s="676">
        <v>30.357313461354732</v>
      </c>
      <c r="BG23" s="676"/>
      <c r="BH23" s="676">
        <v>0</v>
      </c>
      <c r="BI23" s="676">
        <v>0</v>
      </c>
      <c r="BJ23" s="676">
        <v>0</v>
      </c>
      <c r="BK23" s="676">
        <v>0</v>
      </c>
      <c r="BL23" s="676">
        <v>0</v>
      </c>
      <c r="BM23" s="676">
        <v>0</v>
      </c>
      <c r="BN23" s="676">
        <v>0</v>
      </c>
      <c r="BO23" s="674">
        <v>2.746727811216203</v>
      </c>
      <c r="BP23" s="676">
        <v>2.746727811216203</v>
      </c>
      <c r="BQ23" s="676">
        <v>0</v>
      </c>
      <c r="BR23" s="675"/>
      <c r="BS23" s="675"/>
      <c r="BT23" s="674"/>
    </row>
    <row r="24" spans="1:72">
      <c r="A24" s="681"/>
      <c r="B24" s="680"/>
      <c r="C24" s="680" t="s">
        <v>968</v>
      </c>
      <c r="D24" s="679" t="s">
        <v>1257</v>
      </c>
      <c r="E24" s="679"/>
      <c r="F24" s="678" t="s">
        <v>1256</v>
      </c>
      <c r="G24" s="678"/>
      <c r="H24" s="677">
        <v>814.2495461927964</v>
      </c>
      <c r="I24" s="674">
        <v>0</v>
      </c>
      <c r="J24" s="676">
        <v>0</v>
      </c>
      <c r="K24" s="676">
        <v>0</v>
      </c>
      <c r="L24" s="676">
        <v>0</v>
      </c>
      <c r="M24" s="676">
        <v>0</v>
      </c>
      <c r="N24" s="676">
        <v>0</v>
      </c>
      <c r="O24" s="676">
        <v>0</v>
      </c>
      <c r="P24" s="676">
        <v>0</v>
      </c>
      <c r="Q24" s="676">
        <v>0</v>
      </c>
      <c r="R24" s="676">
        <v>0</v>
      </c>
      <c r="S24" s="676">
        <v>0</v>
      </c>
      <c r="T24" s="676">
        <v>0</v>
      </c>
      <c r="U24" s="676">
        <v>0</v>
      </c>
      <c r="V24" s="676">
        <v>0</v>
      </c>
      <c r="W24" s="674">
        <v>3.0811120664946974</v>
      </c>
      <c r="X24" s="676"/>
      <c r="Y24" s="676"/>
      <c r="Z24" s="676"/>
      <c r="AA24" s="676"/>
      <c r="AB24" s="676"/>
      <c r="AC24" s="676"/>
      <c r="AD24" s="676"/>
      <c r="AE24" s="676"/>
      <c r="AF24" s="676"/>
      <c r="AG24" s="676"/>
      <c r="AH24" s="676"/>
      <c r="AI24" s="676"/>
      <c r="AJ24" s="676"/>
      <c r="AK24" s="676"/>
      <c r="AL24" s="676">
        <v>3.0811120664946974</v>
      </c>
      <c r="AM24" s="676">
        <v>0</v>
      </c>
      <c r="AN24" s="676"/>
      <c r="AO24" s="676"/>
      <c r="AP24" s="676"/>
      <c r="AQ24" s="676"/>
      <c r="AR24" s="676"/>
      <c r="AS24" s="676"/>
      <c r="AT24" s="674">
        <v>778.06439285373074</v>
      </c>
      <c r="AU24" s="676">
        <v>778.06439285373074</v>
      </c>
      <c r="AV24" s="676">
        <v>0</v>
      </c>
      <c r="AW24" s="676">
        <v>0</v>
      </c>
      <c r="AX24" s="676">
        <v>0</v>
      </c>
      <c r="AY24" s="676">
        <v>0</v>
      </c>
      <c r="AZ24" s="674">
        <v>30.357313461354732</v>
      </c>
      <c r="BA24" s="676"/>
      <c r="BB24" s="676"/>
      <c r="BC24" s="676"/>
      <c r="BD24" s="676">
        <v>0</v>
      </c>
      <c r="BE24" s="676"/>
      <c r="BF24" s="676">
        <v>30.357313461354732</v>
      </c>
      <c r="BG24" s="676"/>
      <c r="BH24" s="676">
        <v>0</v>
      </c>
      <c r="BI24" s="676">
        <v>0</v>
      </c>
      <c r="BJ24" s="676">
        <v>0</v>
      </c>
      <c r="BK24" s="676">
        <v>0</v>
      </c>
      <c r="BL24" s="676">
        <v>0</v>
      </c>
      <c r="BM24" s="676">
        <v>0</v>
      </c>
      <c r="BN24" s="676">
        <v>0</v>
      </c>
      <c r="BO24" s="674">
        <v>2.746727811216203</v>
      </c>
      <c r="BP24" s="676">
        <v>2.746727811216203</v>
      </c>
      <c r="BQ24" s="676">
        <v>0</v>
      </c>
      <c r="BR24" s="675"/>
      <c r="BS24" s="675"/>
      <c r="BT24" s="674"/>
    </row>
    <row r="25" spans="1:72">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c r="A26" s="681"/>
      <c r="B26" s="680" t="s">
        <v>968</v>
      </c>
      <c r="C26" s="679" t="s">
        <v>1253</v>
      </c>
      <c r="D26" s="679"/>
      <c r="E26" s="679"/>
      <c r="F26" s="678" t="s">
        <v>1252</v>
      </c>
      <c r="G26" s="678"/>
      <c r="H26" s="677">
        <v>39.075188688258336</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39.075188688258336</v>
      </c>
      <c r="BT26" s="674"/>
    </row>
    <row r="27" spans="1:72">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c r="A29" s="680" t="s">
        <v>968</v>
      </c>
      <c r="B29" s="679" t="s">
        <v>1138</v>
      </c>
      <c r="C29" s="679"/>
      <c r="D29" s="679"/>
      <c r="E29" s="679"/>
      <c r="F29" s="678" t="s">
        <v>1248</v>
      </c>
      <c r="G29" s="678"/>
      <c r="H29" s="677">
        <v>59.400974491258239</v>
      </c>
      <c r="I29" s="674">
        <v>59.400974491258239</v>
      </c>
      <c r="J29" s="676"/>
      <c r="K29" s="676"/>
      <c r="L29" s="676"/>
      <c r="M29" s="676"/>
      <c r="N29" s="676"/>
      <c r="O29" s="676"/>
      <c r="P29" s="676">
        <v>59.400974491258239</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c r="A31" s="680" t="s">
        <v>968</v>
      </c>
      <c r="B31" s="679" t="s">
        <v>287</v>
      </c>
      <c r="C31" s="679"/>
      <c r="D31" s="679"/>
      <c r="E31" s="679"/>
      <c r="F31" s="678" t="s">
        <v>1246</v>
      </c>
      <c r="G31" s="678"/>
      <c r="H31" s="677">
        <v>14534.728193369638</v>
      </c>
      <c r="I31" s="674"/>
      <c r="J31" s="676"/>
      <c r="K31" s="676"/>
      <c r="L31" s="676"/>
      <c r="M31" s="676"/>
      <c r="N31" s="676"/>
      <c r="O31" s="676"/>
      <c r="P31" s="676"/>
      <c r="Q31" s="676"/>
      <c r="R31" s="676"/>
      <c r="S31" s="676"/>
      <c r="T31" s="676"/>
      <c r="U31" s="676"/>
      <c r="V31" s="676"/>
      <c r="W31" s="674">
        <v>14534.728193369638</v>
      </c>
      <c r="X31" s="676">
        <v>12868.993025699818</v>
      </c>
      <c r="Y31" s="676"/>
      <c r="Z31" s="676">
        <v>1548.8201012706602</v>
      </c>
      <c r="AA31" s="676">
        <v>116.8911818094965</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c r="A32" s="680" t="s">
        <v>968</v>
      </c>
      <c r="B32" s="679" t="s">
        <v>1245</v>
      </c>
      <c r="C32" s="679"/>
      <c r="D32" s="679"/>
      <c r="E32" s="679"/>
      <c r="F32" s="678" t="s">
        <v>1244</v>
      </c>
      <c r="G32" s="678"/>
      <c r="H32" s="677">
        <v>359.10480557944015</v>
      </c>
      <c r="I32" s="674">
        <v>0</v>
      </c>
      <c r="J32" s="676">
        <v>0</v>
      </c>
      <c r="K32" s="676">
        <v>0</v>
      </c>
      <c r="L32" s="676">
        <v>0</v>
      </c>
      <c r="M32" s="676">
        <v>0</v>
      </c>
      <c r="N32" s="676">
        <v>0</v>
      </c>
      <c r="O32" s="676">
        <v>0</v>
      </c>
      <c r="P32" s="676">
        <v>0</v>
      </c>
      <c r="Q32" s="676">
        <v>0</v>
      </c>
      <c r="R32" s="676">
        <v>0</v>
      </c>
      <c r="S32" s="676">
        <v>0</v>
      </c>
      <c r="T32" s="676">
        <v>0</v>
      </c>
      <c r="U32" s="676">
        <v>0</v>
      </c>
      <c r="V32" s="676">
        <v>0</v>
      </c>
      <c r="W32" s="674">
        <v>79.82229865290914</v>
      </c>
      <c r="X32" s="676"/>
      <c r="Y32" s="676"/>
      <c r="Z32" s="676"/>
      <c r="AA32" s="676"/>
      <c r="AB32" s="676"/>
      <c r="AC32" s="676"/>
      <c r="AD32" s="676"/>
      <c r="AE32" s="676">
        <v>13.208178083500524</v>
      </c>
      <c r="AF32" s="676"/>
      <c r="AG32" s="676"/>
      <c r="AH32" s="676"/>
      <c r="AI32" s="676"/>
      <c r="AJ32" s="676"/>
      <c r="AK32" s="676"/>
      <c r="AL32" s="676">
        <v>66.59023597974587</v>
      </c>
      <c r="AM32" s="676">
        <v>0</v>
      </c>
      <c r="AN32" s="676"/>
      <c r="AO32" s="676"/>
      <c r="AP32" s="676"/>
      <c r="AQ32" s="676"/>
      <c r="AR32" s="676"/>
      <c r="AS32" s="676"/>
      <c r="AT32" s="674">
        <v>16.719212763924716</v>
      </c>
      <c r="AU32" s="676">
        <v>16.169867201681473</v>
      </c>
      <c r="AV32" s="676">
        <v>0</v>
      </c>
      <c r="AW32" s="676">
        <v>0.5493455622432406</v>
      </c>
      <c r="AX32" s="676">
        <v>0</v>
      </c>
      <c r="AY32" s="676">
        <v>0</v>
      </c>
      <c r="AZ32" s="674">
        <v>154.10337250406036</v>
      </c>
      <c r="BA32" s="676"/>
      <c r="BB32" s="676"/>
      <c r="BC32" s="676"/>
      <c r="BD32" s="676">
        <v>0</v>
      </c>
      <c r="BE32" s="676"/>
      <c r="BF32" s="676">
        <v>113.57122384637431</v>
      </c>
      <c r="BG32" s="676"/>
      <c r="BH32" s="676">
        <v>1.8391134040317187</v>
      </c>
      <c r="BI32" s="676">
        <v>38.693035253654344</v>
      </c>
      <c r="BJ32" s="676">
        <v>0</v>
      </c>
      <c r="BK32" s="676">
        <v>0</v>
      </c>
      <c r="BL32" s="676">
        <v>0</v>
      </c>
      <c r="BM32" s="676">
        <v>0</v>
      </c>
      <c r="BN32" s="676">
        <v>0</v>
      </c>
      <c r="BO32" s="674">
        <v>35.731346135473387</v>
      </c>
      <c r="BP32" s="676">
        <v>0</v>
      </c>
      <c r="BQ32" s="676">
        <v>35.731346135473387</v>
      </c>
      <c r="BR32" s="675"/>
      <c r="BS32" s="675"/>
      <c r="BT32" s="674">
        <v>72.752460112735264</v>
      </c>
    </row>
    <row r="33" spans="1:72">
      <c r="A33" s="681"/>
      <c r="B33" s="680" t="s">
        <v>968</v>
      </c>
      <c r="C33" s="679" t="s">
        <v>1243</v>
      </c>
      <c r="D33" s="679"/>
      <c r="E33" s="679"/>
      <c r="F33" s="678" t="s">
        <v>1242</v>
      </c>
      <c r="G33" s="678"/>
      <c r="H33" s="677">
        <v>286.3762300563676</v>
      </c>
      <c r="I33" s="674">
        <v>0</v>
      </c>
      <c r="J33" s="676">
        <v>0</v>
      </c>
      <c r="K33" s="676">
        <v>0</v>
      </c>
      <c r="L33" s="676">
        <v>0</v>
      </c>
      <c r="M33" s="676">
        <v>0</v>
      </c>
      <c r="N33" s="676">
        <v>0</v>
      </c>
      <c r="O33" s="676">
        <v>0</v>
      </c>
      <c r="P33" s="676">
        <v>0</v>
      </c>
      <c r="Q33" s="676">
        <v>0</v>
      </c>
      <c r="R33" s="676">
        <v>0</v>
      </c>
      <c r="S33" s="676">
        <v>0</v>
      </c>
      <c r="T33" s="676">
        <v>0</v>
      </c>
      <c r="U33" s="676">
        <v>0</v>
      </c>
      <c r="V33" s="676">
        <v>0</v>
      </c>
      <c r="W33" s="674">
        <v>79.82229865290914</v>
      </c>
      <c r="X33" s="676"/>
      <c r="Y33" s="676"/>
      <c r="Z33" s="676"/>
      <c r="AA33" s="676"/>
      <c r="AB33" s="676"/>
      <c r="AC33" s="676"/>
      <c r="AD33" s="676"/>
      <c r="AE33" s="676">
        <v>13.208178083500524</v>
      </c>
      <c r="AF33" s="676"/>
      <c r="AG33" s="676"/>
      <c r="AH33" s="676"/>
      <c r="AI33" s="676"/>
      <c r="AJ33" s="676"/>
      <c r="AK33" s="676"/>
      <c r="AL33" s="676">
        <v>66.59023597974587</v>
      </c>
      <c r="AM33" s="676">
        <v>0</v>
      </c>
      <c r="AN33" s="676"/>
      <c r="AO33" s="676"/>
      <c r="AP33" s="676"/>
      <c r="AQ33" s="676"/>
      <c r="AR33" s="676"/>
      <c r="AS33" s="676"/>
      <c r="AT33" s="674">
        <v>16.719212763924716</v>
      </c>
      <c r="AU33" s="676">
        <v>16.169867201681473</v>
      </c>
      <c r="AV33" s="676">
        <v>0</v>
      </c>
      <c r="AW33" s="676">
        <v>0.5493455622432406</v>
      </c>
      <c r="AX33" s="676">
        <v>0</v>
      </c>
      <c r="AY33" s="676">
        <v>0</v>
      </c>
      <c r="AZ33" s="674">
        <v>154.10337250406036</v>
      </c>
      <c r="BA33" s="676"/>
      <c r="BB33" s="676"/>
      <c r="BC33" s="676"/>
      <c r="BD33" s="676">
        <v>0</v>
      </c>
      <c r="BE33" s="676"/>
      <c r="BF33" s="676">
        <v>113.57122384637431</v>
      </c>
      <c r="BG33" s="676"/>
      <c r="BH33" s="676">
        <v>1.8391134040317187</v>
      </c>
      <c r="BI33" s="676">
        <v>38.693035253654344</v>
      </c>
      <c r="BJ33" s="676">
        <v>0</v>
      </c>
      <c r="BK33" s="676">
        <v>0</v>
      </c>
      <c r="BL33" s="676">
        <v>0</v>
      </c>
      <c r="BM33" s="676">
        <v>0</v>
      </c>
      <c r="BN33" s="676">
        <v>0</v>
      </c>
      <c r="BO33" s="674">
        <v>35.731346135473387</v>
      </c>
      <c r="BP33" s="676">
        <v>0</v>
      </c>
      <c r="BQ33" s="676">
        <v>35.731346135473387</v>
      </c>
      <c r="BR33" s="675"/>
      <c r="BS33" s="675"/>
      <c r="BT33" s="674"/>
    </row>
    <row r="34" spans="1:72">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c r="A35" s="681"/>
      <c r="B35" s="680" t="s">
        <v>968</v>
      </c>
      <c r="C35" s="679" t="s">
        <v>1239</v>
      </c>
      <c r="D35" s="679"/>
      <c r="E35" s="679"/>
      <c r="F35" s="678" t="s">
        <v>1238</v>
      </c>
      <c r="G35" s="678"/>
      <c r="H35" s="677">
        <v>15.310021973822488</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15.310021973822488</v>
      </c>
    </row>
    <row r="36" spans="1:72">
      <c r="A36" s="681"/>
      <c r="B36" s="680" t="s">
        <v>968</v>
      </c>
      <c r="C36" s="679" t="s">
        <v>1237</v>
      </c>
      <c r="D36" s="679"/>
      <c r="E36" s="679"/>
      <c r="F36" s="678" t="s">
        <v>1236</v>
      </c>
      <c r="G36" s="678"/>
      <c r="H36" s="677">
        <v>57.44243813891277</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57.44243813891277</v>
      </c>
    </row>
    <row r="37" spans="1:72">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c r="A44" s="722" t="s">
        <v>1224</v>
      </c>
      <c r="B44" s="722"/>
      <c r="C44" s="722"/>
      <c r="D44" s="722"/>
      <c r="E44" s="722"/>
      <c r="F44" s="721" t="s">
        <v>1223</v>
      </c>
      <c r="G44" s="721"/>
      <c r="H44" s="720">
        <v>15589.423903697334</v>
      </c>
      <c r="I44" s="717">
        <v>0</v>
      </c>
      <c r="J44" s="719"/>
      <c r="K44" s="719"/>
      <c r="L44" s="719"/>
      <c r="M44" s="719"/>
      <c r="N44" s="719"/>
      <c r="O44" s="719">
        <v>0</v>
      </c>
      <c r="P44" s="719">
        <v>0</v>
      </c>
      <c r="Q44" s="719">
        <v>0</v>
      </c>
      <c r="R44" s="719">
        <v>0</v>
      </c>
      <c r="S44" s="719">
        <v>0</v>
      </c>
      <c r="T44" s="719"/>
      <c r="U44" s="719">
        <v>0</v>
      </c>
      <c r="V44" s="719"/>
      <c r="W44" s="717">
        <v>14516.169867201681</v>
      </c>
      <c r="X44" s="719"/>
      <c r="Y44" s="719"/>
      <c r="Z44" s="719"/>
      <c r="AA44" s="719"/>
      <c r="AB44" s="719"/>
      <c r="AC44" s="719">
        <v>444.58775198242091</v>
      </c>
      <c r="AD44" s="719"/>
      <c r="AE44" s="719">
        <v>434.93837775867007</v>
      </c>
      <c r="AF44" s="719">
        <v>3565.778159931212</v>
      </c>
      <c r="AG44" s="719"/>
      <c r="AH44" s="719"/>
      <c r="AI44" s="719">
        <v>489.89681857265691</v>
      </c>
      <c r="AJ44" s="719">
        <v>188.37775867010603</v>
      </c>
      <c r="AK44" s="719">
        <v>1613.6906467946881</v>
      </c>
      <c r="AL44" s="719">
        <v>5856.8835387408044</v>
      </c>
      <c r="AM44" s="719">
        <v>1786.5673067736695</v>
      </c>
      <c r="AN44" s="719"/>
      <c r="AO44" s="719"/>
      <c r="AP44" s="719"/>
      <c r="AQ44" s="719">
        <v>135.42562338779018</v>
      </c>
      <c r="AR44" s="719"/>
      <c r="AS44" s="719"/>
      <c r="AT44" s="717">
        <v>59.400974491258239</v>
      </c>
      <c r="AU44" s="719"/>
      <c r="AV44" s="719">
        <v>0</v>
      </c>
      <c r="AW44" s="719">
        <v>59.400974491258239</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531.57542753415498</v>
      </c>
      <c r="BT44" s="717">
        <v>482.27763447023978</v>
      </c>
    </row>
    <row r="45" spans="1:72">
      <c r="A45" s="688" t="s">
        <v>968</v>
      </c>
      <c r="B45" s="687" t="s">
        <v>1222</v>
      </c>
      <c r="C45" s="687"/>
      <c r="D45" s="687"/>
      <c r="E45" s="687"/>
      <c r="F45" s="686" t="s">
        <v>1221</v>
      </c>
      <c r="G45" s="686"/>
      <c r="H45" s="685">
        <v>621.83529186968565</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139.55765739944587</v>
      </c>
      <c r="BT45" s="682">
        <v>482.27763447023978</v>
      </c>
    </row>
    <row r="46" spans="1:72">
      <c r="A46" s="681"/>
      <c r="B46" s="680" t="s">
        <v>968</v>
      </c>
      <c r="C46" s="679" t="s">
        <v>1220</v>
      </c>
      <c r="D46" s="679"/>
      <c r="E46" s="679"/>
      <c r="F46" s="678" t="s">
        <v>1219</v>
      </c>
      <c r="G46" s="678"/>
      <c r="H46" s="677">
        <v>168.09974204643163</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139.55765739944587</v>
      </c>
      <c r="BT46" s="674">
        <v>28.542084646985764</v>
      </c>
    </row>
    <row r="47" spans="1:72">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c r="A48" s="681"/>
      <c r="B48" s="679"/>
      <c r="C48" s="680" t="s">
        <v>968</v>
      </c>
      <c r="D48" s="679" t="s">
        <v>1216</v>
      </c>
      <c r="E48" s="679"/>
      <c r="F48" s="678" t="s">
        <v>1215</v>
      </c>
      <c r="G48" s="678"/>
      <c r="H48" s="677">
        <v>6.1144549536638957</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6.1144549536638957</v>
      </c>
    </row>
    <row r="49" spans="1:72">
      <c r="A49" s="681"/>
      <c r="B49" s="679"/>
      <c r="C49" s="680" t="s">
        <v>968</v>
      </c>
      <c r="D49" s="679" t="s">
        <v>1214</v>
      </c>
      <c r="E49" s="679"/>
      <c r="F49" s="678" t="s">
        <v>1213</v>
      </c>
      <c r="G49" s="678"/>
      <c r="H49" s="677">
        <v>2.4839973249259577</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2.4839973249259577</v>
      </c>
    </row>
    <row r="50" spans="1:72">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c r="A52" s="681"/>
      <c r="B52" s="679"/>
      <c r="C52" s="680" t="s">
        <v>968</v>
      </c>
      <c r="D52" s="679" t="s">
        <v>1208</v>
      </c>
      <c r="E52" s="679"/>
      <c r="F52" s="678" t="s">
        <v>1207</v>
      </c>
      <c r="G52" s="678"/>
      <c r="H52" s="677">
        <v>19.94363236839591</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19.94363236839591</v>
      </c>
    </row>
    <row r="53" spans="1:72">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c r="A56" s="681"/>
      <c r="B56" s="679"/>
      <c r="C56" s="680" t="s">
        <v>968</v>
      </c>
      <c r="D56" s="679" t="s">
        <v>1200</v>
      </c>
      <c r="E56" s="679"/>
      <c r="F56" s="678" t="s">
        <v>1199</v>
      </c>
      <c r="G56" s="678"/>
      <c r="H56" s="677">
        <v>138.29177414732015</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138.29177414732015</v>
      </c>
      <c r="BT56" s="674"/>
    </row>
    <row r="57" spans="1:72">
      <c r="A57" s="681"/>
      <c r="B57" s="679"/>
      <c r="C57" s="680" t="s">
        <v>968</v>
      </c>
      <c r="D57" s="679" t="s">
        <v>1198</v>
      </c>
      <c r="E57" s="679"/>
      <c r="F57" s="678" t="s">
        <v>1197</v>
      </c>
      <c r="G57" s="678"/>
      <c r="H57" s="677">
        <v>0.85984522785898532</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0.85984522785898532</v>
      </c>
      <c r="BT57" s="674"/>
    </row>
    <row r="58" spans="1:72">
      <c r="A58" s="681"/>
      <c r="B58" s="679"/>
      <c r="C58" s="680" t="s">
        <v>968</v>
      </c>
      <c r="D58" s="679" t="s">
        <v>1196</v>
      </c>
      <c r="E58" s="679"/>
      <c r="F58" s="678" t="s">
        <v>1195</v>
      </c>
      <c r="G58" s="678"/>
      <c r="H58" s="677">
        <v>0.40603802426674307</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0.40603802426674307</v>
      </c>
      <c r="BT58" s="674"/>
    </row>
    <row r="59" spans="1:72">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c r="A61" s="681"/>
      <c r="B61" s="680" t="s">
        <v>968</v>
      </c>
      <c r="C61" s="679" t="s">
        <v>1190</v>
      </c>
      <c r="D61" s="679"/>
      <c r="E61" s="679"/>
      <c r="F61" s="678" t="s">
        <v>1189</v>
      </c>
      <c r="G61" s="678"/>
      <c r="H61" s="677">
        <v>453.73554982325402</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453.73554982325402</v>
      </c>
    </row>
    <row r="62" spans="1:72">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c r="A63" s="681"/>
      <c r="B63" s="679"/>
      <c r="C63" s="680" t="s">
        <v>968</v>
      </c>
      <c r="D63" s="679" t="s">
        <v>1186</v>
      </c>
      <c r="E63" s="679"/>
      <c r="F63" s="678" t="s">
        <v>1185</v>
      </c>
      <c r="G63" s="678"/>
      <c r="H63" s="677">
        <v>442.91583070602843</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442.91583070602843</v>
      </c>
    </row>
    <row r="64" spans="1:72">
      <c r="A64" s="681"/>
      <c r="B64" s="679"/>
      <c r="C64" s="680" t="s">
        <v>968</v>
      </c>
      <c r="D64" s="679" t="s">
        <v>1184</v>
      </c>
      <c r="E64" s="679"/>
      <c r="F64" s="678" t="s">
        <v>1183</v>
      </c>
      <c r="G64" s="678"/>
      <c r="H64" s="677">
        <v>10.843603706888315</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10.843603706888315</v>
      </c>
    </row>
    <row r="65" spans="1:72">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c r="A87" s="680" t="s">
        <v>968</v>
      </c>
      <c r="B87" s="679" t="s">
        <v>1138</v>
      </c>
      <c r="C87" s="679"/>
      <c r="D87" s="679"/>
      <c r="E87" s="679"/>
      <c r="F87" s="678" t="s">
        <v>1137</v>
      </c>
      <c r="G87" s="678"/>
      <c r="H87" s="677">
        <v>59.400974491258239</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59.400974491258239</v>
      </c>
      <c r="AU87" s="676"/>
      <c r="AV87" s="676"/>
      <c r="AW87" s="676">
        <v>59.400974491258239</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c r="A89" s="680" t="s">
        <v>968</v>
      </c>
      <c r="B89" s="679" t="s">
        <v>287</v>
      </c>
      <c r="C89" s="679"/>
      <c r="D89" s="679"/>
      <c r="E89" s="679"/>
      <c r="F89" s="678" t="s">
        <v>1135</v>
      </c>
      <c r="G89" s="678"/>
      <c r="H89" s="677">
        <v>14516.169867201681</v>
      </c>
      <c r="I89" s="674"/>
      <c r="J89" s="676"/>
      <c r="K89" s="676"/>
      <c r="L89" s="676"/>
      <c r="M89" s="676"/>
      <c r="N89" s="676"/>
      <c r="O89" s="676"/>
      <c r="P89" s="676"/>
      <c r="Q89" s="676"/>
      <c r="R89" s="676"/>
      <c r="S89" s="676"/>
      <c r="T89" s="676"/>
      <c r="U89" s="676"/>
      <c r="V89" s="676"/>
      <c r="W89" s="674">
        <v>14516.169867201681</v>
      </c>
      <c r="X89" s="676"/>
      <c r="Y89" s="676"/>
      <c r="Z89" s="676"/>
      <c r="AA89" s="676"/>
      <c r="AB89" s="676"/>
      <c r="AC89" s="676">
        <v>444.58775198242091</v>
      </c>
      <c r="AD89" s="676"/>
      <c r="AE89" s="676">
        <v>434.93837775867007</v>
      </c>
      <c r="AF89" s="676">
        <v>3565.778159931212</v>
      </c>
      <c r="AG89" s="676"/>
      <c r="AH89" s="676"/>
      <c r="AI89" s="676">
        <v>489.89681857265691</v>
      </c>
      <c r="AJ89" s="676">
        <v>188.37775867010603</v>
      </c>
      <c r="AK89" s="676">
        <v>1613.6906467946881</v>
      </c>
      <c r="AL89" s="676">
        <v>5856.8835387408044</v>
      </c>
      <c r="AM89" s="676">
        <v>1786.5673067736695</v>
      </c>
      <c r="AN89" s="676"/>
      <c r="AO89" s="676"/>
      <c r="AP89" s="676"/>
      <c r="AQ89" s="676">
        <v>135.42562338779018</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c r="A93" s="680" t="s">
        <v>968</v>
      </c>
      <c r="B93" s="679" t="s">
        <v>1129</v>
      </c>
      <c r="C93" s="679"/>
      <c r="D93" s="679"/>
      <c r="E93" s="679"/>
      <c r="F93" s="678" t="s">
        <v>1128</v>
      </c>
      <c r="G93" s="678"/>
      <c r="H93" s="677">
        <v>392.01777013470905</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392.01777013470905</v>
      </c>
      <c r="BT93" s="674"/>
    </row>
    <row r="94" spans="1:72">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c r="A96" s="681"/>
      <c r="B96" s="680" t="s">
        <v>968</v>
      </c>
      <c r="C96" s="679" t="s">
        <v>1123</v>
      </c>
      <c r="D96" s="679"/>
      <c r="E96" s="679"/>
      <c r="F96" s="678" t="s">
        <v>1122</v>
      </c>
      <c r="G96" s="678"/>
      <c r="H96" s="677">
        <v>228.45610012419985</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228.45610012419985</v>
      </c>
      <c r="BT96" s="674"/>
    </row>
    <row r="97" spans="1:72">
      <c r="A97" s="681"/>
      <c r="B97" s="680" t="s">
        <v>968</v>
      </c>
      <c r="C97" s="679" t="s">
        <v>1121</v>
      </c>
      <c r="D97" s="679"/>
      <c r="E97" s="679"/>
      <c r="F97" s="678" t="s">
        <v>1120</v>
      </c>
      <c r="G97" s="678"/>
      <c r="H97" s="677">
        <v>43.971529569121998</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43.971529569121998</v>
      </c>
      <c r="BT97" s="674"/>
    </row>
    <row r="98" spans="1:72">
      <c r="A98" s="681"/>
      <c r="B98" s="680" t="s">
        <v>968</v>
      </c>
      <c r="C98" s="679" t="s">
        <v>1119</v>
      </c>
      <c r="D98" s="679"/>
      <c r="E98" s="679"/>
      <c r="F98" s="678" t="s">
        <v>1118</v>
      </c>
      <c r="G98" s="678"/>
      <c r="H98" s="677">
        <v>56.534823731728288</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56.534823731728288</v>
      </c>
      <c r="BT98" s="674"/>
    </row>
    <row r="99" spans="1:72">
      <c r="A99" s="681"/>
      <c r="B99" s="680" t="s">
        <v>968</v>
      </c>
      <c r="C99" s="679" t="s">
        <v>1117</v>
      </c>
      <c r="D99" s="679"/>
      <c r="E99" s="679"/>
      <c r="F99" s="678" t="s">
        <v>1116</v>
      </c>
      <c r="G99" s="678"/>
      <c r="H99" s="677">
        <v>23.980128021400592</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23.980128021400592</v>
      </c>
      <c r="BT99" s="674"/>
    </row>
    <row r="100" spans="1:72">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c r="A106" s="681"/>
      <c r="B106" s="680" t="s">
        <v>968</v>
      </c>
      <c r="C106" s="679" t="s">
        <v>1103</v>
      </c>
      <c r="D106" s="679"/>
      <c r="E106" s="679"/>
      <c r="F106" s="678" t="s">
        <v>1102</v>
      </c>
      <c r="G106" s="678"/>
      <c r="H106" s="677">
        <v>32.817426196617937</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32.817426196617937</v>
      </c>
      <c r="BT106" s="674"/>
    </row>
    <row r="107" spans="1:72">
      <c r="A107" s="681"/>
      <c r="B107" s="680" t="s">
        <v>968</v>
      </c>
      <c r="C107" s="679" t="s">
        <v>1101</v>
      </c>
      <c r="D107" s="679"/>
      <c r="E107" s="679"/>
      <c r="F107" s="678" t="s">
        <v>1100</v>
      </c>
      <c r="G107" s="678"/>
      <c r="H107" s="677">
        <v>6.2577624916403929</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6.2577624916403929</v>
      </c>
      <c r="BT107" s="674"/>
    </row>
    <row r="108" spans="1:72">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c r="A109" s="709" t="s">
        <v>1097</v>
      </c>
      <c r="B109" s="709"/>
      <c r="C109" s="709"/>
      <c r="D109" s="709"/>
      <c r="E109" s="709"/>
      <c r="F109" s="708" t="s">
        <v>1096</v>
      </c>
      <c r="G109" s="708"/>
      <c r="H109" s="707">
        <v>419.27008693990638</v>
      </c>
      <c r="I109" s="704"/>
      <c r="J109" s="706"/>
      <c r="K109" s="706"/>
      <c r="L109" s="706"/>
      <c r="M109" s="706"/>
      <c r="N109" s="706"/>
      <c r="O109" s="706"/>
      <c r="P109" s="706"/>
      <c r="Q109" s="706"/>
      <c r="R109" s="706"/>
      <c r="S109" s="706"/>
      <c r="T109" s="706"/>
      <c r="U109" s="706"/>
      <c r="V109" s="706"/>
      <c r="W109" s="704">
        <v>419.27008693990638</v>
      </c>
      <c r="X109" s="706">
        <v>0</v>
      </c>
      <c r="Y109" s="706">
        <v>-8571.1283080156682</v>
      </c>
      <c r="Z109" s="706">
        <v>1601.3661985287092</v>
      </c>
      <c r="AA109" s="706"/>
      <c r="AB109" s="706"/>
      <c r="AC109" s="706">
        <v>0</v>
      </c>
      <c r="AD109" s="706">
        <v>957.93923760389794</v>
      </c>
      <c r="AE109" s="706">
        <v>5671.6585459061807</v>
      </c>
      <c r="AF109" s="706">
        <v>0</v>
      </c>
      <c r="AG109" s="706">
        <v>0</v>
      </c>
      <c r="AH109" s="706">
        <v>0</v>
      </c>
      <c r="AI109" s="706">
        <v>0</v>
      </c>
      <c r="AJ109" s="706">
        <v>0</v>
      </c>
      <c r="AK109" s="706">
        <v>2227.0946785134229</v>
      </c>
      <c r="AL109" s="706">
        <v>-1.0270373554982324</v>
      </c>
      <c r="AM109" s="706">
        <v>-1465.5584217063149</v>
      </c>
      <c r="AN109" s="706">
        <v>-1.0509219451609821</v>
      </c>
      <c r="AO109" s="706">
        <v>0</v>
      </c>
      <c r="AP109" s="706">
        <v>0</v>
      </c>
      <c r="AQ109" s="706">
        <v>0</v>
      </c>
      <c r="AR109" s="706">
        <v>0</v>
      </c>
      <c r="AS109" s="706">
        <v>0</v>
      </c>
      <c r="AT109" s="704"/>
      <c r="AU109" s="706"/>
      <c r="AV109" s="706"/>
      <c r="AW109" s="706"/>
      <c r="AX109" s="706"/>
      <c r="AY109" s="706"/>
      <c r="AZ109" s="704">
        <v>-10114.263876946594</v>
      </c>
      <c r="BA109" s="706">
        <v>-10038.693035253655</v>
      </c>
      <c r="BB109" s="706">
        <v>-75.570841692939709</v>
      </c>
      <c r="BC109" s="706">
        <v>0</v>
      </c>
      <c r="BD109" s="706"/>
      <c r="BE109" s="706">
        <v>0</v>
      </c>
      <c r="BF109" s="706"/>
      <c r="BG109" s="706"/>
      <c r="BH109" s="706"/>
      <c r="BI109" s="706"/>
      <c r="BJ109" s="706">
        <v>0</v>
      </c>
      <c r="BK109" s="706">
        <v>0</v>
      </c>
      <c r="BL109" s="706">
        <v>0</v>
      </c>
      <c r="BM109" s="706"/>
      <c r="BN109" s="706"/>
      <c r="BO109" s="704"/>
      <c r="BP109" s="706"/>
      <c r="BQ109" s="706"/>
      <c r="BR109" s="705"/>
      <c r="BS109" s="705"/>
      <c r="BT109" s="704">
        <v>10114.263876946594</v>
      </c>
    </row>
    <row r="110" spans="1:72">
      <c r="A110" s="688" t="s">
        <v>968</v>
      </c>
      <c r="B110" s="687" t="s">
        <v>1095</v>
      </c>
      <c r="C110" s="687"/>
      <c r="D110" s="687"/>
      <c r="E110" s="687"/>
      <c r="F110" s="686" t="s">
        <v>1094</v>
      </c>
      <c r="G110" s="686"/>
      <c r="H110" s="685">
        <v>339.49555746632274</v>
      </c>
      <c r="I110" s="682"/>
      <c r="J110" s="684"/>
      <c r="K110" s="684"/>
      <c r="L110" s="684"/>
      <c r="M110" s="684"/>
      <c r="N110" s="684"/>
      <c r="O110" s="684"/>
      <c r="P110" s="684"/>
      <c r="Q110" s="684"/>
      <c r="R110" s="684"/>
      <c r="S110" s="684"/>
      <c r="T110" s="684"/>
      <c r="U110" s="684"/>
      <c r="V110" s="684"/>
      <c r="W110" s="682">
        <v>339.49555746632274</v>
      </c>
      <c r="X110" s="684"/>
      <c r="Y110" s="684">
        <v>-8571.1283080156682</v>
      </c>
      <c r="Z110" s="684"/>
      <c r="AA110" s="684"/>
      <c r="AB110" s="684"/>
      <c r="AC110" s="684"/>
      <c r="AD110" s="684">
        <v>977.76344702398012</v>
      </c>
      <c r="AE110" s="684">
        <v>5705.7896245342499</v>
      </c>
      <c r="AF110" s="684"/>
      <c r="AG110" s="684"/>
      <c r="AH110" s="684"/>
      <c r="AI110" s="684"/>
      <c r="AJ110" s="684"/>
      <c r="AK110" s="684">
        <v>2227.0946785134229</v>
      </c>
      <c r="AL110" s="684"/>
      <c r="AM110" s="684">
        <v>0</v>
      </c>
      <c r="AN110" s="684"/>
      <c r="AO110" s="684"/>
      <c r="AP110" s="684"/>
      <c r="AQ110" s="684"/>
      <c r="AR110" s="684"/>
      <c r="AS110" s="684"/>
      <c r="AT110" s="682"/>
      <c r="AU110" s="684"/>
      <c r="AV110" s="684"/>
      <c r="AW110" s="684"/>
      <c r="AX110" s="684"/>
      <c r="AY110" s="684"/>
      <c r="AZ110" s="682">
        <v>-10114.263876946594</v>
      </c>
      <c r="BA110" s="684">
        <v>-10038.693035253655</v>
      </c>
      <c r="BB110" s="684">
        <v>-75.570841692939709</v>
      </c>
      <c r="BC110" s="684">
        <v>0</v>
      </c>
      <c r="BD110" s="684"/>
      <c r="BE110" s="684">
        <v>0</v>
      </c>
      <c r="BF110" s="684"/>
      <c r="BG110" s="684"/>
      <c r="BH110" s="684"/>
      <c r="BI110" s="684"/>
      <c r="BJ110" s="684"/>
      <c r="BK110" s="684"/>
      <c r="BL110" s="684"/>
      <c r="BM110" s="684"/>
      <c r="BN110" s="684"/>
      <c r="BO110" s="682"/>
      <c r="BP110" s="684"/>
      <c r="BQ110" s="684"/>
      <c r="BR110" s="683"/>
      <c r="BS110" s="683"/>
      <c r="BT110" s="682">
        <v>10114.263876946594</v>
      </c>
    </row>
    <row r="111" spans="1:72">
      <c r="A111" s="680" t="s">
        <v>968</v>
      </c>
      <c r="B111" s="679" t="s">
        <v>1093</v>
      </c>
      <c r="C111" s="679"/>
      <c r="D111" s="679"/>
      <c r="E111" s="679"/>
      <c r="F111" s="678" t="s">
        <v>1092</v>
      </c>
      <c r="G111" s="678"/>
      <c r="H111" s="677">
        <v>84.217063150855068</v>
      </c>
      <c r="I111" s="674"/>
      <c r="J111" s="676"/>
      <c r="K111" s="676"/>
      <c r="L111" s="676"/>
      <c r="M111" s="676"/>
      <c r="N111" s="676"/>
      <c r="O111" s="676"/>
      <c r="P111" s="676"/>
      <c r="Q111" s="676"/>
      <c r="R111" s="676"/>
      <c r="S111" s="676"/>
      <c r="T111" s="676"/>
      <c r="U111" s="676"/>
      <c r="V111" s="676"/>
      <c r="W111" s="674">
        <v>84.217063150855068</v>
      </c>
      <c r="X111" s="676"/>
      <c r="Y111" s="676"/>
      <c r="Z111" s="676">
        <v>1548.8201012706602</v>
      </c>
      <c r="AA111" s="676"/>
      <c r="AB111" s="676"/>
      <c r="AC111" s="676"/>
      <c r="AD111" s="676"/>
      <c r="AE111" s="676"/>
      <c r="AF111" s="676"/>
      <c r="AG111" s="676"/>
      <c r="AH111" s="676"/>
      <c r="AI111" s="676"/>
      <c r="AJ111" s="676"/>
      <c r="AK111" s="676"/>
      <c r="AL111" s="676"/>
      <c r="AM111" s="676">
        <v>-1464.603038119805</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c r="A112" s="672" t="s">
        <v>968</v>
      </c>
      <c r="B112" s="671" t="s">
        <v>1091</v>
      </c>
      <c r="C112" s="671"/>
      <c r="D112" s="671"/>
      <c r="E112" s="671"/>
      <c r="F112" s="670" t="s">
        <v>1090</v>
      </c>
      <c r="G112" s="670"/>
      <c r="H112" s="669">
        <v>-4.4425336772714239</v>
      </c>
      <c r="I112" s="666"/>
      <c r="J112" s="668"/>
      <c r="K112" s="668"/>
      <c r="L112" s="668"/>
      <c r="M112" s="668"/>
      <c r="N112" s="668"/>
      <c r="O112" s="668"/>
      <c r="P112" s="668"/>
      <c r="Q112" s="668"/>
      <c r="R112" s="668"/>
      <c r="S112" s="668"/>
      <c r="T112" s="668"/>
      <c r="U112" s="668"/>
      <c r="V112" s="668"/>
      <c r="W112" s="666">
        <v>-4.4425336772714239</v>
      </c>
      <c r="X112" s="668">
        <v>0</v>
      </c>
      <c r="Y112" s="668">
        <v>0</v>
      </c>
      <c r="Z112" s="668">
        <v>52.546097258049102</v>
      </c>
      <c r="AA112" s="668"/>
      <c r="AB112" s="668"/>
      <c r="AC112" s="668">
        <v>0</v>
      </c>
      <c r="AD112" s="668">
        <v>-19.824209420082163</v>
      </c>
      <c r="AE112" s="668">
        <v>-34.131078628069169</v>
      </c>
      <c r="AF112" s="668">
        <v>0</v>
      </c>
      <c r="AG112" s="668">
        <v>0</v>
      </c>
      <c r="AH112" s="668">
        <v>0</v>
      </c>
      <c r="AI112" s="668">
        <v>0</v>
      </c>
      <c r="AJ112" s="668">
        <v>0</v>
      </c>
      <c r="AK112" s="668">
        <v>0</v>
      </c>
      <c r="AL112" s="668">
        <v>-1.0270373554982324</v>
      </c>
      <c r="AM112" s="668">
        <v>-0.95538358650998367</v>
      </c>
      <c r="AN112" s="668">
        <v>-1.0509219451609821</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c r="A113" s="709" t="s">
        <v>1089</v>
      </c>
      <c r="B113" s="709"/>
      <c r="C113" s="709"/>
      <c r="D113" s="709"/>
      <c r="E113" s="709"/>
      <c r="F113" s="708" t="s">
        <v>1088</v>
      </c>
      <c r="G113" s="708"/>
      <c r="H113" s="707">
        <v>5104.2801184675645</v>
      </c>
      <c r="I113" s="704">
        <v>0</v>
      </c>
      <c r="J113" s="706">
        <v>0</v>
      </c>
      <c r="K113" s="706">
        <v>0</v>
      </c>
      <c r="L113" s="706">
        <v>0</v>
      </c>
      <c r="M113" s="706">
        <v>0</v>
      </c>
      <c r="N113" s="706">
        <v>0</v>
      </c>
      <c r="O113" s="706">
        <v>0</v>
      </c>
      <c r="P113" s="706">
        <v>0</v>
      </c>
      <c r="Q113" s="706">
        <v>0</v>
      </c>
      <c r="R113" s="706">
        <v>0</v>
      </c>
      <c r="S113" s="706">
        <v>0</v>
      </c>
      <c r="T113" s="706">
        <v>0</v>
      </c>
      <c r="U113" s="706">
        <v>0</v>
      </c>
      <c r="V113" s="706">
        <v>0</v>
      </c>
      <c r="W113" s="704">
        <v>840.52259482182092</v>
      </c>
      <c r="X113" s="706"/>
      <c r="Y113" s="706"/>
      <c r="Z113" s="706"/>
      <c r="AA113" s="706"/>
      <c r="AB113" s="706"/>
      <c r="AC113" s="706">
        <v>398.1561096780357</v>
      </c>
      <c r="AD113" s="706"/>
      <c r="AE113" s="706"/>
      <c r="AF113" s="706"/>
      <c r="AG113" s="706"/>
      <c r="AH113" s="706"/>
      <c r="AI113" s="706"/>
      <c r="AJ113" s="706"/>
      <c r="AK113" s="706"/>
      <c r="AL113" s="706">
        <v>214.14923091621284</v>
      </c>
      <c r="AM113" s="706">
        <v>0</v>
      </c>
      <c r="AN113" s="706"/>
      <c r="AO113" s="706"/>
      <c r="AP113" s="706"/>
      <c r="AQ113" s="706">
        <v>228.21725422757237</v>
      </c>
      <c r="AR113" s="706"/>
      <c r="AS113" s="706"/>
      <c r="AT113" s="704">
        <v>3656.01413967708</v>
      </c>
      <c r="AU113" s="706">
        <v>3656.01413967708</v>
      </c>
      <c r="AV113" s="706">
        <v>0</v>
      </c>
      <c r="AW113" s="706">
        <v>0</v>
      </c>
      <c r="AX113" s="706">
        <v>0</v>
      </c>
      <c r="AY113" s="706">
        <v>0</v>
      </c>
      <c r="AZ113" s="704">
        <v>0</v>
      </c>
      <c r="BA113" s="706"/>
      <c r="BB113" s="706"/>
      <c r="BC113" s="706"/>
      <c r="BD113" s="706">
        <v>0</v>
      </c>
      <c r="BE113" s="706"/>
      <c r="BF113" s="706">
        <v>0</v>
      </c>
      <c r="BG113" s="706">
        <v>0</v>
      </c>
      <c r="BH113" s="706">
        <v>0</v>
      </c>
      <c r="BI113" s="706">
        <v>0</v>
      </c>
      <c r="BJ113" s="706">
        <v>0</v>
      </c>
      <c r="BK113" s="706">
        <v>0</v>
      </c>
      <c r="BL113" s="706">
        <v>0</v>
      </c>
      <c r="BM113" s="706">
        <v>0</v>
      </c>
      <c r="BN113" s="706">
        <v>0</v>
      </c>
      <c r="BO113" s="704">
        <v>0</v>
      </c>
      <c r="BP113" s="706">
        <v>0</v>
      </c>
      <c r="BQ113" s="706">
        <v>0</v>
      </c>
      <c r="BR113" s="705"/>
      <c r="BS113" s="705">
        <v>5.9233782363618994</v>
      </c>
      <c r="BT113" s="704">
        <v>601.79612114263875</v>
      </c>
    </row>
    <row r="114" spans="1:72">
      <c r="A114" s="688" t="s">
        <v>968</v>
      </c>
      <c r="B114" s="687" t="s">
        <v>1087</v>
      </c>
      <c r="C114" s="687"/>
      <c r="D114" s="687"/>
      <c r="E114" s="687"/>
      <c r="F114" s="686" t="s">
        <v>1086</v>
      </c>
      <c r="G114" s="686"/>
      <c r="H114" s="685">
        <v>57.131938473297026</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8.1924142543231095</v>
      </c>
      <c r="X114" s="684"/>
      <c r="Y114" s="684"/>
      <c r="Z114" s="684"/>
      <c r="AA114" s="684"/>
      <c r="AB114" s="684"/>
      <c r="AC114" s="684"/>
      <c r="AD114" s="684"/>
      <c r="AE114" s="684"/>
      <c r="AF114" s="684"/>
      <c r="AG114" s="684"/>
      <c r="AH114" s="684"/>
      <c r="AI114" s="684"/>
      <c r="AJ114" s="684"/>
      <c r="AK114" s="684"/>
      <c r="AL114" s="684">
        <v>8.1924142543231095</v>
      </c>
      <c r="AM114" s="684">
        <v>0</v>
      </c>
      <c r="AN114" s="684"/>
      <c r="AO114" s="684"/>
      <c r="AP114" s="684"/>
      <c r="AQ114" s="684"/>
      <c r="AR114" s="684"/>
      <c r="AS114" s="684"/>
      <c r="AT114" s="682">
        <v>0</v>
      </c>
      <c r="AU114" s="684">
        <v>0</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v>
      </c>
      <c r="BT114" s="682">
        <v>48.915639629311165</v>
      </c>
    </row>
    <row r="115" spans="1:72">
      <c r="A115" s="680" t="s">
        <v>968</v>
      </c>
      <c r="B115" s="679" t="s">
        <v>1085</v>
      </c>
      <c r="C115" s="679"/>
      <c r="D115" s="679"/>
      <c r="E115" s="679"/>
      <c r="F115" s="678" t="s">
        <v>1084</v>
      </c>
      <c r="G115" s="678"/>
      <c r="H115" s="677">
        <v>14.784561001241999</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14.784561001241999</v>
      </c>
    </row>
    <row r="116" spans="1:72">
      <c r="A116" s="680"/>
      <c r="B116" s="680" t="s">
        <v>968</v>
      </c>
      <c r="C116" s="679" t="s">
        <v>1083</v>
      </c>
      <c r="D116" s="679"/>
      <c r="E116" s="679"/>
      <c r="F116" s="678" t="s">
        <v>1082</v>
      </c>
      <c r="G116" s="678"/>
      <c r="H116" s="677">
        <v>49.345562243240657</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49.345562243240657</v>
      </c>
    </row>
    <row r="117" spans="1:72">
      <c r="A117" s="680"/>
      <c r="B117" s="680" t="s">
        <v>1081</v>
      </c>
      <c r="C117" s="679" t="s">
        <v>1080</v>
      </c>
      <c r="D117" s="679"/>
      <c r="E117" s="679"/>
      <c r="F117" s="678" t="s">
        <v>1079</v>
      </c>
      <c r="G117" s="678"/>
      <c r="H117" s="677">
        <v>34.56100124199866</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34.56100124199866</v>
      </c>
    </row>
    <row r="118" spans="1:72">
      <c r="A118" s="680"/>
      <c r="B118" s="680"/>
      <c r="C118" s="680" t="s">
        <v>968</v>
      </c>
      <c r="D118" s="679" t="s">
        <v>1078</v>
      </c>
      <c r="E118" s="679"/>
      <c r="F118" s="678" t="s">
        <v>1077</v>
      </c>
      <c r="G118" s="678"/>
      <c r="H118" s="677">
        <v>32.506926531002193</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32.506926531002193</v>
      </c>
    </row>
    <row r="119" spans="1:72">
      <c r="A119" s="680"/>
      <c r="B119" s="680"/>
      <c r="C119" s="680" t="s">
        <v>968</v>
      </c>
      <c r="D119" s="679" t="s">
        <v>1076</v>
      </c>
      <c r="E119" s="679"/>
      <c r="F119" s="678" t="s">
        <v>1075</v>
      </c>
      <c r="G119" s="678"/>
      <c r="H119" s="677">
        <v>2.0540747109964648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2.0540747109964648</v>
      </c>
    </row>
    <row r="120" spans="1:72" s="710" customFormat="1">
      <c r="A120" s="716" t="s">
        <v>968</v>
      </c>
      <c r="B120" s="715" t="s">
        <v>1074</v>
      </c>
      <c r="C120" s="715"/>
      <c r="D120" s="715"/>
      <c r="E120" s="715"/>
      <c r="F120" s="714" t="s">
        <v>1073</v>
      </c>
      <c r="G120" s="714"/>
      <c r="H120" s="713">
        <v>4326.6456482277636</v>
      </c>
      <c r="I120" s="711"/>
      <c r="J120" s="713"/>
      <c r="K120" s="713"/>
      <c r="L120" s="713"/>
      <c r="M120" s="713"/>
      <c r="N120" s="713"/>
      <c r="O120" s="713"/>
      <c r="P120" s="713"/>
      <c r="Q120" s="713"/>
      <c r="R120" s="713"/>
      <c r="S120" s="713"/>
      <c r="T120" s="713"/>
      <c r="U120" s="713"/>
      <c r="V120" s="713"/>
      <c r="W120" s="711">
        <v>205.95681666188975</v>
      </c>
      <c r="X120" s="713"/>
      <c r="Y120" s="713"/>
      <c r="Z120" s="713"/>
      <c r="AA120" s="713"/>
      <c r="AB120" s="713"/>
      <c r="AC120" s="713"/>
      <c r="AD120" s="713"/>
      <c r="AE120" s="713"/>
      <c r="AF120" s="713"/>
      <c r="AG120" s="713"/>
      <c r="AH120" s="713"/>
      <c r="AI120" s="713"/>
      <c r="AJ120" s="713"/>
      <c r="AK120" s="713"/>
      <c r="AL120" s="713">
        <v>205.95681666188975</v>
      </c>
      <c r="AM120" s="713">
        <v>0</v>
      </c>
      <c r="AN120" s="713"/>
      <c r="AO120" s="713"/>
      <c r="AP120" s="713"/>
      <c r="AQ120" s="713"/>
      <c r="AR120" s="713"/>
      <c r="AS120" s="713"/>
      <c r="AT120" s="711">
        <v>3656.01413967708</v>
      </c>
      <c r="AU120" s="713">
        <v>3656.01413967708</v>
      </c>
      <c r="AV120" s="713"/>
      <c r="AW120" s="713"/>
      <c r="AX120" s="713"/>
      <c r="AY120" s="713"/>
      <c r="AZ120" s="711"/>
      <c r="BA120" s="713"/>
      <c r="BB120" s="713"/>
      <c r="BC120" s="713"/>
      <c r="BD120" s="713"/>
      <c r="BE120" s="713"/>
      <c r="BF120" s="713"/>
      <c r="BG120" s="713"/>
      <c r="BH120" s="713"/>
      <c r="BI120" s="713"/>
      <c r="BJ120" s="713"/>
      <c r="BK120" s="713"/>
      <c r="BL120" s="713"/>
      <c r="BM120" s="713"/>
      <c r="BN120" s="713"/>
      <c r="BO120" s="711"/>
      <c r="BP120" s="713"/>
      <c r="BQ120" s="713"/>
      <c r="BR120" s="712"/>
      <c r="BS120" s="712">
        <v>0</v>
      </c>
      <c r="BT120" s="711">
        <v>464.65080729913058</v>
      </c>
    </row>
    <row r="121" spans="1:72" s="710" customFormat="1">
      <c r="A121" s="716" t="s">
        <v>968</v>
      </c>
      <c r="B121" s="715" t="s">
        <v>1072</v>
      </c>
      <c r="C121" s="715"/>
      <c r="D121" s="715"/>
      <c r="E121" s="715"/>
      <c r="F121" s="714" t="s">
        <v>1071</v>
      </c>
      <c r="G121" s="714"/>
      <c r="H121" s="713">
        <v>701.58593675360657</v>
      </c>
      <c r="I121" s="711">
        <v>0</v>
      </c>
      <c r="J121" s="713">
        <v>0</v>
      </c>
      <c r="K121" s="713">
        <v>0</v>
      </c>
      <c r="L121" s="713">
        <v>0</v>
      </c>
      <c r="M121" s="713">
        <v>0</v>
      </c>
      <c r="N121" s="713">
        <v>0</v>
      </c>
      <c r="O121" s="713">
        <v>0</v>
      </c>
      <c r="P121" s="713">
        <v>0</v>
      </c>
      <c r="Q121" s="713">
        <v>0</v>
      </c>
      <c r="R121" s="713">
        <v>0</v>
      </c>
      <c r="S121" s="713">
        <v>0</v>
      </c>
      <c r="T121" s="713">
        <v>0</v>
      </c>
      <c r="U121" s="713">
        <v>0</v>
      </c>
      <c r="V121" s="713">
        <v>0</v>
      </c>
      <c r="W121" s="711">
        <v>626.37336390560802</v>
      </c>
      <c r="X121" s="713"/>
      <c r="Y121" s="713"/>
      <c r="Z121" s="713"/>
      <c r="AA121" s="713"/>
      <c r="AB121" s="713"/>
      <c r="AC121" s="713">
        <v>398.1561096780357</v>
      </c>
      <c r="AD121" s="713"/>
      <c r="AE121" s="713"/>
      <c r="AF121" s="713"/>
      <c r="AG121" s="713"/>
      <c r="AH121" s="713"/>
      <c r="AI121" s="713"/>
      <c r="AJ121" s="713"/>
      <c r="AK121" s="713"/>
      <c r="AL121" s="713"/>
      <c r="AM121" s="713">
        <v>0</v>
      </c>
      <c r="AN121" s="713"/>
      <c r="AO121" s="713"/>
      <c r="AP121" s="713"/>
      <c r="AQ121" s="713">
        <v>228.21725422757237</v>
      </c>
      <c r="AR121" s="713"/>
      <c r="AS121" s="713"/>
      <c r="AT121" s="711">
        <v>0</v>
      </c>
      <c r="AU121" s="713">
        <v>0</v>
      </c>
      <c r="AV121" s="713">
        <v>0</v>
      </c>
      <c r="AW121" s="713">
        <v>0</v>
      </c>
      <c r="AX121" s="713">
        <v>0</v>
      </c>
      <c r="AY121" s="713">
        <v>0</v>
      </c>
      <c r="AZ121" s="711">
        <v>0</v>
      </c>
      <c r="BA121" s="713"/>
      <c r="BB121" s="713"/>
      <c r="BC121" s="713"/>
      <c r="BD121" s="713">
        <v>0</v>
      </c>
      <c r="BE121" s="713"/>
      <c r="BF121" s="713">
        <v>0</v>
      </c>
      <c r="BG121" s="713">
        <v>0</v>
      </c>
      <c r="BH121" s="713">
        <v>0</v>
      </c>
      <c r="BI121" s="713">
        <v>0</v>
      </c>
      <c r="BJ121" s="713">
        <v>0</v>
      </c>
      <c r="BK121" s="713">
        <v>0</v>
      </c>
      <c r="BL121" s="713">
        <v>0</v>
      </c>
      <c r="BM121" s="713">
        <v>0</v>
      </c>
      <c r="BN121" s="713">
        <v>0</v>
      </c>
      <c r="BO121" s="711">
        <v>0</v>
      </c>
      <c r="BP121" s="713">
        <v>0</v>
      </c>
      <c r="BQ121" s="713">
        <v>0</v>
      </c>
      <c r="BR121" s="712"/>
      <c r="BS121" s="712">
        <v>5.9233782363618994</v>
      </c>
      <c r="BT121" s="711">
        <v>69.313079201299317</v>
      </c>
    </row>
    <row r="122" spans="1:72">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c r="A123" s="680" t="s">
        <v>968</v>
      </c>
      <c r="B123" s="679" t="s">
        <v>1068</v>
      </c>
      <c r="C123" s="679"/>
      <c r="D123" s="679"/>
      <c r="E123" s="679"/>
      <c r="F123" s="678" t="s">
        <v>1067</v>
      </c>
      <c r="G123" s="678"/>
      <c r="H123" s="677">
        <v>2.9139199388554502</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0</v>
      </c>
      <c r="X123" s="676"/>
      <c r="Y123" s="676"/>
      <c r="Z123" s="676"/>
      <c r="AA123" s="676"/>
      <c r="AB123" s="676"/>
      <c r="AC123" s="676"/>
      <c r="AD123" s="676"/>
      <c r="AE123" s="676"/>
      <c r="AF123" s="676"/>
      <c r="AG123" s="676"/>
      <c r="AH123" s="676"/>
      <c r="AI123" s="676"/>
      <c r="AJ123" s="676"/>
      <c r="AK123" s="676"/>
      <c r="AL123" s="676"/>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2.9139199388554502</v>
      </c>
    </row>
    <row r="124" spans="1:72">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c r="A133" s="680" t="s">
        <v>968</v>
      </c>
      <c r="B133" s="679" t="s">
        <v>1048</v>
      </c>
      <c r="C133" s="679"/>
      <c r="D133" s="679"/>
      <c r="E133" s="679"/>
      <c r="F133" s="678" t="s">
        <v>1047</v>
      </c>
      <c r="G133" s="678"/>
      <c r="H133" s="677">
        <v>1.1942294831374796</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1.1942294831374796</v>
      </c>
    </row>
    <row r="134" spans="1:72">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c r="A135" s="709" t="s">
        <v>1044</v>
      </c>
      <c r="B135" s="709"/>
      <c r="C135" s="709"/>
      <c r="D135" s="709"/>
      <c r="E135" s="709"/>
      <c r="F135" s="708" t="s">
        <v>1043</v>
      </c>
      <c r="G135" s="708"/>
      <c r="H135" s="707">
        <v>944.99379000668762</v>
      </c>
      <c r="I135" s="704">
        <v>0</v>
      </c>
      <c r="J135" s="706">
        <v>0</v>
      </c>
      <c r="K135" s="706">
        <v>0</v>
      </c>
      <c r="L135" s="706">
        <v>0</v>
      </c>
      <c r="M135" s="706">
        <v>0</v>
      </c>
      <c r="N135" s="706">
        <v>0</v>
      </c>
      <c r="O135" s="706">
        <v>0</v>
      </c>
      <c r="P135" s="706">
        <v>0</v>
      </c>
      <c r="Q135" s="706">
        <v>0</v>
      </c>
      <c r="R135" s="706">
        <v>0</v>
      </c>
      <c r="S135" s="706">
        <v>0</v>
      </c>
      <c r="T135" s="706">
        <v>0</v>
      </c>
      <c r="U135" s="706">
        <v>0</v>
      </c>
      <c r="V135" s="706">
        <v>0</v>
      </c>
      <c r="W135" s="704">
        <v>0</v>
      </c>
      <c r="X135" s="706"/>
      <c r="Y135" s="706"/>
      <c r="Z135" s="706"/>
      <c r="AA135" s="706"/>
      <c r="AB135" s="706"/>
      <c r="AC135" s="706"/>
      <c r="AD135" s="706"/>
      <c r="AE135" s="706"/>
      <c r="AF135" s="706"/>
      <c r="AG135" s="706"/>
      <c r="AH135" s="706"/>
      <c r="AI135" s="706"/>
      <c r="AJ135" s="706"/>
      <c r="AK135" s="706"/>
      <c r="AL135" s="706"/>
      <c r="AM135" s="706">
        <v>0</v>
      </c>
      <c r="AN135" s="706"/>
      <c r="AO135" s="706"/>
      <c r="AP135" s="706"/>
      <c r="AQ135" s="706"/>
      <c r="AR135" s="706"/>
      <c r="AS135" s="706"/>
      <c r="AT135" s="704">
        <v>13.948600363045761</v>
      </c>
      <c r="AU135" s="706">
        <v>0</v>
      </c>
      <c r="AV135" s="706">
        <v>0</v>
      </c>
      <c r="AW135" s="706">
        <v>13.948600363045761</v>
      </c>
      <c r="AX135" s="706">
        <v>0</v>
      </c>
      <c r="AY135" s="706">
        <v>0</v>
      </c>
      <c r="AZ135" s="704">
        <v>12.467755803955287</v>
      </c>
      <c r="BA135" s="706"/>
      <c r="BB135" s="706"/>
      <c r="BC135" s="706"/>
      <c r="BD135" s="706">
        <v>0</v>
      </c>
      <c r="BE135" s="706"/>
      <c r="BF135" s="706">
        <v>0</v>
      </c>
      <c r="BG135" s="706">
        <v>0</v>
      </c>
      <c r="BH135" s="706">
        <v>12.467755803955287</v>
      </c>
      <c r="BI135" s="706">
        <v>0</v>
      </c>
      <c r="BJ135" s="706">
        <v>0</v>
      </c>
      <c r="BK135" s="706">
        <v>0</v>
      </c>
      <c r="BL135" s="706">
        <v>0</v>
      </c>
      <c r="BM135" s="706">
        <v>0</v>
      </c>
      <c r="BN135" s="706">
        <v>0</v>
      </c>
      <c r="BO135" s="704">
        <v>0</v>
      </c>
      <c r="BP135" s="706">
        <v>0</v>
      </c>
      <c r="BQ135" s="706">
        <v>0</v>
      </c>
      <c r="BR135" s="705"/>
      <c r="BS135" s="705">
        <v>102.4887742428585</v>
      </c>
      <c r="BT135" s="704">
        <v>816.08865959682805</v>
      </c>
    </row>
    <row r="136" spans="1:72">
      <c r="A136" s="709" t="s">
        <v>1042</v>
      </c>
      <c r="B136" s="709"/>
      <c r="C136" s="709"/>
      <c r="D136" s="709"/>
      <c r="E136" s="709"/>
      <c r="F136" s="708" t="s">
        <v>1041</v>
      </c>
      <c r="G136" s="708"/>
      <c r="H136" s="707">
        <v>28299.488869781217</v>
      </c>
      <c r="I136" s="704">
        <v>686.29979936944676</v>
      </c>
      <c r="J136" s="706">
        <v>0</v>
      </c>
      <c r="K136" s="706">
        <v>0</v>
      </c>
      <c r="L136" s="706">
        <v>456.3867392758192</v>
      </c>
      <c r="M136" s="706">
        <v>0</v>
      </c>
      <c r="N136" s="706">
        <v>0</v>
      </c>
      <c r="O136" s="706">
        <v>0</v>
      </c>
      <c r="P136" s="706">
        <v>229.91306009362759</v>
      </c>
      <c r="Q136" s="706">
        <v>0</v>
      </c>
      <c r="R136" s="706">
        <v>0</v>
      </c>
      <c r="S136" s="706">
        <v>0</v>
      </c>
      <c r="T136" s="706">
        <v>0</v>
      </c>
      <c r="U136" s="706">
        <v>0</v>
      </c>
      <c r="V136" s="706">
        <v>0</v>
      </c>
      <c r="W136" s="704">
        <v>12832.736218591765</v>
      </c>
      <c r="X136" s="706">
        <v>545.90618133180465</v>
      </c>
      <c r="Y136" s="706">
        <v>0</v>
      </c>
      <c r="Z136" s="706">
        <v>52.546097258049102</v>
      </c>
      <c r="AA136" s="706">
        <v>0</v>
      </c>
      <c r="AB136" s="706"/>
      <c r="AC136" s="706">
        <v>46.431642304385207</v>
      </c>
      <c r="AD136" s="706">
        <v>683.76803286519532</v>
      </c>
      <c r="AE136" s="706">
        <v>1493.0734689978026</v>
      </c>
      <c r="AF136" s="706">
        <v>1864.932645457151</v>
      </c>
      <c r="AG136" s="706">
        <v>0</v>
      </c>
      <c r="AH136" s="706">
        <v>8.4551447406133562</v>
      </c>
      <c r="AI136" s="706">
        <v>786.71061431164605</v>
      </c>
      <c r="AJ136" s="706">
        <v>67.951657590522586</v>
      </c>
      <c r="AK136" s="706">
        <v>1844.3680137575236</v>
      </c>
      <c r="AL136" s="706">
        <v>4735.9319766886401</v>
      </c>
      <c r="AM136" s="706">
        <v>111.7798796216681</v>
      </c>
      <c r="AN136" s="706">
        <v>14.569599694277251</v>
      </c>
      <c r="AO136" s="706">
        <v>50.157638291774148</v>
      </c>
      <c r="AP136" s="706">
        <v>312.05216394382342</v>
      </c>
      <c r="AQ136" s="706">
        <v>173.04385210662079</v>
      </c>
      <c r="AR136" s="706">
        <v>0</v>
      </c>
      <c r="AS136" s="706">
        <v>41.081494219929297</v>
      </c>
      <c r="AT136" s="704">
        <v>3340.0449030285658</v>
      </c>
      <c r="AU136" s="706">
        <v>3302.9999044616411</v>
      </c>
      <c r="AV136" s="706">
        <v>0</v>
      </c>
      <c r="AW136" s="706">
        <v>37.044998566924619</v>
      </c>
      <c r="AX136" s="706">
        <v>0</v>
      </c>
      <c r="AY136" s="706">
        <v>0</v>
      </c>
      <c r="AZ136" s="704">
        <v>1279.5691220024839</v>
      </c>
      <c r="BA136" s="706">
        <v>0</v>
      </c>
      <c r="BB136" s="706">
        <v>0</v>
      </c>
      <c r="BC136" s="706">
        <v>0</v>
      </c>
      <c r="BD136" s="706">
        <v>0</v>
      </c>
      <c r="BE136" s="706">
        <v>0</v>
      </c>
      <c r="BF136" s="706">
        <v>1128.2602464889653</v>
      </c>
      <c r="BG136" s="706">
        <v>0</v>
      </c>
      <c r="BH136" s="706">
        <v>13.279831852488774</v>
      </c>
      <c r="BI136" s="706">
        <v>21.711092003439379</v>
      </c>
      <c r="BJ136" s="706">
        <v>4.8008025222126678</v>
      </c>
      <c r="BK136" s="706">
        <v>110.60953472819337</v>
      </c>
      <c r="BL136" s="706">
        <v>0</v>
      </c>
      <c r="BM136" s="706">
        <v>0.93149899684723414</v>
      </c>
      <c r="BN136" s="706">
        <v>0</v>
      </c>
      <c r="BO136" s="704">
        <v>21.711092003439379</v>
      </c>
      <c r="BP136" s="706">
        <v>0</v>
      </c>
      <c r="BQ136" s="706">
        <v>21.711092003439379</v>
      </c>
      <c r="BR136" s="705">
        <v>0</v>
      </c>
      <c r="BS136" s="705">
        <v>384.08808636667618</v>
      </c>
      <c r="BT136" s="704">
        <v>9755.0396484188404</v>
      </c>
    </row>
    <row r="137" spans="1:72">
      <c r="A137" s="665" t="s">
        <v>1040</v>
      </c>
      <c r="B137" s="665"/>
      <c r="C137" s="665"/>
      <c r="D137" s="665"/>
      <c r="E137" s="665"/>
      <c r="F137" s="664" t="s">
        <v>1039</v>
      </c>
      <c r="G137" s="664"/>
      <c r="H137" s="663">
        <v>2297.291487532244</v>
      </c>
      <c r="I137" s="660">
        <v>52.355020540747105</v>
      </c>
      <c r="J137" s="662">
        <v>0</v>
      </c>
      <c r="K137" s="662">
        <v>0</v>
      </c>
      <c r="L137" s="662">
        <v>52.355020540747105</v>
      </c>
      <c r="M137" s="662">
        <v>0</v>
      </c>
      <c r="N137" s="662">
        <v>0</v>
      </c>
      <c r="O137" s="662">
        <v>0</v>
      </c>
      <c r="P137" s="662">
        <v>0</v>
      </c>
      <c r="Q137" s="662">
        <v>0</v>
      </c>
      <c r="R137" s="662">
        <v>0</v>
      </c>
      <c r="S137" s="662">
        <v>0</v>
      </c>
      <c r="T137" s="662">
        <v>0</v>
      </c>
      <c r="U137" s="662">
        <v>0</v>
      </c>
      <c r="V137" s="662">
        <v>0</v>
      </c>
      <c r="W137" s="660">
        <v>1827.1949937900065</v>
      </c>
      <c r="X137" s="662">
        <v>0</v>
      </c>
      <c r="Y137" s="662">
        <v>0</v>
      </c>
      <c r="Z137" s="662"/>
      <c r="AA137" s="662"/>
      <c r="AB137" s="662"/>
      <c r="AC137" s="662">
        <v>0</v>
      </c>
      <c r="AD137" s="662">
        <v>193.79956052355018</v>
      </c>
      <c r="AE137" s="662">
        <v>797.17206458393036</v>
      </c>
      <c r="AF137" s="662">
        <v>0</v>
      </c>
      <c r="AG137" s="662">
        <v>0</v>
      </c>
      <c r="AH137" s="662">
        <v>0</v>
      </c>
      <c r="AI137" s="662">
        <v>0</v>
      </c>
      <c r="AJ137" s="662">
        <v>0</v>
      </c>
      <c r="AK137" s="662">
        <v>0</v>
      </c>
      <c r="AL137" s="662">
        <v>11.321295500143307</v>
      </c>
      <c r="AM137" s="662">
        <v>22.308206745008121</v>
      </c>
      <c r="AN137" s="662">
        <v>13.542562338779019</v>
      </c>
      <c r="AO137" s="662">
        <v>41.129263399254796</v>
      </c>
      <c r="AP137" s="662">
        <v>312.98366294067068</v>
      </c>
      <c r="AQ137" s="662">
        <v>392.90149995223078</v>
      </c>
      <c r="AR137" s="662">
        <v>0</v>
      </c>
      <c r="AS137" s="662">
        <v>42.036877806439286</v>
      </c>
      <c r="AT137" s="660">
        <v>417.76535779115312</v>
      </c>
      <c r="AU137" s="662">
        <v>417.76535779115312</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c r="A140" s="680" t="s">
        <v>968</v>
      </c>
      <c r="B140" s="679" t="s">
        <v>1034</v>
      </c>
      <c r="C140" s="679"/>
      <c r="D140" s="679"/>
      <c r="E140" s="679"/>
      <c r="F140" s="678" t="s">
        <v>1033</v>
      </c>
      <c r="G140" s="678"/>
      <c r="H140" s="677">
        <v>2244.9364669914971</v>
      </c>
      <c r="I140" s="674"/>
      <c r="J140" s="676"/>
      <c r="K140" s="676"/>
      <c r="L140" s="676"/>
      <c r="M140" s="676"/>
      <c r="N140" s="676"/>
      <c r="O140" s="676"/>
      <c r="P140" s="676"/>
      <c r="Q140" s="676"/>
      <c r="R140" s="676"/>
      <c r="S140" s="676"/>
      <c r="T140" s="676"/>
      <c r="U140" s="676"/>
      <c r="V140" s="676"/>
      <c r="W140" s="674">
        <v>1827.1949937900065</v>
      </c>
      <c r="X140" s="676">
        <v>0</v>
      </c>
      <c r="Y140" s="676">
        <v>0</v>
      </c>
      <c r="Z140" s="676"/>
      <c r="AA140" s="676"/>
      <c r="AB140" s="676"/>
      <c r="AC140" s="676">
        <v>0</v>
      </c>
      <c r="AD140" s="676">
        <v>193.79956052355018</v>
      </c>
      <c r="AE140" s="676">
        <v>797.17206458393036</v>
      </c>
      <c r="AF140" s="676">
        <v>0</v>
      </c>
      <c r="AG140" s="676">
        <v>0</v>
      </c>
      <c r="AH140" s="676">
        <v>0</v>
      </c>
      <c r="AI140" s="676">
        <v>0</v>
      </c>
      <c r="AJ140" s="676">
        <v>0</v>
      </c>
      <c r="AK140" s="676">
        <v>0</v>
      </c>
      <c r="AL140" s="676">
        <v>11.321295500143307</v>
      </c>
      <c r="AM140" s="676">
        <v>22.308206745008121</v>
      </c>
      <c r="AN140" s="676">
        <v>13.542562338779019</v>
      </c>
      <c r="AO140" s="676">
        <v>41.129263399254796</v>
      </c>
      <c r="AP140" s="676">
        <v>312.98366294067068</v>
      </c>
      <c r="AQ140" s="676">
        <v>392.90149995223078</v>
      </c>
      <c r="AR140" s="676">
        <v>0</v>
      </c>
      <c r="AS140" s="676">
        <v>42.036877806439286</v>
      </c>
      <c r="AT140" s="674">
        <v>417.76535779115312</v>
      </c>
      <c r="AU140" s="676">
        <v>417.76535779115312</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1414.8036686729722</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997.03831088181903</v>
      </c>
      <c r="X141" s="699"/>
      <c r="Y141" s="699"/>
      <c r="Z141" s="699"/>
      <c r="AA141" s="699"/>
      <c r="AB141" s="699"/>
      <c r="AC141" s="699"/>
      <c r="AD141" s="699">
        <v>193.79956052355018</v>
      </c>
      <c r="AE141" s="699">
        <v>755.3501480844559</v>
      </c>
      <c r="AF141" s="699"/>
      <c r="AG141" s="699"/>
      <c r="AH141" s="699"/>
      <c r="AI141" s="699"/>
      <c r="AJ141" s="699"/>
      <c r="AK141" s="699"/>
      <c r="AL141" s="699">
        <v>5.1113021878284126</v>
      </c>
      <c r="AM141" s="699">
        <v>0</v>
      </c>
      <c r="AN141" s="699">
        <v>13.542562338779019</v>
      </c>
      <c r="AO141" s="699"/>
      <c r="AP141" s="699"/>
      <c r="AQ141" s="699">
        <v>29.25862233686825</v>
      </c>
      <c r="AR141" s="699"/>
      <c r="AS141" s="699"/>
      <c r="AT141" s="697">
        <v>417.76535779115312</v>
      </c>
      <c r="AU141" s="699">
        <v>417.76535779115312</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c r="A144" s="695" t="s">
        <v>968</v>
      </c>
      <c r="B144" s="694" t="s">
        <v>1026</v>
      </c>
      <c r="C144" s="694"/>
      <c r="D144" s="694"/>
      <c r="E144" s="694"/>
      <c r="F144" s="693" t="s">
        <v>1025</v>
      </c>
      <c r="G144" s="693"/>
      <c r="H144" s="692">
        <v>52.355020540747105</v>
      </c>
      <c r="I144" s="689">
        <v>52.355020540747105</v>
      </c>
      <c r="J144" s="691">
        <v>0</v>
      </c>
      <c r="K144" s="691">
        <v>0</v>
      </c>
      <c r="L144" s="691">
        <v>52.355020540747105</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c r="A145" s="665" t="s">
        <v>1024</v>
      </c>
      <c r="B145" s="665"/>
      <c r="C145" s="665"/>
      <c r="D145" s="665"/>
      <c r="E145" s="665"/>
      <c r="F145" s="664" t="s">
        <v>1023</v>
      </c>
      <c r="G145" s="664"/>
      <c r="H145" s="663">
        <v>19632.081780835004</v>
      </c>
      <c r="I145" s="660">
        <v>591.97955479124869</v>
      </c>
      <c r="J145" s="662">
        <v>0</v>
      </c>
      <c r="K145" s="662">
        <v>0</v>
      </c>
      <c r="L145" s="662">
        <v>386.5959682812649</v>
      </c>
      <c r="M145" s="662">
        <v>0</v>
      </c>
      <c r="N145" s="662">
        <v>0</v>
      </c>
      <c r="O145" s="662">
        <v>0</v>
      </c>
      <c r="P145" s="662">
        <v>205.4074710996465</v>
      </c>
      <c r="Q145" s="662">
        <v>0</v>
      </c>
      <c r="R145" s="662">
        <v>0</v>
      </c>
      <c r="S145" s="662">
        <v>0</v>
      </c>
      <c r="T145" s="662">
        <v>0</v>
      </c>
      <c r="U145" s="662">
        <v>0</v>
      </c>
      <c r="V145" s="662">
        <v>0</v>
      </c>
      <c r="W145" s="660">
        <v>7208.6080061144548</v>
      </c>
      <c r="X145" s="662"/>
      <c r="Y145" s="662"/>
      <c r="Z145" s="662"/>
      <c r="AA145" s="662"/>
      <c r="AB145" s="662"/>
      <c r="AC145" s="662"/>
      <c r="AD145" s="662">
        <v>265.35779115314796</v>
      </c>
      <c r="AE145" s="662">
        <v>223.51199006401069</v>
      </c>
      <c r="AF145" s="662">
        <v>1280.4767364096683</v>
      </c>
      <c r="AG145" s="662">
        <v>2.1018438903219643</v>
      </c>
      <c r="AH145" s="662"/>
      <c r="AI145" s="662">
        <v>811.35951084360363</v>
      </c>
      <c r="AJ145" s="662">
        <v>67.951657590522586</v>
      </c>
      <c r="AK145" s="662"/>
      <c r="AL145" s="662">
        <v>4378.3557848476157</v>
      </c>
      <c r="AM145" s="662">
        <v>165.28136046622717</v>
      </c>
      <c r="AN145" s="662"/>
      <c r="AO145" s="662"/>
      <c r="AP145" s="662"/>
      <c r="AQ145" s="662">
        <v>14.211330849336008</v>
      </c>
      <c r="AR145" s="662"/>
      <c r="AS145" s="662"/>
      <c r="AT145" s="660">
        <v>392.30438521066208</v>
      </c>
      <c r="AU145" s="662">
        <v>355.25938664373746</v>
      </c>
      <c r="AV145" s="662">
        <v>0</v>
      </c>
      <c r="AW145" s="662">
        <v>37.044998566924619</v>
      </c>
      <c r="AX145" s="662">
        <v>0</v>
      </c>
      <c r="AY145" s="662">
        <v>0</v>
      </c>
      <c r="AZ145" s="660">
        <v>1278.3510079296836</v>
      </c>
      <c r="BA145" s="662"/>
      <c r="BB145" s="662"/>
      <c r="BC145" s="662"/>
      <c r="BD145" s="662">
        <v>0</v>
      </c>
      <c r="BE145" s="662"/>
      <c r="BF145" s="662">
        <v>1128.2602464889653</v>
      </c>
      <c r="BG145" s="662">
        <v>0</v>
      </c>
      <c r="BH145" s="662">
        <v>12.228909907327791</v>
      </c>
      <c r="BI145" s="662">
        <v>21.711092003439379</v>
      </c>
      <c r="BJ145" s="662">
        <v>4.4903028565969239</v>
      </c>
      <c r="BK145" s="662">
        <v>110.75284226616986</v>
      </c>
      <c r="BL145" s="662">
        <v>0</v>
      </c>
      <c r="BM145" s="662">
        <v>0.93149899684723414</v>
      </c>
      <c r="BN145" s="662">
        <v>0</v>
      </c>
      <c r="BO145" s="660">
        <v>21.711092003439379</v>
      </c>
      <c r="BP145" s="662">
        <v>0</v>
      </c>
      <c r="BQ145" s="662">
        <v>21.711092003439379</v>
      </c>
      <c r="BR145" s="661"/>
      <c r="BS145" s="661">
        <v>384.08808636667618</v>
      </c>
      <c r="BT145" s="660">
        <v>9755.0396484188404</v>
      </c>
    </row>
    <row r="146" spans="1:72">
      <c r="A146" s="688" t="s">
        <v>968</v>
      </c>
      <c r="B146" s="687" t="s">
        <v>1022</v>
      </c>
      <c r="C146" s="687"/>
      <c r="D146" s="687"/>
      <c r="E146" s="687"/>
      <c r="F146" s="686" t="s">
        <v>1021</v>
      </c>
      <c r="G146" s="686"/>
      <c r="H146" s="685">
        <v>6158.235406515716</v>
      </c>
      <c r="I146" s="682">
        <v>591.97955479124869</v>
      </c>
      <c r="J146" s="684">
        <v>0</v>
      </c>
      <c r="K146" s="684">
        <v>0</v>
      </c>
      <c r="L146" s="684">
        <v>386.5959682812649</v>
      </c>
      <c r="M146" s="684">
        <v>0</v>
      </c>
      <c r="N146" s="684">
        <v>0</v>
      </c>
      <c r="O146" s="684">
        <v>0</v>
      </c>
      <c r="P146" s="684">
        <v>205.4074710996465</v>
      </c>
      <c r="Q146" s="684">
        <v>0</v>
      </c>
      <c r="R146" s="684">
        <v>0</v>
      </c>
      <c r="S146" s="684">
        <v>0</v>
      </c>
      <c r="T146" s="684">
        <v>0</v>
      </c>
      <c r="U146" s="684">
        <v>0</v>
      </c>
      <c r="V146" s="684">
        <v>0</v>
      </c>
      <c r="W146" s="682">
        <v>969.83376325594725</v>
      </c>
      <c r="X146" s="684"/>
      <c r="Y146" s="684"/>
      <c r="Z146" s="684"/>
      <c r="AA146" s="684"/>
      <c r="AB146" s="684"/>
      <c r="AC146" s="684"/>
      <c r="AD146" s="684">
        <v>265.35779115314796</v>
      </c>
      <c r="AE146" s="684">
        <v>191.57829368491448</v>
      </c>
      <c r="AF146" s="684">
        <v>0</v>
      </c>
      <c r="AG146" s="684"/>
      <c r="AH146" s="684"/>
      <c r="AI146" s="684">
        <v>0</v>
      </c>
      <c r="AJ146" s="684">
        <v>1.0270373554982324</v>
      </c>
      <c r="AK146" s="684"/>
      <c r="AL146" s="684">
        <v>393.49861469379954</v>
      </c>
      <c r="AM146" s="684">
        <v>104.13681092958822</v>
      </c>
      <c r="AN146" s="684"/>
      <c r="AO146" s="684"/>
      <c r="AP146" s="684"/>
      <c r="AQ146" s="684">
        <v>14.211330849336008</v>
      </c>
      <c r="AR146" s="684"/>
      <c r="AS146" s="684"/>
      <c r="AT146" s="682">
        <v>292.29960829272949</v>
      </c>
      <c r="AU146" s="684">
        <v>255.2546097258049</v>
      </c>
      <c r="AV146" s="684">
        <v>0</v>
      </c>
      <c r="AW146" s="684">
        <v>37.044998566924619</v>
      </c>
      <c r="AX146" s="684">
        <v>0</v>
      </c>
      <c r="AY146" s="684">
        <v>0</v>
      </c>
      <c r="AZ146" s="682">
        <v>412.63017101366194</v>
      </c>
      <c r="BA146" s="684"/>
      <c r="BB146" s="684"/>
      <c r="BC146" s="684"/>
      <c r="BD146" s="684">
        <v>0</v>
      </c>
      <c r="BE146" s="684"/>
      <c r="BF146" s="684">
        <v>390.91907901022256</v>
      </c>
      <c r="BG146" s="684">
        <v>0</v>
      </c>
      <c r="BH146" s="684">
        <v>0</v>
      </c>
      <c r="BI146" s="684">
        <v>21.711092003439379</v>
      </c>
      <c r="BJ146" s="684">
        <v>0</v>
      </c>
      <c r="BK146" s="684">
        <v>0</v>
      </c>
      <c r="BL146" s="684">
        <v>0</v>
      </c>
      <c r="BM146" s="684">
        <v>0</v>
      </c>
      <c r="BN146" s="684">
        <v>0</v>
      </c>
      <c r="BO146" s="682">
        <v>21.711092003439379</v>
      </c>
      <c r="BP146" s="684">
        <v>0</v>
      </c>
      <c r="BQ146" s="684">
        <v>21.711092003439379</v>
      </c>
      <c r="BR146" s="683"/>
      <c r="BS146" s="683">
        <v>39.696188019489824</v>
      </c>
      <c r="BT146" s="682">
        <v>3830.0850291391994</v>
      </c>
    </row>
    <row r="147" spans="1:72">
      <c r="A147" s="681"/>
      <c r="B147" s="680" t="s">
        <v>968</v>
      </c>
      <c r="C147" s="679" t="s">
        <v>1020</v>
      </c>
      <c r="D147" s="679"/>
      <c r="E147" s="679"/>
      <c r="F147" s="678" t="s">
        <v>1019</v>
      </c>
      <c r="G147" s="678"/>
      <c r="H147" s="677">
        <v>745.86796598834428</v>
      </c>
      <c r="I147" s="674">
        <v>307.15582306295977</v>
      </c>
      <c r="J147" s="676">
        <v>0</v>
      </c>
      <c r="K147" s="676">
        <v>0</v>
      </c>
      <c r="L147" s="676">
        <v>167.78924238081589</v>
      </c>
      <c r="M147" s="676">
        <v>0</v>
      </c>
      <c r="N147" s="676">
        <v>0</v>
      </c>
      <c r="O147" s="676">
        <v>0</v>
      </c>
      <c r="P147" s="676">
        <v>139.36658068214388</v>
      </c>
      <c r="Q147" s="676">
        <v>0</v>
      </c>
      <c r="R147" s="676">
        <v>0</v>
      </c>
      <c r="S147" s="676">
        <v>0</v>
      </c>
      <c r="T147" s="676">
        <v>0</v>
      </c>
      <c r="U147" s="676">
        <v>0</v>
      </c>
      <c r="V147" s="676">
        <v>0</v>
      </c>
      <c r="W147" s="674">
        <v>11.345180089806057</v>
      </c>
      <c r="X147" s="676"/>
      <c r="Y147" s="676"/>
      <c r="Z147" s="676"/>
      <c r="AA147" s="676"/>
      <c r="AB147" s="676"/>
      <c r="AC147" s="676"/>
      <c r="AD147" s="676"/>
      <c r="AE147" s="676">
        <v>3.2960733734594436</v>
      </c>
      <c r="AF147" s="676">
        <v>0</v>
      </c>
      <c r="AG147" s="676"/>
      <c r="AH147" s="676"/>
      <c r="AI147" s="676">
        <v>0</v>
      </c>
      <c r="AJ147" s="676"/>
      <c r="AK147" s="676"/>
      <c r="AL147" s="676">
        <v>7.2131460781503769</v>
      </c>
      <c r="AM147" s="676">
        <v>0</v>
      </c>
      <c r="AN147" s="676"/>
      <c r="AO147" s="676"/>
      <c r="AP147" s="676"/>
      <c r="AQ147" s="676">
        <v>0.83596063819623578</v>
      </c>
      <c r="AR147" s="676"/>
      <c r="AS147" s="676"/>
      <c r="AT147" s="674">
        <v>17.841788478073944</v>
      </c>
      <c r="AU147" s="676">
        <v>1.2181140728002293</v>
      </c>
      <c r="AV147" s="676">
        <v>0</v>
      </c>
      <c r="AW147" s="676">
        <v>16.623674405273718</v>
      </c>
      <c r="AX147" s="676">
        <v>0</v>
      </c>
      <c r="AY147" s="676">
        <v>0</v>
      </c>
      <c r="AZ147" s="674">
        <v>7.0698385401738797</v>
      </c>
      <c r="BA147" s="676"/>
      <c r="BB147" s="676"/>
      <c r="BC147" s="676"/>
      <c r="BD147" s="676">
        <v>0</v>
      </c>
      <c r="BE147" s="676"/>
      <c r="BF147" s="676">
        <v>7.0698385401738797</v>
      </c>
      <c r="BG147" s="676">
        <v>0</v>
      </c>
      <c r="BH147" s="676">
        <v>0</v>
      </c>
      <c r="BI147" s="676">
        <v>0</v>
      </c>
      <c r="BJ147" s="676">
        <v>0</v>
      </c>
      <c r="BK147" s="676">
        <v>0</v>
      </c>
      <c r="BL147" s="676">
        <v>0</v>
      </c>
      <c r="BM147" s="676">
        <v>0</v>
      </c>
      <c r="BN147" s="676">
        <v>0</v>
      </c>
      <c r="BO147" s="674">
        <v>0</v>
      </c>
      <c r="BP147" s="676">
        <v>0</v>
      </c>
      <c r="BQ147" s="676">
        <v>0</v>
      </c>
      <c r="BR147" s="675"/>
      <c r="BS147" s="675">
        <v>0.21496130696474633</v>
      </c>
      <c r="BT147" s="674">
        <v>402.24037451036588</v>
      </c>
    </row>
    <row r="148" spans="1:72">
      <c r="A148" s="681"/>
      <c r="B148" s="680" t="s">
        <v>968</v>
      </c>
      <c r="C148" s="679" t="s">
        <v>1018</v>
      </c>
      <c r="D148" s="679"/>
      <c r="E148" s="679"/>
      <c r="F148" s="678" t="s">
        <v>1017</v>
      </c>
      <c r="G148" s="678"/>
      <c r="H148" s="677">
        <v>1428.2029234737747</v>
      </c>
      <c r="I148" s="674">
        <v>195.39982803095441</v>
      </c>
      <c r="J148" s="676">
        <v>0</v>
      </c>
      <c r="K148" s="676">
        <v>0</v>
      </c>
      <c r="L148" s="676">
        <v>140.27419508932834</v>
      </c>
      <c r="M148" s="676">
        <v>0</v>
      </c>
      <c r="N148" s="676">
        <v>0</v>
      </c>
      <c r="O148" s="676">
        <v>0</v>
      </c>
      <c r="P148" s="676">
        <v>55.125632941626058</v>
      </c>
      <c r="Q148" s="676">
        <v>0</v>
      </c>
      <c r="R148" s="676">
        <v>0</v>
      </c>
      <c r="S148" s="676">
        <v>0</v>
      </c>
      <c r="T148" s="676">
        <v>0</v>
      </c>
      <c r="U148" s="676">
        <v>0</v>
      </c>
      <c r="V148" s="676">
        <v>0</v>
      </c>
      <c r="W148" s="674">
        <v>397.22461068118849</v>
      </c>
      <c r="X148" s="676"/>
      <c r="Y148" s="676"/>
      <c r="Z148" s="676"/>
      <c r="AA148" s="676"/>
      <c r="AB148" s="676"/>
      <c r="AC148" s="676"/>
      <c r="AD148" s="676">
        <v>265.35779115314796</v>
      </c>
      <c r="AE148" s="676">
        <v>62.76870163370593</v>
      </c>
      <c r="AF148" s="676"/>
      <c r="AG148" s="676"/>
      <c r="AH148" s="676"/>
      <c r="AI148" s="676"/>
      <c r="AJ148" s="676"/>
      <c r="AK148" s="676"/>
      <c r="AL148" s="676">
        <v>47.124295404604943</v>
      </c>
      <c r="AM148" s="676">
        <v>21.973822489729624</v>
      </c>
      <c r="AN148" s="676"/>
      <c r="AO148" s="676"/>
      <c r="AP148" s="676"/>
      <c r="AQ148" s="676"/>
      <c r="AR148" s="676"/>
      <c r="AS148" s="676"/>
      <c r="AT148" s="674">
        <v>124.62978886022738</v>
      </c>
      <c r="AU148" s="676">
        <v>108.65099837584789</v>
      </c>
      <c r="AV148" s="676">
        <v>0</v>
      </c>
      <c r="AW148" s="676">
        <v>15.978790484379477</v>
      </c>
      <c r="AX148" s="676">
        <v>0</v>
      </c>
      <c r="AY148" s="676">
        <v>0</v>
      </c>
      <c r="AZ148" s="674">
        <v>23.980128021400592</v>
      </c>
      <c r="BA148" s="676"/>
      <c r="BB148" s="676"/>
      <c r="BC148" s="676"/>
      <c r="BD148" s="676">
        <v>0</v>
      </c>
      <c r="BE148" s="676"/>
      <c r="BF148" s="676">
        <v>21.018438903219643</v>
      </c>
      <c r="BG148" s="676">
        <v>0</v>
      </c>
      <c r="BH148" s="676">
        <v>0</v>
      </c>
      <c r="BI148" s="676">
        <v>2.9616891181809497</v>
      </c>
      <c r="BJ148" s="676">
        <v>0</v>
      </c>
      <c r="BK148" s="676">
        <v>0</v>
      </c>
      <c r="BL148" s="676">
        <v>0</v>
      </c>
      <c r="BM148" s="676">
        <v>0</v>
      </c>
      <c r="BN148" s="676">
        <v>0</v>
      </c>
      <c r="BO148" s="674">
        <v>2.9616891181809497</v>
      </c>
      <c r="BP148" s="676">
        <v>0</v>
      </c>
      <c r="BQ148" s="676">
        <v>2.9616891181809497</v>
      </c>
      <c r="BR148" s="675"/>
      <c r="BS148" s="675">
        <v>12.372217445304289</v>
      </c>
      <c r="BT148" s="674">
        <v>671.63466131651853</v>
      </c>
    </row>
    <row r="149" spans="1:72">
      <c r="A149" s="681"/>
      <c r="B149" s="680" t="s">
        <v>968</v>
      </c>
      <c r="C149" s="679" t="s">
        <v>1016</v>
      </c>
      <c r="D149" s="679"/>
      <c r="E149" s="679"/>
      <c r="F149" s="678" t="s">
        <v>1015</v>
      </c>
      <c r="G149" s="678"/>
      <c r="H149" s="677">
        <v>1743.7661220980224</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49.273908474252408</v>
      </c>
      <c r="X149" s="676"/>
      <c r="Y149" s="676"/>
      <c r="Z149" s="676"/>
      <c r="AA149" s="676"/>
      <c r="AB149" s="676"/>
      <c r="AC149" s="676"/>
      <c r="AD149" s="676"/>
      <c r="AE149" s="676">
        <v>36.328460877042133</v>
      </c>
      <c r="AF149" s="676"/>
      <c r="AG149" s="676"/>
      <c r="AH149" s="676"/>
      <c r="AI149" s="676"/>
      <c r="AJ149" s="676"/>
      <c r="AK149" s="676"/>
      <c r="AL149" s="676">
        <v>11.273526320817808</v>
      </c>
      <c r="AM149" s="676">
        <v>0</v>
      </c>
      <c r="AN149" s="676"/>
      <c r="AO149" s="676"/>
      <c r="AP149" s="676"/>
      <c r="AQ149" s="676">
        <v>1.6719212763924716</v>
      </c>
      <c r="AR149" s="676"/>
      <c r="AS149" s="676"/>
      <c r="AT149" s="674">
        <v>87.58479029330276</v>
      </c>
      <c r="AU149" s="676">
        <v>87.58479029330276</v>
      </c>
      <c r="AV149" s="676">
        <v>0</v>
      </c>
      <c r="AW149" s="676">
        <v>0</v>
      </c>
      <c r="AX149" s="676">
        <v>0</v>
      </c>
      <c r="AY149" s="676">
        <v>0</v>
      </c>
      <c r="AZ149" s="674">
        <v>0.14330753797649756</v>
      </c>
      <c r="BA149" s="676"/>
      <c r="BB149" s="676"/>
      <c r="BC149" s="676"/>
      <c r="BD149" s="676">
        <v>0</v>
      </c>
      <c r="BE149" s="676"/>
      <c r="BF149" s="676">
        <v>0.14330753797649756</v>
      </c>
      <c r="BG149" s="676">
        <v>0</v>
      </c>
      <c r="BH149" s="676">
        <v>0</v>
      </c>
      <c r="BI149" s="676">
        <v>0</v>
      </c>
      <c r="BJ149" s="676">
        <v>0</v>
      </c>
      <c r="BK149" s="676">
        <v>0</v>
      </c>
      <c r="BL149" s="676">
        <v>0</v>
      </c>
      <c r="BM149" s="676">
        <v>0</v>
      </c>
      <c r="BN149" s="676">
        <v>0</v>
      </c>
      <c r="BO149" s="674">
        <v>0</v>
      </c>
      <c r="BP149" s="676">
        <v>0</v>
      </c>
      <c r="BQ149" s="676">
        <v>0</v>
      </c>
      <c r="BR149" s="675"/>
      <c r="BS149" s="675">
        <v>1.0031527658354829</v>
      </c>
      <c r="BT149" s="674">
        <v>1605.7609630266552</v>
      </c>
    </row>
    <row r="150" spans="1:72">
      <c r="A150" s="681"/>
      <c r="B150" s="680" t="s">
        <v>968</v>
      </c>
      <c r="C150" s="679" t="s">
        <v>1014</v>
      </c>
      <c r="D150" s="679"/>
      <c r="E150" s="679"/>
      <c r="F150" s="678" t="s">
        <v>1013</v>
      </c>
      <c r="G150" s="678"/>
      <c r="H150" s="677">
        <v>269.44205598547813</v>
      </c>
      <c r="I150" s="674">
        <v>89.423903697334481</v>
      </c>
      <c r="J150" s="676">
        <v>0</v>
      </c>
      <c r="K150" s="676">
        <v>0</v>
      </c>
      <c r="L150" s="676">
        <v>78.532530811120665</v>
      </c>
      <c r="M150" s="676">
        <v>0</v>
      </c>
      <c r="N150" s="676">
        <v>0</v>
      </c>
      <c r="O150" s="676">
        <v>0</v>
      </c>
      <c r="P150" s="676">
        <v>10.891372886213814</v>
      </c>
      <c r="Q150" s="676">
        <v>0</v>
      </c>
      <c r="R150" s="676">
        <v>0</v>
      </c>
      <c r="S150" s="676">
        <v>0</v>
      </c>
      <c r="T150" s="676">
        <v>0</v>
      </c>
      <c r="U150" s="676">
        <v>0</v>
      </c>
      <c r="V150" s="676">
        <v>0</v>
      </c>
      <c r="W150" s="674">
        <v>63.246393426960921</v>
      </c>
      <c r="X150" s="676"/>
      <c r="Y150" s="676"/>
      <c r="Z150" s="676"/>
      <c r="AA150" s="676"/>
      <c r="AB150" s="676"/>
      <c r="AC150" s="676"/>
      <c r="AD150" s="676"/>
      <c r="AE150" s="676">
        <v>28.637623005636762</v>
      </c>
      <c r="AF150" s="676"/>
      <c r="AG150" s="676"/>
      <c r="AH150" s="676"/>
      <c r="AI150" s="676"/>
      <c r="AJ150" s="676">
        <v>1.0270373554982324</v>
      </c>
      <c r="AK150" s="676"/>
      <c r="AL150" s="676">
        <v>23.574089997133846</v>
      </c>
      <c r="AM150" s="676">
        <v>0</v>
      </c>
      <c r="AN150" s="676"/>
      <c r="AO150" s="676"/>
      <c r="AP150" s="676"/>
      <c r="AQ150" s="676">
        <v>10.031527658354829</v>
      </c>
      <c r="AR150" s="676"/>
      <c r="AS150" s="676"/>
      <c r="AT150" s="674">
        <v>7.1176077194993788</v>
      </c>
      <c r="AU150" s="676">
        <v>2.6750740422279544</v>
      </c>
      <c r="AV150" s="676">
        <v>0</v>
      </c>
      <c r="AW150" s="676">
        <v>4.4425336772714239</v>
      </c>
      <c r="AX150" s="676">
        <v>0</v>
      </c>
      <c r="AY150" s="676">
        <v>0</v>
      </c>
      <c r="AZ150" s="674">
        <v>19.680901882105665</v>
      </c>
      <c r="BA150" s="676"/>
      <c r="BB150" s="676"/>
      <c r="BC150" s="676"/>
      <c r="BD150" s="676">
        <v>0</v>
      </c>
      <c r="BE150" s="676"/>
      <c r="BF150" s="676">
        <v>3.6065730390751884</v>
      </c>
      <c r="BG150" s="676">
        <v>0</v>
      </c>
      <c r="BH150" s="676">
        <v>0</v>
      </c>
      <c r="BI150" s="676">
        <v>16.074328843030475</v>
      </c>
      <c r="BJ150" s="676">
        <v>0</v>
      </c>
      <c r="BK150" s="676">
        <v>0</v>
      </c>
      <c r="BL150" s="676">
        <v>0</v>
      </c>
      <c r="BM150" s="676">
        <v>0</v>
      </c>
      <c r="BN150" s="676">
        <v>0</v>
      </c>
      <c r="BO150" s="674">
        <v>16.074328843030475</v>
      </c>
      <c r="BP150" s="676">
        <v>0</v>
      </c>
      <c r="BQ150" s="676">
        <v>16.074328843030475</v>
      </c>
      <c r="BR150" s="675"/>
      <c r="BS150" s="675">
        <v>0.21496130696474633</v>
      </c>
      <c r="BT150" s="674">
        <v>73.683959109582489</v>
      </c>
    </row>
    <row r="151" spans="1:72">
      <c r="A151" s="681"/>
      <c r="B151" s="680" t="s">
        <v>968</v>
      </c>
      <c r="C151" s="679" t="s">
        <v>1012</v>
      </c>
      <c r="D151" s="679"/>
      <c r="E151" s="679"/>
      <c r="F151" s="678" t="s">
        <v>1011</v>
      </c>
      <c r="G151" s="678"/>
      <c r="H151" s="677">
        <v>68.572656921754074</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16.695328174261967</v>
      </c>
      <c r="X151" s="676"/>
      <c r="Y151" s="676"/>
      <c r="Z151" s="676"/>
      <c r="AA151" s="676"/>
      <c r="AB151" s="676"/>
      <c r="AC151" s="676"/>
      <c r="AD151" s="676"/>
      <c r="AE151" s="676">
        <v>4.3947644979459248</v>
      </c>
      <c r="AF151" s="676"/>
      <c r="AG151" s="676"/>
      <c r="AH151" s="676"/>
      <c r="AI151" s="676"/>
      <c r="AJ151" s="676"/>
      <c r="AK151" s="676"/>
      <c r="AL151" s="676">
        <v>12.30056367631604</v>
      </c>
      <c r="AM151" s="676">
        <v>0</v>
      </c>
      <c r="AN151" s="676"/>
      <c r="AO151" s="676"/>
      <c r="AP151" s="676"/>
      <c r="AQ151" s="676"/>
      <c r="AR151" s="676"/>
      <c r="AS151" s="676"/>
      <c r="AT151" s="674">
        <v>0.78819145887073661</v>
      </c>
      <c r="AU151" s="676">
        <v>0.78819145887073661</v>
      </c>
      <c r="AV151" s="676">
        <v>0</v>
      </c>
      <c r="AW151" s="676">
        <v>0</v>
      </c>
      <c r="AX151" s="676">
        <v>0</v>
      </c>
      <c r="AY151" s="676">
        <v>0</v>
      </c>
      <c r="AZ151" s="674">
        <v>4.7769179325499185E-2</v>
      </c>
      <c r="BA151" s="676"/>
      <c r="BB151" s="676"/>
      <c r="BC151" s="676"/>
      <c r="BD151" s="676">
        <v>0</v>
      </c>
      <c r="BE151" s="676"/>
      <c r="BF151" s="676">
        <v>4.7769179325499185E-2</v>
      </c>
      <c r="BG151" s="676">
        <v>0</v>
      </c>
      <c r="BH151" s="676">
        <v>0</v>
      </c>
      <c r="BI151" s="676">
        <v>0</v>
      </c>
      <c r="BJ151" s="676">
        <v>0</v>
      </c>
      <c r="BK151" s="676">
        <v>0</v>
      </c>
      <c r="BL151" s="676">
        <v>0</v>
      </c>
      <c r="BM151" s="676">
        <v>0</v>
      </c>
      <c r="BN151" s="676">
        <v>0</v>
      </c>
      <c r="BO151" s="674">
        <v>0</v>
      </c>
      <c r="BP151" s="676">
        <v>0</v>
      </c>
      <c r="BQ151" s="676">
        <v>0</v>
      </c>
      <c r="BR151" s="675"/>
      <c r="BS151" s="675">
        <v>3.1288812458201964</v>
      </c>
      <c r="BT151" s="674">
        <v>47.888602273812936</v>
      </c>
    </row>
    <row r="152" spans="1:72">
      <c r="A152" s="681"/>
      <c r="B152" s="680" t="s">
        <v>968</v>
      </c>
      <c r="C152" s="679" t="s">
        <v>1010</v>
      </c>
      <c r="D152" s="679"/>
      <c r="E152" s="679"/>
      <c r="F152" s="678" t="s">
        <v>1009</v>
      </c>
      <c r="G152" s="678"/>
      <c r="H152" s="677">
        <v>134.30304767364095</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25.628164708130313</v>
      </c>
      <c r="X152" s="676"/>
      <c r="Y152" s="676"/>
      <c r="Z152" s="676"/>
      <c r="AA152" s="676"/>
      <c r="AB152" s="676"/>
      <c r="AC152" s="676"/>
      <c r="AD152" s="676"/>
      <c r="AE152" s="676">
        <v>5.493455622432406</v>
      </c>
      <c r="AF152" s="676"/>
      <c r="AG152" s="676"/>
      <c r="AH152" s="676"/>
      <c r="AI152" s="676"/>
      <c r="AJ152" s="676"/>
      <c r="AK152" s="676"/>
      <c r="AL152" s="676">
        <v>18.438903219642686</v>
      </c>
      <c r="AM152" s="676">
        <v>0</v>
      </c>
      <c r="AN152" s="676"/>
      <c r="AO152" s="676"/>
      <c r="AP152" s="676"/>
      <c r="AQ152" s="676">
        <v>1.6719212763924716</v>
      </c>
      <c r="AR152" s="676"/>
      <c r="AS152" s="676"/>
      <c r="AT152" s="674">
        <v>4.2036877806439286</v>
      </c>
      <c r="AU152" s="676">
        <v>4.2036877806439286</v>
      </c>
      <c r="AV152" s="676">
        <v>0</v>
      </c>
      <c r="AW152" s="676">
        <v>0</v>
      </c>
      <c r="AX152" s="676">
        <v>0</v>
      </c>
      <c r="AY152" s="676">
        <v>0</v>
      </c>
      <c r="AZ152" s="674">
        <v>2.3884589662749593E-2</v>
      </c>
      <c r="BA152" s="676"/>
      <c r="BB152" s="676"/>
      <c r="BC152" s="676"/>
      <c r="BD152" s="676">
        <v>0</v>
      </c>
      <c r="BE152" s="676"/>
      <c r="BF152" s="676">
        <v>2.3884589662749593E-2</v>
      </c>
      <c r="BG152" s="676">
        <v>0</v>
      </c>
      <c r="BH152" s="676">
        <v>0</v>
      </c>
      <c r="BI152" s="676">
        <v>0</v>
      </c>
      <c r="BJ152" s="676">
        <v>0</v>
      </c>
      <c r="BK152" s="676">
        <v>0</v>
      </c>
      <c r="BL152" s="676">
        <v>0</v>
      </c>
      <c r="BM152" s="676">
        <v>0</v>
      </c>
      <c r="BN152" s="676">
        <v>0</v>
      </c>
      <c r="BO152" s="674">
        <v>0</v>
      </c>
      <c r="BP152" s="676">
        <v>0</v>
      </c>
      <c r="BQ152" s="676">
        <v>0</v>
      </c>
      <c r="BR152" s="675"/>
      <c r="BS152" s="675">
        <v>3.7498805770516861</v>
      </c>
      <c r="BT152" s="674">
        <v>100.69743001815229</v>
      </c>
    </row>
    <row r="153" spans="1:72">
      <c r="A153" s="681"/>
      <c r="B153" s="680" t="s">
        <v>968</v>
      </c>
      <c r="C153" s="679" t="s">
        <v>1008</v>
      </c>
      <c r="D153" s="679"/>
      <c r="E153" s="679"/>
      <c r="F153" s="678" t="s">
        <v>1007</v>
      </c>
      <c r="G153" s="678"/>
      <c r="H153" s="677">
        <v>109.79745867965988</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57.394668959587271</v>
      </c>
      <c r="X153" s="676"/>
      <c r="Y153" s="676"/>
      <c r="Z153" s="676"/>
      <c r="AA153" s="676"/>
      <c r="AB153" s="676"/>
      <c r="AC153" s="676"/>
      <c r="AD153" s="676"/>
      <c r="AE153" s="676">
        <v>1.0986911244864812</v>
      </c>
      <c r="AF153" s="676"/>
      <c r="AG153" s="676"/>
      <c r="AH153" s="676"/>
      <c r="AI153" s="676"/>
      <c r="AJ153" s="676"/>
      <c r="AK153" s="676"/>
      <c r="AL153" s="676">
        <v>55.340594248590804</v>
      </c>
      <c r="AM153" s="676">
        <v>0.95538358650998367</v>
      </c>
      <c r="AN153" s="676"/>
      <c r="AO153" s="676"/>
      <c r="AP153" s="676"/>
      <c r="AQ153" s="676"/>
      <c r="AR153" s="676"/>
      <c r="AS153" s="676"/>
      <c r="AT153" s="674">
        <v>4.179803190981179</v>
      </c>
      <c r="AU153" s="676">
        <v>4.179803190981179</v>
      </c>
      <c r="AV153" s="676">
        <v>0</v>
      </c>
      <c r="AW153" s="676">
        <v>0</v>
      </c>
      <c r="AX153" s="676">
        <v>0</v>
      </c>
      <c r="AY153" s="676">
        <v>0</v>
      </c>
      <c r="AZ153" s="674">
        <v>2.3884589662749593E-2</v>
      </c>
      <c r="BA153" s="676"/>
      <c r="BB153" s="676"/>
      <c r="BC153" s="676"/>
      <c r="BD153" s="676">
        <v>0</v>
      </c>
      <c r="BE153" s="676"/>
      <c r="BF153" s="676">
        <v>2.3884589662749593E-2</v>
      </c>
      <c r="BG153" s="676">
        <v>0</v>
      </c>
      <c r="BH153" s="676">
        <v>0</v>
      </c>
      <c r="BI153" s="676">
        <v>0</v>
      </c>
      <c r="BJ153" s="676">
        <v>0</v>
      </c>
      <c r="BK153" s="676">
        <v>0</v>
      </c>
      <c r="BL153" s="676">
        <v>0</v>
      </c>
      <c r="BM153" s="676">
        <v>0</v>
      </c>
      <c r="BN153" s="676">
        <v>0</v>
      </c>
      <c r="BO153" s="674">
        <v>0</v>
      </c>
      <c r="BP153" s="676">
        <v>0</v>
      </c>
      <c r="BQ153" s="676">
        <v>0</v>
      </c>
      <c r="BR153" s="675"/>
      <c r="BS153" s="675">
        <v>0.14330753797649756</v>
      </c>
      <c r="BT153" s="674">
        <v>48.055794401452182</v>
      </c>
    </row>
    <row r="154" spans="1:72">
      <c r="A154" s="681"/>
      <c r="B154" s="680" t="s">
        <v>968</v>
      </c>
      <c r="C154" s="679" t="s">
        <v>1006</v>
      </c>
      <c r="D154" s="679"/>
      <c r="E154" s="679"/>
      <c r="F154" s="678" t="s">
        <v>1005</v>
      </c>
      <c r="G154" s="678"/>
      <c r="H154" s="677">
        <v>379.02455335817331</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85.17244673736505</v>
      </c>
      <c r="X154" s="676"/>
      <c r="Y154" s="676"/>
      <c r="Z154" s="676"/>
      <c r="AA154" s="676"/>
      <c r="AB154" s="676"/>
      <c r="AC154" s="676"/>
      <c r="AD154" s="676"/>
      <c r="AE154" s="676">
        <v>16.52813604662272</v>
      </c>
      <c r="AF154" s="676"/>
      <c r="AG154" s="676"/>
      <c r="AH154" s="676"/>
      <c r="AI154" s="676"/>
      <c r="AJ154" s="676"/>
      <c r="AK154" s="676"/>
      <c r="AL154" s="676">
        <v>68.64431069074233</v>
      </c>
      <c r="AM154" s="676">
        <v>0</v>
      </c>
      <c r="AN154" s="676"/>
      <c r="AO154" s="676"/>
      <c r="AP154" s="676"/>
      <c r="AQ154" s="676"/>
      <c r="AR154" s="676"/>
      <c r="AS154" s="676"/>
      <c r="AT154" s="674">
        <v>40.102226043756566</v>
      </c>
      <c r="AU154" s="676">
        <v>40.102226043756566</v>
      </c>
      <c r="AV154" s="676">
        <v>0</v>
      </c>
      <c r="AW154" s="676">
        <v>0</v>
      </c>
      <c r="AX154" s="676">
        <v>0</v>
      </c>
      <c r="AY154" s="676">
        <v>0</v>
      </c>
      <c r="AZ154" s="674">
        <v>4.8963408808636668</v>
      </c>
      <c r="BA154" s="676"/>
      <c r="BB154" s="676"/>
      <c r="BC154" s="676"/>
      <c r="BD154" s="676">
        <v>0</v>
      </c>
      <c r="BE154" s="676"/>
      <c r="BF154" s="676">
        <v>2.2212668386357119</v>
      </c>
      <c r="BG154" s="676">
        <v>0</v>
      </c>
      <c r="BH154" s="676">
        <v>0</v>
      </c>
      <c r="BI154" s="676">
        <v>2.6750740422279544</v>
      </c>
      <c r="BJ154" s="676">
        <v>0</v>
      </c>
      <c r="BK154" s="676">
        <v>0</v>
      </c>
      <c r="BL154" s="676">
        <v>0</v>
      </c>
      <c r="BM154" s="676">
        <v>0</v>
      </c>
      <c r="BN154" s="676">
        <v>0</v>
      </c>
      <c r="BO154" s="674">
        <v>2.6750740422279544</v>
      </c>
      <c r="BP154" s="676">
        <v>0</v>
      </c>
      <c r="BQ154" s="676">
        <v>2.6750740422279544</v>
      </c>
      <c r="BR154" s="675"/>
      <c r="BS154" s="675">
        <v>12.634947931594535</v>
      </c>
      <c r="BT154" s="674">
        <v>233.54351772236552</v>
      </c>
    </row>
    <row r="155" spans="1:72">
      <c r="A155" s="681"/>
      <c r="B155" s="680" t="s">
        <v>968</v>
      </c>
      <c r="C155" s="679" t="s">
        <v>1004</v>
      </c>
      <c r="D155" s="679"/>
      <c r="E155" s="679"/>
      <c r="F155" s="678" t="s">
        <v>1003</v>
      </c>
      <c r="G155" s="678"/>
      <c r="H155" s="677">
        <v>813.55689309257662</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97.568548772332093</v>
      </c>
      <c r="X155" s="676"/>
      <c r="Y155" s="676"/>
      <c r="Z155" s="676"/>
      <c r="AA155" s="676"/>
      <c r="AB155" s="676"/>
      <c r="AC155" s="676"/>
      <c r="AD155" s="676"/>
      <c r="AE155" s="676">
        <v>13.208178083500524</v>
      </c>
      <c r="AF155" s="676"/>
      <c r="AG155" s="676"/>
      <c r="AH155" s="676"/>
      <c r="AI155" s="676"/>
      <c r="AJ155" s="676"/>
      <c r="AK155" s="676"/>
      <c r="AL155" s="676">
        <v>4.1081494219929295</v>
      </c>
      <c r="AM155" s="676">
        <v>80.252221266838632</v>
      </c>
      <c r="AN155" s="676"/>
      <c r="AO155" s="676"/>
      <c r="AP155" s="676"/>
      <c r="AQ155" s="676"/>
      <c r="AR155" s="676"/>
      <c r="AS155" s="676"/>
      <c r="AT155" s="674">
        <v>1.4330753797649756</v>
      </c>
      <c r="AU155" s="676">
        <v>1.4330753797649756</v>
      </c>
      <c r="AV155" s="676">
        <v>0</v>
      </c>
      <c r="AW155" s="676">
        <v>0</v>
      </c>
      <c r="AX155" s="676">
        <v>0</v>
      </c>
      <c r="AY155" s="676">
        <v>0</v>
      </c>
      <c r="AZ155" s="674">
        <v>279.54523741282122</v>
      </c>
      <c r="BA155" s="676"/>
      <c r="BB155" s="676"/>
      <c r="BC155" s="676"/>
      <c r="BD155" s="676">
        <v>0</v>
      </c>
      <c r="BE155" s="676"/>
      <c r="BF155" s="676">
        <v>279.54523741282122</v>
      </c>
      <c r="BG155" s="676">
        <v>0</v>
      </c>
      <c r="BH155" s="676">
        <v>0</v>
      </c>
      <c r="BI155" s="676">
        <v>0</v>
      </c>
      <c r="BJ155" s="676">
        <v>0</v>
      </c>
      <c r="BK155" s="676">
        <v>0</v>
      </c>
      <c r="BL155" s="676">
        <v>0</v>
      </c>
      <c r="BM155" s="676">
        <v>0</v>
      </c>
      <c r="BN155" s="676">
        <v>0</v>
      </c>
      <c r="BO155" s="674">
        <v>0</v>
      </c>
      <c r="BP155" s="676">
        <v>0</v>
      </c>
      <c r="BQ155" s="676">
        <v>0</v>
      </c>
      <c r="BR155" s="675"/>
      <c r="BS155" s="675">
        <v>0.35826884494124389</v>
      </c>
      <c r="BT155" s="674">
        <v>434.65176268271711</v>
      </c>
    </row>
    <row r="156" spans="1:72">
      <c r="A156" s="681"/>
      <c r="B156" s="680" t="s">
        <v>968</v>
      </c>
      <c r="C156" s="679" t="s">
        <v>1002</v>
      </c>
      <c r="D156" s="679"/>
      <c r="E156" s="679"/>
      <c r="F156" s="678" t="s">
        <v>1001</v>
      </c>
      <c r="G156" s="678"/>
      <c r="H156" s="677">
        <v>148.51437852297695</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10.174835196331326</v>
      </c>
      <c r="X156" s="676"/>
      <c r="Y156" s="676"/>
      <c r="Z156" s="676"/>
      <c r="AA156" s="676"/>
      <c r="AB156" s="676"/>
      <c r="AC156" s="676"/>
      <c r="AD156" s="676"/>
      <c r="AE156" s="676"/>
      <c r="AF156" s="676"/>
      <c r="AG156" s="676"/>
      <c r="AH156" s="676"/>
      <c r="AI156" s="676"/>
      <c r="AJ156" s="676"/>
      <c r="AK156" s="676"/>
      <c r="AL156" s="676">
        <v>9.219451609821343</v>
      </c>
      <c r="AM156" s="676">
        <v>0.95538358650998367</v>
      </c>
      <c r="AN156" s="676"/>
      <c r="AO156" s="676"/>
      <c r="AP156" s="676"/>
      <c r="AQ156" s="676"/>
      <c r="AR156" s="676"/>
      <c r="AS156" s="676"/>
      <c r="AT156" s="674">
        <v>0.31049966561574471</v>
      </c>
      <c r="AU156" s="676">
        <v>0.31049966561574471</v>
      </c>
      <c r="AV156" s="676">
        <v>0</v>
      </c>
      <c r="AW156" s="676">
        <v>0</v>
      </c>
      <c r="AX156" s="676">
        <v>0</v>
      </c>
      <c r="AY156" s="676">
        <v>0</v>
      </c>
      <c r="AZ156" s="674">
        <v>71.008885067354541</v>
      </c>
      <c r="BA156" s="676"/>
      <c r="BB156" s="676"/>
      <c r="BC156" s="676"/>
      <c r="BD156" s="676">
        <v>0</v>
      </c>
      <c r="BE156" s="676"/>
      <c r="BF156" s="676">
        <v>71.008885067354541</v>
      </c>
      <c r="BG156" s="676">
        <v>0</v>
      </c>
      <c r="BH156" s="676">
        <v>0</v>
      </c>
      <c r="BI156" s="676">
        <v>0</v>
      </c>
      <c r="BJ156" s="676">
        <v>0</v>
      </c>
      <c r="BK156" s="676">
        <v>0</v>
      </c>
      <c r="BL156" s="676">
        <v>0</v>
      </c>
      <c r="BM156" s="676">
        <v>0</v>
      </c>
      <c r="BN156" s="676">
        <v>0</v>
      </c>
      <c r="BO156" s="674">
        <v>0</v>
      </c>
      <c r="BP156" s="676">
        <v>0</v>
      </c>
      <c r="BQ156" s="676">
        <v>0</v>
      </c>
      <c r="BR156" s="675"/>
      <c r="BS156" s="675">
        <v>5.3740326741186584</v>
      </c>
      <c r="BT156" s="674">
        <v>61.646125919556702</v>
      </c>
    </row>
    <row r="157" spans="1:72">
      <c r="A157" s="681"/>
      <c r="B157" s="680" t="s">
        <v>968</v>
      </c>
      <c r="C157" s="679" t="s">
        <v>1000</v>
      </c>
      <c r="D157" s="679"/>
      <c r="E157" s="679"/>
      <c r="F157" s="678" t="s">
        <v>999</v>
      </c>
      <c r="G157" s="678"/>
      <c r="H157" s="677">
        <v>255.94726282602463</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150.90283748925194</v>
      </c>
      <c r="X157" s="676"/>
      <c r="Y157" s="676"/>
      <c r="Z157" s="676"/>
      <c r="AA157" s="676"/>
      <c r="AB157" s="676"/>
      <c r="AC157" s="676"/>
      <c r="AD157" s="676"/>
      <c r="AE157" s="676">
        <v>18.72551829559568</v>
      </c>
      <c r="AF157" s="676"/>
      <c r="AG157" s="676"/>
      <c r="AH157" s="676"/>
      <c r="AI157" s="676"/>
      <c r="AJ157" s="676"/>
      <c r="AK157" s="676"/>
      <c r="AL157" s="676">
        <v>132.17731919365625</v>
      </c>
      <c r="AM157" s="676">
        <v>0</v>
      </c>
      <c r="AN157" s="676"/>
      <c r="AO157" s="676"/>
      <c r="AP157" s="676"/>
      <c r="AQ157" s="676"/>
      <c r="AR157" s="676"/>
      <c r="AS157" s="676"/>
      <c r="AT157" s="674">
        <v>0.50157638291774143</v>
      </c>
      <c r="AU157" s="676">
        <v>0.50157638291774143</v>
      </c>
      <c r="AV157" s="676">
        <v>0</v>
      </c>
      <c r="AW157" s="676">
        <v>0</v>
      </c>
      <c r="AX157" s="676">
        <v>0</v>
      </c>
      <c r="AY157" s="676">
        <v>0</v>
      </c>
      <c r="AZ157" s="674">
        <v>4.0364956530046809</v>
      </c>
      <c r="BA157" s="676"/>
      <c r="BB157" s="676"/>
      <c r="BC157" s="676"/>
      <c r="BD157" s="676">
        <v>0</v>
      </c>
      <c r="BE157" s="676"/>
      <c r="BF157" s="676">
        <v>4.0364956530046809</v>
      </c>
      <c r="BG157" s="676">
        <v>0</v>
      </c>
      <c r="BH157" s="676">
        <v>0</v>
      </c>
      <c r="BI157" s="676">
        <v>0</v>
      </c>
      <c r="BJ157" s="676">
        <v>0</v>
      </c>
      <c r="BK157" s="676">
        <v>0</v>
      </c>
      <c r="BL157" s="676">
        <v>0</v>
      </c>
      <c r="BM157" s="676">
        <v>0</v>
      </c>
      <c r="BN157" s="676">
        <v>0</v>
      </c>
      <c r="BO157" s="674">
        <v>0</v>
      </c>
      <c r="BP157" s="676">
        <v>0</v>
      </c>
      <c r="BQ157" s="676">
        <v>0</v>
      </c>
      <c r="BR157" s="675"/>
      <c r="BS157" s="675">
        <v>0</v>
      </c>
      <c r="BT157" s="674">
        <v>100.50635330085029</v>
      </c>
    </row>
    <row r="158" spans="1:72">
      <c r="A158" s="681"/>
      <c r="B158" s="680" t="s">
        <v>968</v>
      </c>
      <c r="C158" s="679" t="s">
        <v>998</v>
      </c>
      <c r="D158" s="679"/>
      <c r="E158" s="679"/>
      <c r="F158" s="678" t="s">
        <v>997</v>
      </c>
      <c r="G158" s="678"/>
      <c r="H158" s="677">
        <v>8.670106047578102</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1.0270373554982324</v>
      </c>
      <c r="X158" s="676"/>
      <c r="Y158" s="676"/>
      <c r="Z158" s="676"/>
      <c r="AA158" s="676"/>
      <c r="AB158" s="676"/>
      <c r="AC158" s="676"/>
      <c r="AD158" s="676"/>
      <c r="AE158" s="676"/>
      <c r="AF158" s="676"/>
      <c r="AG158" s="676"/>
      <c r="AH158" s="676"/>
      <c r="AI158" s="676"/>
      <c r="AJ158" s="676"/>
      <c r="AK158" s="676"/>
      <c r="AL158" s="676">
        <v>1.0270373554982324</v>
      </c>
      <c r="AM158" s="676">
        <v>0</v>
      </c>
      <c r="AN158" s="676"/>
      <c r="AO158" s="676"/>
      <c r="AP158" s="676"/>
      <c r="AQ158" s="676"/>
      <c r="AR158" s="676"/>
      <c r="AS158" s="676"/>
      <c r="AT158" s="674">
        <v>0.52546097258049107</v>
      </c>
      <c r="AU158" s="676">
        <v>0.52546097258049107</v>
      </c>
      <c r="AV158" s="676">
        <v>0</v>
      </c>
      <c r="AW158" s="676">
        <v>0</v>
      </c>
      <c r="AX158" s="676">
        <v>0</v>
      </c>
      <c r="AY158" s="676">
        <v>0</v>
      </c>
      <c r="AZ158" s="674">
        <v>0</v>
      </c>
      <c r="BA158" s="676"/>
      <c r="BB158" s="676"/>
      <c r="BC158" s="676"/>
      <c r="BD158" s="676">
        <v>0</v>
      </c>
      <c r="BE158" s="676"/>
      <c r="BF158" s="676">
        <v>0</v>
      </c>
      <c r="BG158" s="676">
        <v>0</v>
      </c>
      <c r="BH158" s="676">
        <v>0</v>
      </c>
      <c r="BI158" s="676">
        <v>0</v>
      </c>
      <c r="BJ158" s="676">
        <v>0</v>
      </c>
      <c r="BK158" s="676">
        <v>0</v>
      </c>
      <c r="BL158" s="676">
        <v>0</v>
      </c>
      <c r="BM158" s="676">
        <v>0</v>
      </c>
      <c r="BN158" s="676">
        <v>0</v>
      </c>
      <c r="BO158" s="674">
        <v>0</v>
      </c>
      <c r="BP158" s="676">
        <v>0</v>
      </c>
      <c r="BQ158" s="676">
        <v>0</v>
      </c>
      <c r="BR158" s="675"/>
      <c r="BS158" s="675">
        <v>4.7769179325499185E-2</v>
      </c>
      <c r="BT158" s="674">
        <v>7.0459539505111302</v>
      </c>
    </row>
    <row r="159" spans="1:72">
      <c r="A159" s="681"/>
      <c r="B159" s="680" t="s">
        <v>968</v>
      </c>
      <c r="C159" s="679" t="s">
        <v>996</v>
      </c>
      <c r="D159" s="679"/>
      <c r="E159" s="679"/>
      <c r="F159" s="678" t="s">
        <v>995</v>
      </c>
      <c r="G159" s="678"/>
      <c r="H159" s="677">
        <v>52.61775102703735</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4.179803190981179</v>
      </c>
      <c r="X159" s="676"/>
      <c r="Y159" s="676"/>
      <c r="Z159" s="676"/>
      <c r="AA159" s="676"/>
      <c r="AB159" s="676"/>
      <c r="AC159" s="676"/>
      <c r="AD159" s="676"/>
      <c r="AE159" s="676">
        <v>1.0986911244864812</v>
      </c>
      <c r="AF159" s="676"/>
      <c r="AG159" s="676"/>
      <c r="AH159" s="676"/>
      <c r="AI159" s="676"/>
      <c r="AJ159" s="676"/>
      <c r="AK159" s="676"/>
      <c r="AL159" s="676">
        <v>3.0811120664946974</v>
      </c>
      <c r="AM159" s="676">
        <v>0</v>
      </c>
      <c r="AN159" s="676"/>
      <c r="AO159" s="676"/>
      <c r="AP159" s="676"/>
      <c r="AQ159" s="676"/>
      <c r="AR159" s="676"/>
      <c r="AS159" s="676"/>
      <c r="AT159" s="674">
        <v>3.0811120664946974</v>
      </c>
      <c r="AU159" s="676">
        <v>3.0811120664946974</v>
      </c>
      <c r="AV159" s="676">
        <v>0</v>
      </c>
      <c r="AW159" s="676">
        <v>0</v>
      </c>
      <c r="AX159" s="676">
        <v>0</v>
      </c>
      <c r="AY159" s="676">
        <v>0</v>
      </c>
      <c r="AZ159" s="674">
        <v>2.1734976593102129</v>
      </c>
      <c r="BA159" s="676"/>
      <c r="BB159" s="676"/>
      <c r="BC159" s="676"/>
      <c r="BD159" s="676">
        <v>0</v>
      </c>
      <c r="BE159" s="676"/>
      <c r="BF159" s="676">
        <v>2.1734976593102129</v>
      </c>
      <c r="BG159" s="676">
        <v>0</v>
      </c>
      <c r="BH159" s="676">
        <v>0</v>
      </c>
      <c r="BI159" s="676">
        <v>0</v>
      </c>
      <c r="BJ159" s="676">
        <v>0</v>
      </c>
      <c r="BK159" s="676">
        <v>0</v>
      </c>
      <c r="BL159" s="676">
        <v>0</v>
      </c>
      <c r="BM159" s="676">
        <v>0</v>
      </c>
      <c r="BN159" s="676">
        <v>0</v>
      </c>
      <c r="BO159" s="674">
        <v>0</v>
      </c>
      <c r="BP159" s="676">
        <v>0</v>
      </c>
      <c r="BQ159" s="676">
        <v>0</v>
      </c>
      <c r="BR159" s="675"/>
      <c r="BS159" s="675">
        <v>0.45380720359224225</v>
      </c>
      <c r="BT159" s="674">
        <v>42.729530906659022</v>
      </c>
    </row>
    <row r="160" spans="1:72">
      <c r="A160" s="680" t="s">
        <v>968</v>
      </c>
      <c r="B160" s="679" t="s">
        <v>994</v>
      </c>
      <c r="C160" s="679"/>
      <c r="D160" s="679"/>
      <c r="E160" s="679"/>
      <c r="F160" s="678" t="s">
        <v>993</v>
      </c>
      <c r="G160" s="678"/>
      <c r="H160" s="677">
        <v>5331.0642973153717</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5101.1990064010697</v>
      </c>
      <c r="X160" s="676"/>
      <c r="Y160" s="676"/>
      <c r="Z160" s="676"/>
      <c r="AA160" s="676"/>
      <c r="AB160" s="676"/>
      <c r="AC160" s="676"/>
      <c r="AD160" s="676"/>
      <c r="AE160" s="676">
        <v>2.1973822489729624</v>
      </c>
      <c r="AF160" s="676">
        <v>1256.8787618228719</v>
      </c>
      <c r="AG160" s="676">
        <v>2.1018438903219643</v>
      </c>
      <c r="AH160" s="676"/>
      <c r="AI160" s="676">
        <v>777.46727811216203</v>
      </c>
      <c r="AJ160" s="676"/>
      <c r="AK160" s="676"/>
      <c r="AL160" s="676">
        <v>3004.2753415496322</v>
      </c>
      <c r="AM160" s="676">
        <v>58.278398777109004</v>
      </c>
      <c r="AN160" s="676"/>
      <c r="AO160" s="676"/>
      <c r="AP160" s="676"/>
      <c r="AQ160" s="676"/>
      <c r="AR160" s="676"/>
      <c r="AS160" s="676"/>
      <c r="AT160" s="674">
        <v>54.385210662080823</v>
      </c>
      <c r="AU160" s="676">
        <v>54.385210662080823</v>
      </c>
      <c r="AV160" s="676">
        <v>0</v>
      </c>
      <c r="AW160" s="676">
        <v>0</v>
      </c>
      <c r="AX160" s="676">
        <v>0</v>
      </c>
      <c r="AY160" s="676">
        <v>0</v>
      </c>
      <c r="AZ160" s="674">
        <v>116.15075952995127</v>
      </c>
      <c r="BA160" s="676"/>
      <c r="BB160" s="676"/>
      <c r="BC160" s="676"/>
      <c r="BD160" s="676">
        <v>0</v>
      </c>
      <c r="BE160" s="676"/>
      <c r="BF160" s="676">
        <v>0</v>
      </c>
      <c r="BG160" s="676">
        <v>0</v>
      </c>
      <c r="BH160" s="676">
        <v>0</v>
      </c>
      <c r="BI160" s="676">
        <v>0</v>
      </c>
      <c r="BJ160" s="676">
        <v>4.4903028565969239</v>
      </c>
      <c r="BK160" s="676">
        <v>110.75284226616986</v>
      </c>
      <c r="BL160" s="676">
        <v>0</v>
      </c>
      <c r="BM160" s="676">
        <v>0.93149899684723414</v>
      </c>
      <c r="BN160" s="676">
        <v>0</v>
      </c>
      <c r="BO160" s="674">
        <v>0</v>
      </c>
      <c r="BP160" s="676">
        <v>0</v>
      </c>
      <c r="BQ160" s="676">
        <v>0</v>
      </c>
      <c r="BR160" s="675"/>
      <c r="BS160" s="675"/>
      <c r="BT160" s="674">
        <v>59.329320722269991</v>
      </c>
    </row>
    <row r="161" spans="1:72">
      <c r="A161" s="681"/>
      <c r="B161" s="680" t="s">
        <v>968</v>
      </c>
      <c r="C161" s="679" t="s">
        <v>992</v>
      </c>
      <c r="D161" s="679"/>
      <c r="E161" s="679"/>
      <c r="F161" s="678" t="s">
        <v>991</v>
      </c>
      <c r="G161" s="678"/>
      <c r="H161" s="677">
        <v>72.394191267794014</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13.327601031814273</v>
      </c>
      <c r="X161" s="676"/>
      <c r="Y161" s="676"/>
      <c r="Z161" s="676"/>
      <c r="AA161" s="676"/>
      <c r="AB161" s="676"/>
      <c r="AC161" s="676"/>
      <c r="AD161" s="676"/>
      <c r="AE161" s="676"/>
      <c r="AF161" s="676"/>
      <c r="AG161" s="676"/>
      <c r="AH161" s="676"/>
      <c r="AI161" s="676"/>
      <c r="AJ161" s="676"/>
      <c r="AK161" s="676"/>
      <c r="AL161" s="676">
        <v>13.327601031814273</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59.066590235979746</v>
      </c>
    </row>
    <row r="162" spans="1:72">
      <c r="A162" s="681"/>
      <c r="B162" s="680" t="s">
        <v>968</v>
      </c>
      <c r="C162" s="679" t="s">
        <v>990</v>
      </c>
      <c r="D162" s="679"/>
      <c r="E162" s="679"/>
      <c r="F162" s="678" t="s">
        <v>989</v>
      </c>
      <c r="G162" s="678"/>
      <c r="H162" s="677">
        <v>3612.830801566829</v>
      </c>
      <c r="I162" s="674"/>
      <c r="J162" s="676"/>
      <c r="K162" s="676"/>
      <c r="L162" s="676"/>
      <c r="M162" s="676"/>
      <c r="N162" s="676"/>
      <c r="O162" s="676"/>
      <c r="P162" s="676"/>
      <c r="Q162" s="676"/>
      <c r="R162" s="676"/>
      <c r="S162" s="676"/>
      <c r="T162" s="676"/>
      <c r="U162" s="676"/>
      <c r="V162" s="676"/>
      <c r="W162" s="674">
        <v>3491.9747778733158</v>
      </c>
      <c r="X162" s="676"/>
      <c r="Y162" s="676"/>
      <c r="Z162" s="676"/>
      <c r="AA162" s="676"/>
      <c r="AB162" s="676"/>
      <c r="AC162" s="676"/>
      <c r="AD162" s="676"/>
      <c r="AE162" s="676">
        <v>2.1973822489729624</v>
      </c>
      <c r="AF162" s="676">
        <v>1215.0568453233973</v>
      </c>
      <c r="AG162" s="676"/>
      <c r="AH162" s="676"/>
      <c r="AI162" s="676"/>
      <c r="AJ162" s="676"/>
      <c r="AK162" s="676"/>
      <c r="AL162" s="676">
        <v>2274.7205503009459</v>
      </c>
      <c r="AM162" s="676">
        <v>0</v>
      </c>
      <c r="AN162" s="676"/>
      <c r="AO162" s="676"/>
      <c r="AP162" s="676"/>
      <c r="AQ162" s="676"/>
      <c r="AR162" s="676"/>
      <c r="AS162" s="676"/>
      <c r="AT162" s="674">
        <v>4.4425336772714239</v>
      </c>
      <c r="AU162" s="676">
        <v>4.4425336772714239</v>
      </c>
      <c r="AV162" s="676"/>
      <c r="AW162" s="676"/>
      <c r="AX162" s="676"/>
      <c r="AY162" s="676"/>
      <c r="AZ162" s="674">
        <v>116.15075952995127</v>
      </c>
      <c r="BA162" s="676"/>
      <c r="BB162" s="676"/>
      <c r="BC162" s="676"/>
      <c r="BD162" s="676">
        <v>0</v>
      </c>
      <c r="BE162" s="676"/>
      <c r="BF162" s="676">
        <v>0</v>
      </c>
      <c r="BG162" s="676">
        <v>0</v>
      </c>
      <c r="BH162" s="676">
        <v>0</v>
      </c>
      <c r="BI162" s="676">
        <v>0</v>
      </c>
      <c r="BJ162" s="676">
        <v>4.4903028565969239</v>
      </c>
      <c r="BK162" s="676">
        <v>110.75284226616986</v>
      </c>
      <c r="BL162" s="676">
        <v>0</v>
      </c>
      <c r="BM162" s="676">
        <v>0.93149899684723414</v>
      </c>
      <c r="BN162" s="676">
        <v>0</v>
      </c>
      <c r="BO162" s="674">
        <v>0</v>
      </c>
      <c r="BP162" s="676">
        <v>0</v>
      </c>
      <c r="BQ162" s="676">
        <v>0</v>
      </c>
      <c r="BR162" s="675"/>
      <c r="BS162" s="675"/>
      <c r="BT162" s="674">
        <v>0.26273048629024554</v>
      </c>
    </row>
    <row r="163" spans="1:72">
      <c r="A163" s="681"/>
      <c r="B163" s="680" t="s">
        <v>968</v>
      </c>
      <c r="C163" s="679" t="s">
        <v>988</v>
      </c>
      <c r="D163" s="679"/>
      <c r="E163" s="679"/>
      <c r="F163" s="678" t="s">
        <v>987</v>
      </c>
      <c r="G163" s="678"/>
      <c r="H163" s="677">
        <v>430.32865195375939</v>
      </c>
      <c r="I163" s="674"/>
      <c r="J163" s="676"/>
      <c r="K163" s="676"/>
      <c r="L163" s="676"/>
      <c r="M163" s="676"/>
      <c r="N163" s="676"/>
      <c r="O163" s="676"/>
      <c r="P163" s="676"/>
      <c r="Q163" s="676"/>
      <c r="R163" s="676"/>
      <c r="S163" s="676"/>
      <c r="T163" s="676"/>
      <c r="U163" s="676"/>
      <c r="V163" s="676"/>
      <c r="W163" s="674">
        <v>430.32865195375939</v>
      </c>
      <c r="X163" s="676"/>
      <c r="Y163" s="676"/>
      <c r="Z163" s="676"/>
      <c r="AA163" s="676"/>
      <c r="AB163" s="676"/>
      <c r="AC163" s="676"/>
      <c r="AD163" s="676"/>
      <c r="AE163" s="676"/>
      <c r="AF163" s="676"/>
      <c r="AG163" s="676"/>
      <c r="AH163" s="676"/>
      <c r="AI163" s="676">
        <v>430.32865195375939</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c r="A164" s="681"/>
      <c r="B164" s="680" t="s">
        <v>968</v>
      </c>
      <c r="C164" s="679" t="s">
        <v>986</v>
      </c>
      <c r="D164" s="679"/>
      <c r="E164" s="679"/>
      <c r="F164" s="678" t="s">
        <v>985</v>
      </c>
      <c r="G164" s="678"/>
      <c r="H164" s="677">
        <v>349.24047004872455</v>
      </c>
      <c r="I164" s="674"/>
      <c r="J164" s="676"/>
      <c r="K164" s="676"/>
      <c r="L164" s="676"/>
      <c r="M164" s="676"/>
      <c r="N164" s="676"/>
      <c r="O164" s="676"/>
      <c r="P164" s="676"/>
      <c r="Q164" s="676"/>
      <c r="R164" s="676"/>
      <c r="S164" s="676"/>
      <c r="T164" s="676"/>
      <c r="U164" s="676"/>
      <c r="V164" s="676"/>
      <c r="W164" s="674">
        <v>349.24047004872455</v>
      </c>
      <c r="X164" s="676"/>
      <c r="Y164" s="676"/>
      <c r="Z164" s="676"/>
      <c r="AA164" s="676"/>
      <c r="AB164" s="676"/>
      <c r="AC164" s="676"/>
      <c r="AD164" s="676"/>
      <c r="AE164" s="676"/>
      <c r="AF164" s="676"/>
      <c r="AG164" s="676">
        <v>2.1018438903219643</v>
      </c>
      <c r="AH164" s="676"/>
      <c r="AI164" s="676">
        <v>347.13862615840259</v>
      </c>
      <c r="AJ164" s="676"/>
      <c r="AK164" s="676"/>
      <c r="AL164" s="676"/>
      <c r="AM164" s="676">
        <v>0</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c r="A165" s="681"/>
      <c r="B165" s="680" t="s">
        <v>968</v>
      </c>
      <c r="C165" s="679" t="s">
        <v>984</v>
      </c>
      <c r="D165" s="679"/>
      <c r="E165" s="679"/>
      <c r="F165" s="678" t="s">
        <v>983</v>
      </c>
      <c r="G165" s="678"/>
      <c r="H165" s="677">
        <v>816.32750549345553</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816.32750549345553</v>
      </c>
      <c r="X165" s="676"/>
      <c r="Y165" s="676"/>
      <c r="Z165" s="676"/>
      <c r="AA165" s="676"/>
      <c r="AB165" s="676"/>
      <c r="AC165" s="676"/>
      <c r="AD165" s="676"/>
      <c r="AE165" s="676"/>
      <c r="AF165" s="676">
        <v>41.82191649947454</v>
      </c>
      <c r="AG165" s="676"/>
      <c r="AH165" s="676"/>
      <c r="AI165" s="676"/>
      <c r="AJ165" s="676"/>
      <c r="AK165" s="676"/>
      <c r="AL165" s="676">
        <v>716.22719021687203</v>
      </c>
      <c r="AM165" s="676">
        <v>58.278398777109004</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c r="A167" s="681"/>
      <c r="B167" s="680" t="s">
        <v>968</v>
      </c>
      <c r="C167" s="679" t="s">
        <v>980</v>
      </c>
      <c r="D167" s="679"/>
      <c r="E167" s="679"/>
      <c r="F167" s="678" t="s">
        <v>979</v>
      </c>
      <c r="G167" s="678"/>
      <c r="H167" s="677">
        <v>49.942676984809395</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49.942676984809395</v>
      </c>
      <c r="AU167" s="676">
        <v>49.942676984809395</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c r="A168" s="680" t="s">
        <v>968</v>
      </c>
      <c r="B168" s="679" t="s">
        <v>978</v>
      </c>
      <c r="C168" s="679"/>
      <c r="D168" s="679"/>
      <c r="E168" s="679"/>
      <c r="F168" s="678" t="s">
        <v>977</v>
      </c>
      <c r="G168" s="678"/>
      <c r="H168" s="677">
        <v>8142.782077003917</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1137.5752364574375</v>
      </c>
      <c r="X168" s="676"/>
      <c r="Y168" s="676"/>
      <c r="Z168" s="676"/>
      <c r="AA168" s="676"/>
      <c r="AB168" s="676"/>
      <c r="AC168" s="676"/>
      <c r="AD168" s="676"/>
      <c r="AE168" s="676">
        <v>29.736314130123244</v>
      </c>
      <c r="AF168" s="676">
        <v>23.597974586796596</v>
      </c>
      <c r="AG168" s="676"/>
      <c r="AH168" s="676"/>
      <c r="AI168" s="676">
        <v>33.892232731441673</v>
      </c>
      <c r="AJ168" s="676">
        <v>66.924620235024364</v>
      </c>
      <c r="AK168" s="676"/>
      <c r="AL168" s="676">
        <v>980.58182860418458</v>
      </c>
      <c r="AM168" s="676">
        <v>2.8661507595299511</v>
      </c>
      <c r="AN168" s="676"/>
      <c r="AO168" s="676"/>
      <c r="AP168" s="676"/>
      <c r="AQ168" s="676"/>
      <c r="AR168" s="676"/>
      <c r="AS168" s="676"/>
      <c r="AT168" s="674">
        <v>45.643450845514472</v>
      </c>
      <c r="AU168" s="676">
        <v>45.643450845514472</v>
      </c>
      <c r="AV168" s="676">
        <v>0</v>
      </c>
      <c r="AW168" s="676">
        <v>0</v>
      </c>
      <c r="AX168" s="676">
        <v>0</v>
      </c>
      <c r="AY168" s="676">
        <v>0</v>
      </c>
      <c r="AZ168" s="674">
        <v>749.57007738607047</v>
      </c>
      <c r="BA168" s="676"/>
      <c r="BB168" s="676"/>
      <c r="BC168" s="676"/>
      <c r="BD168" s="676">
        <v>0</v>
      </c>
      <c r="BE168" s="676"/>
      <c r="BF168" s="676">
        <v>737.3411674787427</v>
      </c>
      <c r="BG168" s="676">
        <v>0</v>
      </c>
      <c r="BH168" s="676">
        <v>12.228909907327791</v>
      </c>
      <c r="BI168" s="676">
        <v>0</v>
      </c>
      <c r="BJ168" s="676">
        <v>0</v>
      </c>
      <c r="BK168" s="676">
        <v>0</v>
      </c>
      <c r="BL168" s="676">
        <v>0</v>
      </c>
      <c r="BM168" s="676">
        <v>0</v>
      </c>
      <c r="BN168" s="676">
        <v>0</v>
      </c>
      <c r="BO168" s="674">
        <v>0</v>
      </c>
      <c r="BP168" s="676">
        <v>0</v>
      </c>
      <c r="BQ168" s="676">
        <v>0</v>
      </c>
      <c r="BR168" s="675"/>
      <c r="BS168" s="675">
        <v>344.39189834718638</v>
      </c>
      <c r="BT168" s="674">
        <v>5865.6014139677081</v>
      </c>
    </row>
    <row r="169" spans="1:72">
      <c r="A169" s="681"/>
      <c r="B169" s="680" t="s">
        <v>968</v>
      </c>
      <c r="C169" s="679" t="s">
        <v>976</v>
      </c>
      <c r="D169" s="679"/>
      <c r="E169" s="679"/>
      <c r="F169" s="678" t="s">
        <v>975</v>
      </c>
      <c r="G169" s="678"/>
      <c r="H169" s="677">
        <v>2806.534823731728</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242.38081589758286</v>
      </c>
      <c r="X169" s="676"/>
      <c r="Y169" s="676"/>
      <c r="Z169" s="676"/>
      <c r="AA169" s="676"/>
      <c r="AB169" s="676"/>
      <c r="AC169" s="676"/>
      <c r="AD169" s="676"/>
      <c r="AE169" s="676">
        <v>8.8134135855545992</v>
      </c>
      <c r="AF169" s="676"/>
      <c r="AG169" s="676"/>
      <c r="AH169" s="676"/>
      <c r="AI169" s="676"/>
      <c r="AJ169" s="676">
        <v>4.1081494219929295</v>
      </c>
      <c r="AK169" s="676"/>
      <c r="AL169" s="676">
        <v>228.50386930352536</v>
      </c>
      <c r="AM169" s="676">
        <v>0.95538358650998367</v>
      </c>
      <c r="AN169" s="676"/>
      <c r="AO169" s="676"/>
      <c r="AP169" s="676"/>
      <c r="AQ169" s="676"/>
      <c r="AR169" s="676"/>
      <c r="AS169" s="676"/>
      <c r="AT169" s="674">
        <v>22.236552976019873</v>
      </c>
      <c r="AU169" s="676">
        <v>22.236552976019873</v>
      </c>
      <c r="AV169" s="676">
        <v>0</v>
      </c>
      <c r="AW169" s="676">
        <v>0</v>
      </c>
      <c r="AX169" s="676">
        <v>0</v>
      </c>
      <c r="AY169" s="676">
        <v>0</v>
      </c>
      <c r="AZ169" s="674">
        <v>33.438425527849432</v>
      </c>
      <c r="BA169" s="676"/>
      <c r="BB169" s="676"/>
      <c r="BC169" s="676"/>
      <c r="BD169" s="676">
        <v>0</v>
      </c>
      <c r="BE169" s="676"/>
      <c r="BF169" s="676">
        <v>21.209515620521639</v>
      </c>
      <c r="BG169" s="676">
        <v>0</v>
      </c>
      <c r="BH169" s="676">
        <v>12.228909907327791</v>
      </c>
      <c r="BI169" s="676">
        <v>0</v>
      </c>
      <c r="BJ169" s="676">
        <v>0</v>
      </c>
      <c r="BK169" s="676">
        <v>0</v>
      </c>
      <c r="BL169" s="676">
        <v>0</v>
      </c>
      <c r="BM169" s="676">
        <v>0</v>
      </c>
      <c r="BN169" s="676">
        <v>0</v>
      </c>
      <c r="BO169" s="674">
        <v>0</v>
      </c>
      <c r="BP169" s="676">
        <v>0</v>
      </c>
      <c r="BQ169" s="676">
        <v>0</v>
      </c>
      <c r="BR169" s="675"/>
      <c r="BS169" s="675">
        <v>250.97926817617272</v>
      </c>
      <c r="BT169" s="674">
        <v>2257.5236457437659</v>
      </c>
    </row>
    <row r="170" spans="1:72">
      <c r="A170" s="681"/>
      <c r="B170" s="680" t="s">
        <v>968</v>
      </c>
      <c r="C170" s="679" t="s">
        <v>974</v>
      </c>
      <c r="D170" s="679"/>
      <c r="E170" s="679"/>
      <c r="F170" s="678" t="s">
        <v>973</v>
      </c>
      <c r="G170" s="678"/>
      <c r="H170" s="677">
        <v>4423.7603897965027</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196.66571128308016</v>
      </c>
      <c r="X170" s="676"/>
      <c r="Y170" s="676"/>
      <c r="Z170" s="676"/>
      <c r="AA170" s="676"/>
      <c r="AB170" s="676"/>
      <c r="AC170" s="676"/>
      <c r="AD170" s="676"/>
      <c r="AE170" s="676">
        <v>13.208178083500524</v>
      </c>
      <c r="AF170" s="676">
        <v>17.149135377854208</v>
      </c>
      <c r="AG170" s="676"/>
      <c r="AH170" s="676"/>
      <c r="AI170" s="676"/>
      <c r="AJ170" s="676">
        <v>62.79258622336868</v>
      </c>
      <c r="AK170" s="676"/>
      <c r="AL170" s="676">
        <v>103.49192700869399</v>
      </c>
      <c r="AM170" s="676">
        <v>0</v>
      </c>
      <c r="AN170" s="676"/>
      <c r="AO170" s="676"/>
      <c r="AP170" s="676"/>
      <c r="AQ170" s="676"/>
      <c r="AR170" s="676"/>
      <c r="AS170" s="676"/>
      <c r="AT170" s="674">
        <v>3.9648418840164323</v>
      </c>
      <c r="AU170" s="676">
        <v>3.9648418840164323</v>
      </c>
      <c r="AV170" s="676">
        <v>0</v>
      </c>
      <c r="AW170" s="676">
        <v>0</v>
      </c>
      <c r="AX170" s="676">
        <v>0</v>
      </c>
      <c r="AY170" s="676">
        <v>0</v>
      </c>
      <c r="AZ170" s="674">
        <v>711.71300277061232</v>
      </c>
      <c r="BA170" s="676"/>
      <c r="BB170" s="676"/>
      <c r="BC170" s="676"/>
      <c r="BD170" s="676">
        <v>0</v>
      </c>
      <c r="BE170" s="676"/>
      <c r="BF170" s="676">
        <v>711.71300277061232</v>
      </c>
      <c r="BG170" s="676">
        <v>0</v>
      </c>
      <c r="BH170" s="676">
        <v>0</v>
      </c>
      <c r="BI170" s="676">
        <v>0</v>
      </c>
      <c r="BJ170" s="676">
        <v>0</v>
      </c>
      <c r="BK170" s="676">
        <v>0</v>
      </c>
      <c r="BL170" s="676">
        <v>0</v>
      </c>
      <c r="BM170" s="676">
        <v>0</v>
      </c>
      <c r="BN170" s="676">
        <v>0</v>
      </c>
      <c r="BO170" s="674">
        <v>0</v>
      </c>
      <c r="BP170" s="676">
        <v>0</v>
      </c>
      <c r="BQ170" s="676">
        <v>0</v>
      </c>
      <c r="BR170" s="675"/>
      <c r="BS170" s="675">
        <v>93.197668864048907</v>
      </c>
      <c r="BT170" s="674">
        <v>3418.2191649947454</v>
      </c>
    </row>
    <row r="171" spans="1:72">
      <c r="A171" s="681"/>
      <c r="B171" s="680" t="s">
        <v>968</v>
      </c>
      <c r="C171" s="679" t="s">
        <v>972</v>
      </c>
      <c r="D171" s="679"/>
      <c r="E171" s="679"/>
      <c r="F171" s="678" t="s">
        <v>971</v>
      </c>
      <c r="G171" s="678"/>
      <c r="H171" s="677">
        <v>343.72312983662937</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147.05741855354924</v>
      </c>
      <c r="X171" s="676"/>
      <c r="Y171" s="676"/>
      <c r="Z171" s="676"/>
      <c r="AA171" s="676"/>
      <c r="AB171" s="676"/>
      <c r="AC171" s="676"/>
      <c r="AD171" s="676"/>
      <c r="AE171" s="676">
        <v>7.7147224610681189</v>
      </c>
      <c r="AF171" s="676"/>
      <c r="AG171" s="676"/>
      <c r="AH171" s="676"/>
      <c r="AI171" s="676"/>
      <c r="AJ171" s="676"/>
      <c r="AK171" s="676"/>
      <c r="AL171" s="676">
        <v>139.34269609248113</v>
      </c>
      <c r="AM171" s="676">
        <v>0</v>
      </c>
      <c r="AN171" s="676"/>
      <c r="AO171" s="676"/>
      <c r="AP171" s="676"/>
      <c r="AQ171" s="676"/>
      <c r="AR171" s="676"/>
      <c r="AS171" s="676"/>
      <c r="AT171" s="674">
        <v>19.44205598547817</v>
      </c>
      <c r="AU171" s="676">
        <v>19.44205598547817</v>
      </c>
      <c r="AV171" s="676">
        <v>0</v>
      </c>
      <c r="AW171" s="676">
        <v>0</v>
      </c>
      <c r="AX171" s="676">
        <v>0</v>
      </c>
      <c r="AY171" s="676">
        <v>0</v>
      </c>
      <c r="AZ171" s="674">
        <v>4.4186490876086744</v>
      </c>
      <c r="BA171" s="676"/>
      <c r="BB171" s="676"/>
      <c r="BC171" s="676"/>
      <c r="BD171" s="676">
        <v>0</v>
      </c>
      <c r="BE171" s="676"/>
      <c r="BF171" s="676">
        <v>4.4186490876086744</v>
      </c>
      <c r="BG171" s="676">
        <v>0</v>
      </c>
      <c r="BH171" s="676">
        <v>0</v>
      </c>
      <c r="BI171" s="676">
        <v>0</v>
      </c>
      <c r="BJ171" s="676">
        <v>0</v>
      </c>
      <c r="BK171" s="676">
        <v>0</v>
      </c>
      <c r="BL171" s="676">
        <v>0</v>
      </c>
      <c r="BM171" s="676">
        <v>0</v>
      </c>
      <c r="BN171" s="676">
        <v>0</v>
      </c>
      <c r="BO171" s="674">
        <v>0</v>
      </c>
      <c r="BP171" s="676">
        <v>0</v>
      </c>
      <c r="BQ171" s="676">
        <v>0</v>
      </c>
      <c r="BR171" s="675"/>
      <c r="BS171" s="675">
        <v>0.21496130696474633</v>
      </c>
      <c r="BT171" s="674">
        <v>172.5661603133658</v>
      </c>
    </row>
    <row r="172" spans="1:72">
      <c r="A172" s="681"/>
      <c r="B172" s="680" t="s">
        <v>968</v>
      </c>
      <c r="C172" s="679" t="s">
        <v>970</v>
      </c>
      <c r="D172" s="679"/>
      <c r="E172" s="679"/>
      <c r="F172" s="678" t="s">
        <v>969</v>
      </c>
      <c r="G172" s="678"/>
      <c r="H172" s="677">
        <v>484.61832425718922</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467.3497659310213</v>
      </c>
      <c r="X172" s="676"/>
      <c r="Y172" s="676"/>
      <c r="Z172" s="676"/>
      <c r="AA172" s="676"/>
      <c r="AB172" s="676"/>
      <c r="AC172" s="676"/>
      <c r="AD172" s="676"/>
      <c r="AE172" s="676"/>
      <c r="AF172" s="676">
        <v>5.3501480844559088</v>
      </c>
      <c r="AG172" s="676"/>
      <c r="AH172" s="676"/>
      <c r="AI172" s="676"/>
      <c r="AJ172" s="676"/>
      <c r="AK172" s="676"/>
      <c r="AL172" s="676">
        <v>460.06496608388267</v>
      </c>
      <c r="AM172" s="676">
        <v>1.9107671730199673</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c r="A173" s="673"/>
      <c r="B173" s="672" t="s">
        <v>968</v>
      </c>
      <c r="C173" s="671" t="s">
        <v>967</v>
      </c>
      <c r="D173" s="671"/>
      <c r="E173" s="671"/>
      <c r="F173" s="670" t="s">
        <v>966</v>
      </c>
      <c r="G173" s="670"/>
      <c r="H173" s="669">
        <v>84.145409381866813</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84.145409381866813</v>
      </c>
      <c r="X173" s="668"/>
      <c r="Y173" s="668"/>
      <c r="Z173" s="668"/>
      <c r="AA173" s="668"/>
      <c r="AB173" s="668"/>
      <c r="AC173" s="668"/>
      <c r="AD173" s="668"/>
      <c r="AE173" s="668"/>
      <c r="AF173" s="668">
        <v>1.0748065348237317</v>
      </c>
      <c r="AG173" s="668"/>
      <c r="AH173" s="668"/>
      <c r="AI173" s="668">
        <v>33.892232731441673</v>
      </c>
      <c r="AJ173" s="668"/>
      <c r="AK173" s="668"/>
      <c r="AL173" s="668">
        <v>49.17837011560141</v>
      </c>
      <c r="AM173" s="668">
        <v>0</v>
      </c>
      <c r="AN173" s="668"/>
      <c r="AO173" s="668"/>
      <c r="AP173" s="668"/>
      <c r="AQ173" s="668"/>
      <c r="AR173" s="668"/>
      <c r="AS173" s="668"/>
      <c r="AT173" s="666">
        <v>0</v>
      </c>
      <c r="AU173" s="668">
        <v>0</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6370.1156014139669</v>
      </c>
      <c r="I174" s="660">
        <v>41.965224037451037</v>
      </c>
      <c r="J174" s="662">
        <v>0</v>
      </c>
      <c r="K174" s="662">
        <v>0</v>
      </c>
      <c r="L174" s="662">
        <v>17.459635043469952</v>
      </c>
      <c r="M174" s="662">
        <v>0</v>
      </c>
      <c r="N174" s="662">
        <v>0</v>
      </c>
      <c r="O174" s="662">
        <v>0</v>
      </c>
      <c r="P174" s="662">
        <v>24.505588993981082</v>
      </c>
      <c r="Q174" s="662">
        <v>0</v>
      </c>
      <c r="R174" s="662">
        <v>0</v>
      </c>
      <c r="S174" s="662">
        <v>0</v>
      </c>
      <c r="T174" s="662">
        <v>0</v>
      </c>
      <c r="U174" s="662">
        <v>0</v>
      </c>
      <c r="V174" s="662">
        <v>0</v>
      </c>
      <c r="W174" s="660">
        <v>3796.9571032769654</v>
      </c>
      <c r="X174" s="662">
        <v>545.90618133180465</v>
      </c>
      <c r="Y174" s="662">
        <v>0</v>
      </c>
      <c r="Z174" s="662">
        <v>52.546097258049102</v>
      </c>
      <c r="AA174" s="662">
        <v>0</v>
      </c>
      <c r="AB174" s="662"/>
      <c r="AC174" s="662">
        <v>46.431642304385207</v>
      </c>
      <c r="AD174" s="662">
        <v>224.61068118849718</v>
      </c>
      <c r="AE174" s="662">
        <v>472.36552976019868</v>
      </c>
      <c r="AF174" s="662">
        <v>584.45590904748258</v>
      </c>
      <c r="AG174" s="662">
        <v>-2.1018438903219643</v>
      </c>
      <c r="AH174" s="662">
        <v>8.4551447406133562</v>
      </c>
      <c r="AI174" s="662">
        <v>-24.648896531957579</v>
      </c>
      <c r="AJ174" s="662">
        <v>0</v>
      </c>
      <c r="AK174" s="662">
        <v>1844.3680137575236</v>
      </c>
      <c r="AL174" s="662">
        <v>346.25489634088086</v>
      </c>
      <c r="AM174" s="662">
        <v>-75.809687589567204</v>
      </c>
      <c r="AN174" s="662">
        <v>1.0509219451609821</v>
      </c>
      <c r="AO174" s="662">
        <v>9.0283748925193468</v>
      </c>
      <c r="AP174" s="662">
        <v>-0.93149899684723414</v>
      </c>
      <c r="AQ174" s="662">
        <v>-234.068978694946</v>
      </c>
      <c r="AR174" s="662">
        <v>0</v>
      </c>
      <c r="AS174" s="662">
        <v>-0.95538358650998367</v>
      </c>
      <c r="AT174" s="660">
        <v>2529.9751600267505</v>
      </c>
      <c r="AU174" s="662">
        <v>2529.9990446164134</v>
      </c>
      <c r="AV174" s="662">
        <v>0</v>
      </c>
      <c r="AW174" s="662">
        <v>0</v>
      </c>
      <c r="AX174" s="662">
        <v>0</v>
      </c>
      <c r="AY174" s="662">
        <v>0</v>
      </c>
      <c r="AZ174" s="660">
        <v>1.2181140728002293</v>
      </c>
      <c r="BA174" s="662">
        <v>0</v>
      </c>
      <c r="BB174" s="662">
        <v>0</v>
      </c>
      <c r="BC174" s="662">
        <v>0</v>
      </c>
      <c r="BD174" s="662">
        <v>0</v>
      </c>
      <c r="BE174" s="662">
        <v>0</v>
      </c>
      <c r="BF174" s="662">
        <v>0</v>
      </c>
      <c r="BG174" s="662">
        <v>0</v>
      </c>
      <c r="BH174" s="662">
        <v>1.0509219451609821</v>
      </c>
      <c r="BI174" s="662">
        <v>0</v>
      </c>
      <c r="BJ174" s="662">
        <v>0.31049966561574471</v>
      </c>
      <c r="BK174" s="662">
        <v>-0.14330753797649756</v>
      </c>
      <c r="BL174" s="662">
        <v>0</v>
      </c>
      <c r="BM174" s="662">
        <v>0</v>
      </c>
      <c r="BN174" s="662">
        <v>0</v>
      </c>
      <c r="BO174" s="660">
        <v>0</v>
      </c>
      <c r="BP174" s="662">
        <v>0</v>
      </c>
      <c r="BQ174" s="662">
        <v>0</v>
      </c>
      <c r="BR174" s="661">
        <v>0</v>
      </c>
      <c r="BS174" s="661">
        <v>0</v>
      </c>
      <c r="BT174" s="660">
        <v>0</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656"/>
      <c r="B179" s="656"/>
      <c r="C179" s="656" t="s">
        <v>962</v>
      </c>
      <c r="D179" s="656"/>
      <c r="E179" s="656"/>
      <c r="F179" s="658" t="s">
        <v>961</v>
      </c>
      <c r="G179" s="658"/>
      <c r="H179" s="658"/>
      <c r="I179" s="658"/>
      <c r="J179" s="658"/>
      <c r="K179" s="658"/>
      <c r="L179" s="658"/>
      <c r="M179" s="658"/>
      <c r="N179" s="658"/>
      <c r="O179" s="658"/>
      <c r="P179" s="658"/>
      <c r="Q179" s="658"/>
      <c r="R179" s="658"/>
      <c r="S179" s="658"/>
      <c r="T179" s="658"/>
      <c r="U179" s="658"/>
      <c r="V179" s="658"/>
      <c r="W179" s="656"/>
      <c r="X179" s="656"/>
      <c r="Y179" s="656"/>
      <c r="Z179" s="656"/>
      <c r="AA179" s="656"/>
      <c r="AB179" s="656"/>
      <c r="AC179" s="656"/>
      <c r="AD179" s="656"/>
      <c r="AE179" s="656"/>
      <c r="AF179" s="656"/>
      <c r="AG179" s="656"/>
      <c r="AH179" s="656"/>
      <c r="AI179" s="656"/>
      <c r="AJ179" s="656"/>
      <c r="AK179" s="656"/>
      <c r="AL179" s="656"/>
      <c r="AM179" s="656"/>
      <c r="AN179" s="656"/>
      <c r="AO179" s="656"/>
      <c r="AP179" s="656"/>
      <c r="AQ179" s="656"/>
      <c r="AR179" s="656"/>
      <c r="AS179" s="656"/>
      <c r="AT179" s="656"/>
      <c r="AU179" s="656"/>
      <c r="AV179" s="656"/>
      <c r="AW179" s="656"/>
      <c r="AX179" s="656"/>
      <c r="AY179" s="656"/>
      <c r="AZ179" s="658"/>
      <c r="BA179" s="656"/>
      <c r="BB179" s="656"/>
      <c r="BC179" s="656"/>
      <c r="BD179" s="656"/>
      <c r="BE179" s="656"/>
      <c r="BF179" s="656"/>
      <c r="BG179" s="656"/>
      <c r="BH179" s="656"/>
      <c r="BI179" s="656"/>
      <c r="BJ179" s="657">
        <v>4.8008025222126678</v>
      </c>
      <c r="BK179" s="657">
        <v>110.60953472819337</v>
      </c>
      <c r="BL179" s="656"/>
      <c r="BM179" s="656"/>
      <c r="BN179" s="656"/>
      <c r="BO179" s="656"/>
      <c r="BP179" s="656"/>
      <c r="BQ179" s="656"/>
      <c r="BR179" s="656"/>
      <c r="BS179" s="656"/>
      <c r="BT179" s="656"/>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BU179"/>
  <sheetViews>
    <sheetView zoomScaleNormal="100" workbookViewId="0">
      <pane xSplit="7" ySplit="2" topLeftCell="H99" activePane="bottomRight" state="frozen"/>
      <selection activeCell="D27" sqref="D27"/>
      <selection pane="topRight" activeCell="D27" sqref="D27"/>
      <selection pane="bottomLeft" activeCell="D27" sqref="D27"/>
      <selection pane="bottomRight" activeCell="D27" sqref="D27"/>
    </sheetView>
  </sheetViews>
  <sheetFormatPr defaultColWidth="8.44140625" defaultRowHeight="10.199999999999999"/>
  <cols>
    <col min="1" max="3" width="2" style="654" customWidth="1"/>
    <col min="4" max="4" width="2.44140625" style="654" customWidth="1"/>
    <col min="5" max="5" width="45.44140625" style="654" customWidth="1"/>
    <col min="6" max="6" width="7.21875" style="655" customWidth="1"/>
    <col min="7" max="7" width="0.44140625" style="655" customWidth="1"/>
    <col min="8" max="22" width="10.44140625" style="655" customWidth="1"/>
    <col min="23" max="45" width="10.44140625" style="654" customWidth="1"/>
    <col min="46" max="51" width="9.44140625" style="654" customWidth="1"/>
    <col min="52" max="52" width="10.44140625" style="655" customWidth="1"/>
    <col min="53" max="57" width="9.44140625" style="654" customWidth="1"/>
    <col min="58" max="256" width="8.44140625" style="654"/>
    <col min="257" max="259" width="2" style="654" customWidth="1"/>
    <col min="260" max="260" width="2.44140625" style="654" customWidth="1"/>
    <col min="261" max="261" width="45.44140625" style="654" customWidth="1"/>
    <col min="262" max="262" width="7.21875" style="654" customWidth="1"/>
    <col min="263" max="263" width="0.44140625" style="654" customWidth="1"/>
    <col min="264" max="301" width="10.44140625" style="654" customWidth="1"/>
    <col min="302" max="307" width="9.44140625" style="654" customWidth="1"/>
    <col min="308" max="308" width="10.44140625" style="654" customWidth="1"/>
    <col min="309" max="313" width="9.44140625" style="654" customWidth="1"/>
    <col min="314" max="512" width="8.44140625" style="654"/>
    <col min="513" max="515" width="2" style="654" customWidth="1"/>
    <col min="516" max="516" width="2.44140625" style="654" customWidth="1"/>
    <col min="517" max="517" width="45.44140625" style="654" customWidth="1"/>
    <col min="518" max="518" width="7.21875" style="654" customWidth="1"/>
    <col min="519" max="519" width="0.44140625" style="654" customWidth="1"/>
    <col min="520" max="557" width="10.44140625" style="654" customWidth="1"/>
    <col min="558" max="563" width="9.44140625" style="654" customWidth="1"/>
    <col min="564" max="564" width="10.44140625" style="654" customWidth="1"/>
    <col min="565" max="569" width="9.44140625" style="654" customWidth="1"/>
    <col min="570" max="768" width="8.44140625" style="654"/>
    <col min="769" max="771" width="2" style="654" customWidth="1"/>
    <col min="772" max="772" width="2.44140625" style="654" customWidth="1"/>
    <col min="773" max="773" width="45.44140625" style="654" customWidth="1"/>
    <col min="774" max="774" width="7.21875" style="654" customWidth="1"/>
    <col min="775" max="775" width="0.44140625" style="654" customWidth="1"/>
    <col min="776" max="813" width="10.44140625" style="654" customWidth="1"/>
    <col min="814" max="819" width="9.44140625" style="654" customWidth="1"/>
    <col min="820" max="820" width="10.44140625" style="654" customWidth="1"/>
    <col min="821" max="825" width="9.44140625" style="654" customWidth="1"/>
    <col min="826" max="1024" width="8.44140625" style="654"/>
    <col min="1025" max="1027" width="2" style="654" customWidth="1"/>
    <col min="1028" max="1028" width="2.44140625" style="654" customWidth="1"/>
    <col min="1029" max="1029" width="45.44140625" style="654" customWidth="1"/>
    <col min="1030" max="1030" width="7.21875" style="654" customWidth="1"/>
    <col min="1031" max="1031" width="0.44140625" style="654" customWidth="1"/>
    <col min="1032" max="1069" width="10.44140625" style="654" customWidth="1"/>
    <col min="1070" max="1075" width="9.44140625" style="654" customWidth="1"/>
    <col min="1076" max="1076" width="10.44140625" style="654" customWidth="1"/>
    <col min="1077" max="1081" width="9.44140625" style="654" customWidth="1"/>
    <col min="1082" max="1280" width="8.44140625" style="654"/>
    <col min="1281" max="1283" width="2" style="654" customWidth="1"/>
    <col min="1284" max="1284" width="2.44140625" style="654" customWidth="1"/>
    <col min="1285" max="1285" width="45.44140625" style="654" customWidth="1"/>
    <col min="1286" max="1286" width="7.21875" style="654" customWidth="1"/>
    <col min="1287" max="1287" width="0.44140625" style="654" customWidth="1"/>
    <col min="1288" max="1325" width="10.44140625" style="654" customWidth="1"/>
    <col min="1326" max="1331" width="9.44140625" style="654" customWidth="1"/>
    <col min="1332" max="1332" width="10.44140625" style="654" customWidth="1"/>
    <col min="1333" max="1337" width="9.44140625" style="654" customWidth="1"/>
    <col min="1338" max="1536" width="8.44140625" style="654"/>
    <col min="1537" max="1539" width="2" style="654" customWidth="1"/>
    <col min="1540" max="1540" width="2.44140625" style="654" customWidth="1"/>
    <col min="1541" max="1541" width="45.44140625" style="654" customWidth="1"/>
    <col min="1542" max="1542" width="7.21875" style="654" customWidth="1"/>
    <col min="1543" max="1543" width="0.44140625" style="654" customWidth="1"/>
    <col min="1544" max="1581" width="10.44140625" style="654" customWidth="1"/>
    <col min="1582" max="1587" width="9.44140625" style="654" customWidth="1"/>
    <col min="1588" max="1588" width="10.44140625" style="654" customWidth="1"/>
    <col min="1589" max="1593" width="9.44140625" style="654" customWidth="1"/>
    <col min="1594" max="1792" width="8.44140625" style="654"/>
    <col min="1793" max="1795" width="2" style="654" customWidth="1"/>
    <col min="1796" max="1796" width="2.44140625" style="654" customWidth="1"/>
    <col min="1797" max="1797" width="45.44140625" style="654" customWidth="1"/>
    <col min="1798" max="1798" width="7.21875" style="654" customWidth="1"/>
    <col min="1799" max="1799" width="0.44140625" style="654" customWidth="1"/>
    <col min="1800" max="1837" width="10.44140625" style="654" customWidth="1"/>
    <col min="1838" max="1843" width="9.44140625" style="654" customWidth="1"/>
    <col min="1844" max="1844" width="10.44140625" style="654" customWidth="1"/>
    <col min="1845" max="1849" width="9.44140625" style="654" customWidth="1"/>
    <col min="1850" max="2048" width="8.44140625" style="654"/>
    <col min="2049" max="2051" width="2" style="654" customWidth="1"/>
    <col min="2052" max="2052" width="2.44140625" style="654" customWidth="1"/>
    <col min="2053" max="2053" width="45.44140625" style="654" customWidth="1"/>
    <col min="2054" max="2054" width="7.21875" style="654" customWidth="1"/>
    <col min="2055" max="2055" width="0.44140625" style="654" customWidth="1"/>
    <col min="2056" max="2093" width="10.44140625" style="654" customWidth="1"/>
    <col min="2094" max="2099" width="9.44140625" style="654" customWidth="1"/>
    <col min="2100" max="2100" width="10.44140625" style="654" customWidth="1"/>
    <col min="2101" max="2105" width="9.44140625" style="654" customWidth="1"/>
    <col min="2106" max="2304" width="8.44140625" style="654"/>
    <col min="2305" max="2307" width="2" style="654" customWidth="1"/>
    <col min="2308" max="2308" width="2.44140625" style="654" customWidth="1"/>
    <col min="2309" max="2309" width="45.44140625" style="654" customWidth="1"/>
    <col min="2310" max="2310" width="7.21875" style="654" customWidth="1"/>
    <col min="2311" max="2311" width="0.44140625" style="654" customWidth="1"/>
    <col min="2312" max="2349" width="10.44140625" style="654" customWidth="1"/>
    <col min="2350" max="2355" width="9.44140625" style="654" customWidth="1"/>
    <col min="2356" max="2356" width="10.44140625" style="654" customWidth="1"/>
    <col min="2357" max="2361" width="9.44140625" style="654" customWidth="1"/>
    <col min="2362" max="2560" width="8.44140625" style="654"/>
    <col min="2561" max="2563" width="2" style="654" customWidth="1"/>
    <col min="2564" max="2564" width="2.44140625" style="654" customWidth="1"/>
    <col min="2565" max="2565" width="45.44140625" style="654" customWidth="1"/>
    <col min="2566" max="2566" width="7.21875" style="654" customWidth="1"/>
    <col min="2567" max="2567" width="0.44140625" style="654" customWidth="1"/>
    <col min="2568" max="2605" width="10.44140625" style="654" customWidth="1"/>
    <col min="2606" max="2611" width="9.44140625" style="654" customWidth="1"/>
    <col min="2612" max="2612" width="10.44140625" style="654" customWidth="1"/>
    <col min="2613" max="2617" width="9.44140625" style="654" customWidth="1"/>
    <col min="2618" max="2816" width="8.44140625" style="654"/>
    <col min="2817" max="2819" width="2" style="654" customWidth="1"/>
    <col min="2820" max="2820" width="2.44140625" style="654" customWidth="1"/>
    <col min="2821" max="2821" width="45.44140625" style="654" customWidth="1"/>
    <col min="2822" max="2822" width="7.21875" style="654" customWidth="1"/>
    <col min="2823" max="2823" width="0.44140625" style="654" customWidth="1"/>
    <col min="2824" max="2861" width="10.44140625" style="654" customWidth="1"/>
    <col min="2862" max="2867" width="9.44140625" style="654" customWidth="1"/>
    <col min="2868" max="2868" width="10.44140625" style="654" customWidth="1"/>
    <col min="2869" max="2873" width="9.44140625" style="654" customWidth="1"/>
    <col min="2874" max="3072" width="8.44140625" style="654"/>
    <col min="3073" max="3075" width="2" style="654" customWidth="1"/>
    <col min="3076" max="3076" width="2.44140625" style="654" customWidth="1"/>
    <col min="3077" max="3077" width="45.44140625" style="654" customWidth="1"/>
    <col min="3078" max="3078" width="7.21875" style="654" customWidth="1"/>
    <col min="3079" max="3079" width="0.44140625" style="654" customWidth="1"/>
    <col min="3080" max="3117" width="10.44140625" style="654" customWidth="1"/>
    <col min="3118" max="3123" width="9.44140625" style="654" customWidth="1"/>
    <col min="3124" max="3124" width="10.44140625" style="654" customWidth="1"/>
    <col min="3125" max="3129" width="9.44140625" style="654" customWidth="1"/>
    <col min="3130" max="3328" width="8.44140625" style="654"/>
    <col min="3329" max="3331" width="2" style="654" customWidth="1"/>
    <col min="3332" max="3332" width="2.44140625" style="654" customWidth="1"/>
    <col min="3333" max="3333" width="45.44140625" style="654" customWidth="1"/>
    <col min="3334" max="3334" width="7.21875" style="654" customWidth="1"/>
    <col min="3335" max="3335" width="0.44140625" style="654" customWidth="1"/>
    <col min="3336" max="3373" width="10.44140625" style="654" customWidth="1"/>
    <col min="3374" max="3379" width="9.44140625" style="654" customWidth="1"/>
    <col min="3380" max="3380" width="10.44140625" style="654" customWidth="1"/>
    <col min="3381" max="3385" width="9.44140625" style="654" customWidth="1"/>
    <col min="3386" max="3584" width="8.44140625" style="654"/>
    <col min="3585" max="3587" width="2" style="654" customWidth="1"/>
    <col min="3588" max="3588" width="2.44140625" style="654" customWidth="1"/>
    <col min="3589" max="3589" width="45.44140625" style="654" customWidth="1"/>
    <col min="3590" max="3590" width="7.21875" style="654" customWidth="1"/>
    <col min="3591" max="3591" width="0.44140625" style="654" customWidth="1"/>
    <col min="3592" max="3629" width="10.44140625" style="654" customWidth="1"/>
    <col min="3630" max="3635" width="9.44140625" style="654" customWidth="1"/>
    <col min="3636" max="3636" width="10.44140625" style="654" customWidth="1"/>
    <col min="3637" max="3641" width="9.44140625" style="654" customWidth="1"/>
    <col min="3642" max="3840" width="8.44140625" style="654"/>
    <col min="3841" max="3843" width="2" style="654" customWidth="1"/>
    <col min="3844" max="3844" width="2.44140625" style="654" customWidth="1"/>
    <col min="3845" max="3845" width="45.44140625" style="654" customWidth="1"/>
    <col min="3846" max="3846" width="7.21875" style="654" customWidth="1"/>
    <col min="3847" max="3847" width="0.44140625" style="654" customWidth="1"/>
    <col min="3848" max="3885" width="10.44140625" style="654" customWidth="1"/>
    <col min="3886" max="3891" width="9.44140625" style="654" customWidth="1"/>
    <col min="3892" max="3892" width="10.44140625" style="654" customWidth="1"/>
    <col min="3893" max="3897" width="9.44140625" style="654" customWidth="1"/>
    <col min="3898" max="4096" width="8.44140625" style="654"/>
    <col min="4097" max="4099" width="2" style="654" customWidth="1"/>
    <col min="4100" max="4100" width="2.44140625" style="654" customWidth="1"/>
    <col min="4101" max="4101" width="45.44140625" style="654" customWidth="1"/>
    <col min="4102" max="4102" width="7.21875" style="654" customWidth="1"/>
    <col min="4103" max="4103" width="0.44140625" style="654" customWidth="1"/>
    <col min="4104" max="4141" width="10.44140625" style="654" customWidth="1"/>
    <col min="4142" max="4147" width="9.44140625" style="654" customWidth="1"/>
    <col min="4148" max="4148" width="10.44140625" style="654" customWidth="1"/>
    <col min="4149" max="4153" width="9.44140625" style="654" customWidth="1"/>
    <col min="4154" max="4352" width="8.44140625" style="654"/>
    <col min="4353" max="4355" width="2" style="654" customWidth="1"/>
    <col min="4356" max="4356" width="2.44140625" style="654" customWidth="1"/>
    <col min="4357" max="4357" width="45.44140625" style="654" customWidth="1"/>
    <col min="4358" max="4358" width="7.21875" style="654" customWidth="1"/>
    <col min="4359" max="4359" width="0.44140625" style="654" customWidth="1"/>
    <col min="4360" max="4397" width="10.44140625" style="654" customWidth="1"/>
    <col min="4398" max="4403" width="9.44140625" style="654" customWidth="1"/>
    <col min="4404" max="4404" width="10.44140625" style="654" customWidth="1"/>
    <col min="4405" max="4409" width="9.44140625" style="654" customWidth="1"/>
    <col min="4410" max="4608" width="8.44140625" style="654"/>
    <col min="4609" max="4611" width="2" style="654" customWidth="1"/>
    <col min="4612" max="4612" width="2.44140625" style="654" customWidth="1"/>
    <col min="4613" max="4613" width="45.44140625" style="654" customWidth="1"/>
    <col min="4614" max="4614" width="7.21875" style="654" customWidth="1"/>
    <col min="4615" max="4615" width="0.44140625" style="654" customWidth="1"/>
    <col min="4616" max="4653" width="10.44140625" style="654" customWidth="1"/>
    <col min="4654" max="4659" width="9.44140625" style="654" customWidth="1"/>
    <col min="4660" max="4660" width="10.44140625" style="654" customWidth="1"/>
    <col min="4661" max="4665" width="9.44140625" style="654" customWidth="1"/>
    <col min="4666" max="4864" width="8.44140625" style="654"/>
    <col min="4865" max="4867" width="2" style="654" customWidth="1"/>
    <col min="4868" max="4868" width="2.44140625" style="654" customWidth="1"/>
    <col min="4869" max="4869" width="45.44140625" style="654" customWidth="1"/>
    <col min="4870" max="4870" width="7.21875" style="654" customWidth="1"/>
    <col min="4871" max="4871" width="0.44140625" style="654" customWidth="1"/>
    <col min="4872" max="4909" width="10.44140625" style="654" customWidth="1"/>
    <col min="4910" max="4915" width="9.44140625" style="654" customWidth="1"/>
    <col min="4916" max="4916" width="10.44140625" style="654" customWidth="1"/>
    <col min="4917" max="4921" width="9.44140625" style="654" customWidth="1"/>
    <col min="4922" max="5120" width="8.44140625" style="654"/>
    <col min="5121" max="5123" width="2" style="654" customWidth="1"/>
    <col min="5124" max="5124" width="2.44140625" style="654" customWidth="1"/>
    <col min="5125" max="5125" width="45.44140625" style="654" customWidth="1"/>
    <col min="5126" max="5126" width="7.21875" style="654" customWidth="1"/>
    <col min="5127" max="5127" width="0.44140625" style="654" customWidth="1"/>
    <col min="5128" max="5165" width="10.44140625" style="654" customWidth="1"/>
    <col min="5166" max="5171" width="9.44140625" style="654" customWidth="1"/>
    <col min="5172" max="5172" width="10.44140625" style="654" customWidth="1"/>
    <col min="5173" max="5177" width="9.44140625" style="654" customWidth="1"/>
    <col min="5178" max="5376" width="8.44140625" style="654"/>
    <col min="5377" max="5379" width="2" style="654" customWidth="1"/>
    <col min="5380" max="5380" width="2.44140625" style="654" customWidth="1"/>
    <col min="5381" max="5381" width="45.44140625" style="654" customWidth="1"/>
    <col min="5382" max="5382" width="7.21875" style="654" customWidth="1"/>
    <col min="5383" max="5383" width="0.44140625" style="654" customWidth="1"/>
    <col min="5384" max="5421" width="10.44140625" style="654" customWidth="1"/>
    <col min="5422" max="5427" width="9.44140625" style="654" customWidth="1"/>
    <col min="5428" max="5428" width="10.44140625" style="654" customWidth="1"/>
    <col min="5429" max="5433" width="9.44140625" style="654" customWidth="1"/>
    <col min="5434" max="5632" width="8.44140625" style="654"/>
    <col min="5633" max="5635" width="2" style="654" customWidth="1"/>
    <col min="5636" max="5636" width="2.44140625" style="654" customWidth="1"/>
    <col min="5637" max="5637" width="45.44140625" style="654" customWidth="1"/>
    <col min="5638" max="5638" width="7.21875" style="654" customWidth="1"/>
    <col min="5639" max="5639" width="0.44140625" style="654" customWidth="1"/>
    <col min="5640" max="5677" width="10.44140625" style="654" customWidth="1"/>
    <col min="5678" max="5683" width="9.44140625" style="654" customWidth="1"/>
    <col min="5684" max="5684" width="10.44140625" style="654" customWidth="1"/>
    <col min="5685" max="5689" width="9.44140625" style="654" customWidth="1"/>
    <col min="5690" max="5888" width="8.44140625" style="654"/>
    <col min="5889" max="5891" width="2" style="654" customWidth="1"/>
    <col min="5892" max="5892" width="2.44140625" style="654" customWidth="1"/>
    <col min="5893" max="5893" width="45.44140625" style="654" customWidth="1"/>
    <col min="5894" max="5894" width="7.21875" style="654" customWidth="1"/>
    <col min="5895" max="5895" width="0.44140625" style="654" customWidth="1"/>
    <col min="5896" max="5933" width="10.44140625" style="654" customWidth="1"/>
    <col min="5934" max="5939" width="9.44140625" style="654" customWidth="1"/>
    <col min="5940" max="5940" width="10.44140625" style="654" customWidth="1"/>
    <col min="5941" max="5945" width="9.44140625" style="654" customWidth="1"/>
    <col min="5946" max="6144" width="8.44140625" style="654"/>
    <col min="6145" max="6147" width="2" style="654" customWidth="1"/>
    <col min="6148" max="6148" width="2.44140625" style="654" customWidth="1"/>
    <col min="6149" max="6149" width="45.44140625" style="654" customWidth="1"/>
    <col min="6150" max="6150" width="7.21875" style="654" customWidth="1"/>
    <col min="6151" max="6151" width="0.44140625" style="654" customWidth="1"/>
    <col min="6152" max="6189" width="10.44140625" style="654" customWidth="1"/>
    <col min="6190" max="6195" width="9.44140625" style="654" customWidth="1"/>
    <col min="6196" max="6196" width="10.44140625" style="654" customWidth="1"/>
    <col min="6197" max="6201" width="9.44140625" style="654" customWidth="1"/>
    <col min="6202" max="6400" width="8.44140625" style="654"/>
    <col min="6401" max="6403" width="2" style="654" customWidth="1"/>
    <col min="6404" max="6404" width="2.44140625" style="654" customWidth="1"/>
    <col min="6405" max="6405" width="45.44140625" style="654" customWidth="1"/>
    <col min="6406" max="6406" width="7.21875" style="654" customWidth="1"/>
    <col min="6407" max="6407" width="0.44140625" style="654" customWidth="1"/>
    <col min="6408" max="6445" width="10.44140625" style="654" customWidth="1"/>
    <col min="6446" max="6451" width="9.44140625" style="654" customWidth="1"/>
    <col min="6452" max="6452" width="10.44140625" style="654" customWidth="1"/>
    <col min="6453" max="6457" width="9.44140625" style="654" customWidth="1"/>
    <col min="6458" max="6656" width="8.44140625" style="654"/>
    <col min="6657" max="6659" width="2" style="654" customWidth="1"/>
    <col min="6660" max="6660" width="2.44140625" style="654" customWidth="1"/>
    <col min="6661" max="6661" width="45.44140625" style="654" customWidth="1"/>
    <col min="6662" max="6662" width="7.21875" style="654" customWidth="1"/>
    <col min="6663" max="6663" width="0.44140625" style="654" customWidth="1"/>
    <col min="6664" max="6701" width="10.44140625" style="654" customWidth="1"/>
    <col min="6702" max="6707" width="9.44140625" style="654" customWidth="1"/>
    <col min="6708" max="6708" width="10.44140625" style="654" customWidth="1"/>
    <col min="6709" max="6713" width="9.44140625" style="654" customWidth="1"/>
    <col min="6714" max="6912" width="8.44140625" style="654"/>
    <col min="6913" max="6915" width="2" style="654" customWidth="1"/>
    <col min="6916" max="6916" width="2.44140625" style="654" customWidth="1"/>
    <col min="6917" max="6917" width="45.44140625" style="654" customWidth="1"/>
    <col min="6918" max="6918" width="7.21875" style="654" customWidth="1"/>
    <col min="6919" max="6919" width="0.44140625" style="654" customWidth="1"/>
    <col min="6920" max="6957" width="10.44140625" style="654" customWidth="1"/>
    <col min="6958" max="6963" width="9.44140625" style="654" customWidth="1"/>
    <col min="6964" max="6964" width="10.44140625" style="654" customWidth="1"/>
    <col min="6965" max="6969" width="9.44140625" style="654" customWidth="1"/>
    <col min="6970" max="7168" width="8.44140625" style="654"/>
    <col min="7169" max="7171" width="2" style="654" customWidth="1"/>
    <col min="7172" max="7172" width="2.44140625" style="654" customWidth="1"/>
    <col min="7173" max="7173" width="45.44140625" style="654" customWidth="1"/>
    <col min="7174" max="7174" width="7.21875" style="654" customWidth="1"/>
    <col min="7175" max="7175" width="0.44140625" style="654" customWidth="1"/>
    <col min="7176" max="7213" width="10.44140625" style="654" customWidth="1"/>
    <col min="7214" max="7219" width="9.44140625" style="654" customWidth="1"/>
    <col min="7220" max="7220" width="10.44140625" style="654" customWidth="1"/>
    <col min="7221" max="7225" width="9.44140625" style="654" customWidth="1"/>
    <col min="7226" max="7424" width="8.44140625" style="654"/>
    <col min="7425" max="7427" width="2" style="654" customWidth="1"/>
    <col min="7428" max="7428" width="2.44140625" style="654" customWidth="1"/>
    <col min="7429" max="7429" width="45.44140625" style="654" customWidth="1"/>
    <col min="7430" max="7430" width="7.21875" style="654" customWidth="1"/>
    <col min="7431" max="7431" width="0.44140625" style="654" customWidth="1"/>
    <col min="7432" max="7469" width="10.44140625" style="654" customWidth="1"/>
    <col min="7470" max="7475" width="9.44140625" style="654" customWidth="1"/>
    <col min="7476" max="7476" width="10.44140625" style="654" customWidth="1"/>
    <col min="7477" max="7481" width="9.44140625" style="654" customWidth="1"/>
    <col min="7482" max="7680" width="8.44140625" style="654"/>
    <col min="7681" max="7683" width="2" style="654" customWidth="1"/>
    <col min="7684" max="7684" width="2.44140625" style="654" customWidth="1"/>
    <col min="7685" max="7685" width="45.44140625" style="654" customWidth="1"/>
    <col min="7686" max="7686" width="7.21875" style="654" customWidth="1"/>
    <col min="7687" max="7687" width="0.44140625" style="654" customWidth="1"/>
    <col min="7688" max="7725" width="10.44140625" style="654" customWidth="1"/>
    <col min="7726" max="7731" width="9.44140625" style="654" customWidth="1"/>
    <col min="7732" max="7732" width="10.44140625" style="654" customWidth="1"/>
    <col min="7733" max="7737" width="9.44140625" style="654" customWidth="1"/>
    <col min="7738" max="7936" width="8.44140625" style="654"/>
    <col min="7937" max="7939" width="2" style="654" customWidth="1"/>
    <col min="7940" max="7940" width="2.44140625" style="654" customWidth="1"/>
    <col min="7941" max="7941" width="45.44140625" style="654" customWidth="1"/>
    <col min="7942" max="7942" width="7.21875" style="654" customWidth="1"/>
    <col min="7943" max="7943" width="0.44140625" style="654" customWidth="1"/>
    <col min="7944" max="7981" width="10.44140625" style="654" customWidth="1"/>
    <col min="7982" max="7987" width="9.44140625" style="654" customWidth="1"/>
    <col min="7988" max="7988" width="10.44140625" style="654" customWidth="1"/>
    <col min="7989" max="7993" width="9.44140625" style="654" customWidth="1"/>
    <col min="7994" max="8192" width="8.44140625" style="654"/>
    <col min="8193" max="8195" width="2" style="654" customWidth="1"/>
    <col min="8196" max="8196" width="2.44140625" style="654" customWidth="1"/>
    <col min="8197" max="8197" width="45.44140625" style="654" customWidth="1"/>
    <col min="8198" max="8198" width="7.21875" style="654" customWidth="1"/>
    <col min="8199" max="8199" width="0.44140625" style="654" customWidth="1"/>
    <col min="8200" max="8237" width="10.44140625" style="654" customWidth="1"/>
    <col min="8238" max="8243" width="9.44140625" style="654" customWidth="1"/>
    <col min="8244" max="8244" width="10.44140625" style="654" customWidth="1"/>
    <col min="8245" max="8249" width="9.44140625" style="654" customWidth="1"/>
    <col min="8250" max="8448" width="8.44140625" style="654"/>
    <col min="8449" max="8451" width="2" style="654" customWidth="1"/>
    <col min="8452" max="8452" width="2.44140625" style="654" customWidth="1"/>
    <col min="8453" max="8453" width="45.44140625" style="654" customWidth="1"/>
    <col min="8454" max="8454" width="7.21875" style="654" customWidth="1"/>
    <col min="8455" max="8455" width="0.44140625" style="654" customWidth="1"/>
    <col min="8456" max="8493" width="10.44140625" style="654" customWidth="1"/>
    <col min="8494" max="8499" width="9.44140625" style="654" customWidth="1"/>
    <col min="8500" max="8500" width="10.44140625" style="654" customWidth="1"/>
    <col min="8501" max="8505" width="9.44140625" style="654" customWidth="1"/>
    <col min="8506" max="8704" width="8.44140625" style="654"/>
    <col min="8705" max="8707" width="2" style="654" customWidth="1"/>
    <col min="8708" max="8708" width="2.44140625" style="654" customWidth="1"/>
    <col min="8709" max="8709" width="45.44140625" style="654" customWidth="1"/>
    <col min="8710" max="8710" width="7.21875" style="654" customWidth="1"/>
    <col min="8711" max="8711" width="0.44140625" style="654" customWidth="1"/>
    <col min="8712" max="8749" width="10.44140625" style="654" customWidth="1"/>
    <col min="8750" max="8755" width="9.44140625" style="654" customWidth="1"/>
    <col min="8756" max="8756" width="10.44140625" style="654" customWidth="1"/>
    <col min="8757" max="8761" width="9.44140625" style="654" customWidth="1"/>
    <col min="8762" max="8960" width="8.44140625" style="654"/>
    <col min="8961" max="8963" width="2" style="654" customWidth="1"/>
    <col min="8964" max="8964" width="2.44140625" style="654" customWidth="1"/>
    <col min="8965" max="8965" width="45.44140625" style="654" customWidth="1"/>
    <col min="8966" max="8966" width="7.21875" style="654" customWidth="1"/>
    <col min="8967" max="8967" width="0.44140625" style="654" customWidth="1"/>
    <col min="8968" max="9005" width="10.44140625" style="654" customWidth="1"/>
    <col min="9006" max="9011" width="9.44140625" style="654" customWidth="1"/>
    <col min="9012" max="9012" width="10.44140625" style="654" customWidth="1"/>
    <col min="9013" max="9017" width="9.44140625" style="654" customWidth="1"/>
    <col min="9018" max="9216" width="8.44140625" style="654"/>
    <col min="9217" max="9219" width="2" style="654" customWidth="1"/>
    <col min="9220" max="9220" width="2.44140625" style="654" customWidth="1"/>
    <col min="9221" max="9221" width="45.44140625" style="654" customWidth="1"/>
    <col min="9222" max="9222" width="7.21875" style="654" customWidth="1"/>
    <col min="9223" max="9223" width="0.44140625" style="654" customWidth="1"/>
    <col min="9224" max="9261" width="10.44140625" style="654" customWidth="1"/>
    <col min="9262" max="9267" width="9.44140625" style="654" customWidth="1"/>
    <col min="9268" max="9268" width="10.44140625" style="654" customWidth="1"/>
    <col min="9269" max="9273" width="9.44140625" style="654" customWidth="1"/>
    <col min="9274" max="9472" width="8.44140625" style="654"/>
    <col min="9473" max="9475" width="2" style="654" customWidth="1"/>
    <col min="9476" max="9476" width="2.44140625" style="654" customWidth="1"/>
    <col min="9477" max="9477" width="45.44140625" style="654" customWidth="1"/>
    <col min="9478" max="9478" width="7.21875" style="654" customWidth="1"/>
    <col min="9479" max="9479" width="0.44140625" style="654" customWidth="1"/>
    <col min="9480" max="9517" width="10.44140625" style="654" customWidth="1"/>
    <col min="9518" max="9523" width="9.44140625" style="654" customWidth="1"/>
    <col min="9524" max="9524" width="10.44140625" style="654" customWidth="1"/>
    <col min="9525" max="9529" width="9.44140625" style="654" customWidth="1"/>
    <col min="9530" max="9728" width="8.44140625" style="654"/>
    <col min="9729" max="9731" width="2" style="654" customWidth="1"/>
    <col min="9732" max="9732" width="2.44140625" style="654" customWidth="1"/>
    <col min="9733" max="9733" width="45.44140625" style="654" customWidth="1"/>
    <col min="9734" max="9734" width="7.21875" style="654" customWidth="1"/>
    <col min="9735" max="9735" width="0.44140625" style="654" customWidth="1"/>
    <col min="9736" max="9773" width="10.44140625" style="654" customWidth="1"/>
    <col min="9774" max="9779" width="9.44140625" style="654" customWidth="1"/>
    <col min="9780" max="9780" width="10.44140625" style="654" customWidth="1"/>
    <col min="9781" max="9785" width="9.44140625" style="654" customWidth="1"/>
    <col min="9786" max="9984" width="8.44140625" style="654"/>
    <col min="9985" max="9987" width="2" style="654" customWidth="1"/>
    <col min="9988" max="9988" width="2.44140625" style="654" customWidth="1"/>
    <col min="9989" max="9989" width="45.44140625" style="654" customWidth="1"/>
    <col min="9990" max="9990" width="7.21875" style="654" customWidth="1"/>
    <col min="9991" max="9991" width="0.44140625" style="654" customWidth="1"/>
    <col min="9992" max="10029" width="10.44140625" style="654" customWidth="1"/>
    <col min="10030" max="10035" width="9.44140625" style="654" customWidth="1"/>
    <col min="10036" max="10036" width="10.44140625" style="654" customWidth="1"/>
    <col min="10037" max="10041" width="9.44140625" style="654" customWidth="1"/>
    <col min="10042" max="10240" width="8.44140625" style="654"/>
    <col min="10241" max="10243" width="2" style="654" customWidth="1"/>
    <col min="10244" max="10244" width="2.44140625" style="654" customWidth="1"/>
    <col min="10245" max="10245" width="45.44140625" style="654" customWidth="1"/>
    <col min="10246" max="10246" width="7.21875" style="654" customWidth="1"/>
    <col min="10247" max="10247" width="0.44140625" style="654" customWidth="1"/>
    <col min="10248" max="10285" width="10.44140625" style="654" customWidth="1"/>
    <col min="10286" max="10291" width="9.44140625" style="654" customWidth="1"/>
    <col min="10292" max="10292" width="10.44140625" style="654" customWidth="1"/>
    <col min="10293" max="10297" width="9.44140625" style="654" customWidth="1"/>
    <col min="10298" max="10496" width="8.44140625" style="654"/>
    <col min="10497" max="10499" width="2" style="654" customWidth="1"/>
    <col min="10500" max="10500" width="2.44140625" style="654" customWidth="1"/>
    <col min="10501" max="10501" width="45.44140625" style="654" customWidth="1"/>
    <col min="10502" max="10502" width="7.21875" style="654" customWidth="1"/>
    <col min="10503" max="10503" width="0.44140625" style="654" customWidth="1"/>
    <col min="10504" max="10541" width="10.44140625" style="654" customWidth="1"/>
    <col min="10542" max="10547" width="9.44140625" style="654" customWidth="1"/>
    <col min="10548" max="10548" width="10.44140625" style="654" customWidth="1"/>
    <col min="10549" max="10553" width="9.44140625" style="654" customWidth="1"/>
    <col min="10554" max="10752" width="8.44140625" style="654"/>
    <col min="10753" max="10755" width="2" style="654" customWidth="1"/>
    <col min="10756" max="10756" width="2.44140625" style="654" customWidth="1"/>
    <col min="10757" max="10757" width="45.44140625" style="654" customWidth="1"/>
    <col min="10758" max="10758" width="7.21875" style="654" customWidth="1"/>
    <col min="10759" max="10759" width="0.44140625" style="654" customWidth="1"/>
    <col min="10760" max="10797" width="10.44140625" style="654" customWidth="1"/>
    <col min="10798" max="10803" width="9.44140625" style="654" customWidth="1"/>
    <col min="10804" max="10804" width="10.44140625" style="654" customWidth="1"/>
    <col min="10805" max="10809" width="9.44140625" style="654" customWidth="1"/>
    <col min="10810" max="11008" width="8.44140625" style="654"/>
    <col min="11009" max="11011" width="2" style="654" customWidth="1"/>
    <col min="11012" max="11012" width="2.44140625" style="654" customWidth="1"/>
    <col min="11013" max="11013" width="45.44140625" style="654" customWidth="1"/>
    <col min="11014" max="11014" width="7.21875" style="654" customWidth="1"/>
    <col min="11015" max="11015" width="0.44140625" style="654" customWidth="1"/>
    <col min="11016" max="11053" width="10.44140625" style="654" customWidth="1"/>
    <col min="11054" max="11059" width="9.44140625" style="654" customWidth="1"/>
    <col min="11060" max="11060" width="10.44140625" style="654" customWidth="1"/>
    <col min="11061" max="11065" width="9.44140625" style="654" customWidth="1"/>
    <col min="11066" max="11264" width="8.44140625" style="654"/>
    <col min="11265" max="11267" width="2" style="654" customWidth="1"/>
    <col min="11268" max="11268" width="2.44140625" style="654" customWidth="1"/>
    <col min="11269" max="11269" width="45.44140625" style="654" customWidth="1"/>
    <col min="11270" max="11270" width="7.21875" style="654" customWidth="1"/>
    <col min="11271" max="11271" width="0.44140625" style="654" customWidth="1"/>
    <col min="11272" max="11309" width="10.44140625" style="654" customWidth="1"/>
    <col min="11310" max="11315" width="9.44140625" style="654" customWidth="1"/>
    <col min="11316" max="11316" width="10.44140625" style="654" customWidth="1"/>
    <col min="11317" max="11321" width="9.44140625" style="654" customWidth="1"/>
    <col min="11322" max="11520" width="8.44140625" style="654"/>
    <col min="11521" max="11523" width="2" style="654" customWidth="1"/>
    <col min="11524" max="11524" width="2.44140625" style="654" customWidth="1"/>
    <col min="11525" max="11525" width="45.44140625" style="654" customWidth="1"/>
    <col min="11526" max="11526" width="7.21875" style="654" customWidth="1"/>
    <col min="11527" max="11527" width="0.44140625" style="654" customWidth="1"/>
    <col min="11528" max="11565" width="10.44140625" style="654" customWidth="1"/>
    <col min="11566" max="11571" width="9.44140625" style="654" customWidth="1"/>
    <col min="11572" max="11572" width="10.44140625" style="654" customWidth="1"/>
    <col min="11573" max="11577" width="9.44140625" style="654" customWidth="1"/>
    <col min="11578" max="11776" width="8.44140625" style="654"/>
    <col min="11777" max="11779" width="2" style="654" customWidth="1"/>
    <col min="11780" max="11780" width="2.44140625" style="654" customWidth="1"/>
    <col min="11781" max="11781" width="45.44140625" style="654" customWidth="1"/>
    <col min="11782" max="11782" width="7.21875" style="654" customWidth="1"/>
    <col min="11783" max="11783" width="0.44140625" style="654" customWidth="1"/>
    <col min="11784" max="11821" width="10.44140625" style="654" customWidth="1"/>
    <col min="11822" max="11827" width="9.44140625" style="654" customWidth="1"/>
    <col min="11828" max="11828" width="10.44140625" style="654" customWidth="1"/>
    <col min="11829" max="11833" width="9.44140625" style="654" customWidth="1"/>
    <col min="11834" max="12032" width="8.44140625" style="654"/>
    <col min="12033" max="12035" width="2" style="654" customWidth="1"/>
    <col min="12036" max="12036" width="2.44140625" style="654" customWidth="1"/>
    <col min="12037" max="12037" width="45.44140625" style="654" customWidth="1"/>
    <col min="12038" max="12038" width="7.21875" style="654" customWidth="1"/>
    <col min="12039" max="12039" width="0.44140625" style="654" customWidth="1"/>
    <col min="12040" max="12077" width="10.44140625" style="654" customWidth="1"/>
    <col min="12078" max="12083" width="9.44140625" style="654" customWidth="1"/>
    <col min="12084" max="12084" width="10.44140625" style="654" customWidth="1"/>
    <col min="12085" max="12089" width="9.44140625" style="654" customWidth="1"/>
    <col min="12090" max="12288" width="8.44140625" style="654"/>
    <col min="12289" max="12291" width="2" style="654" customWidth="1"/>
    <col min="12292" max="12292" width="2.44140625" style="654" customWidth="1"/>
    <col min="12293" max="12293" width="45.44140625" style="654" customWidth="1"/>
    <col min="12294" max="12294" width="7.21875" style="654" customWidth="1"/>
    <col min="12295" max="12295" width="0.44140625" style="654" customWidth="1"/>
    <col min="12296" max="12333" width="10.44140625" style="654" customWidth="1"/>
    <col min="12334" max="12339" width="9.44140625" style="654" customWidth="1"/>
    <col min="12340" max="12340" width="10.44140625" style="654" customWidth="1"/>
    <col min="12341" max="12345" width="9.44140625" style="654" customWidth="1"/>
    <col min="12346" max="12544" width="8.44140625" style="654"/>
    <col min="12545" max="12547" width="2" style="654" customWidth="1"/>
    <col min="12548" max="12548" width="2.44140625" style="654" customWidth="1"/>
    <col min="12549" max="12549" width="45.44140625" style="654" customWidth="1"/>
    <col min="12550" max="12550" width="7.21875" style="654" customWidth="1"/>
    <col min="12551" max="12551" width="0.44140625" style="654" customWidth="1"/>
    <col min="12552" max="12589" width="10.44140625" style="654" customWidth="1"/>
    <col min="12590" max="12595" width="9.44140625" style="654" customWidth="1"/>
    <col min="12596" max="12596" width="10.44140625" style="654" customWidth="1"/>
    <col min="12597" max="12601" width="9.44140625" style="654" customWidth="1"/>
    <col min="12602" max="12800" width="8.44140625" style="654"/>
    <col min="12801" max="12803" width="2" style="654" customWidth="1"/>
    <col min="12804" max="12804" width="2.44140625" style="654" customWidth="1"/>
    <col min="12805" max="12805" width="45.44140625" style="654" customWidth="1"/>
    <col min="12806" max="12806" width="7.21875" style="654" customWidth="1"/>
    <col min="12807" max="12807" width="0.44140625" style="654" customWidth="1"/>
    <col min="12808" max="12845" width="10.44140625" style="654" customWidth="1"/>
    <col min="12846" max="12851" width="9.44140625" style="654" customWidth="1"/>
    <col min="12852" max="12852" width="10.44140625" style="654" customWidth="1"/>
    <col min="12853" max="12857" width="9.44140625" style="654" customWidth="1"/>
    <col min="12858" max="13056" width="8.44140625" style="654"/>
    <col min="13057" max="13059" width="2" style="654" customWidth="1"/>
    <col min="13060" max="13060" width="2.44140625" style="654" customWidth="1"/>
    <col min="13061" max="13061" width="45.44140625" style="654" customWidth="1"/>
    <col min="13062" max="13062" width="7.21875" style="654" customWidth="1"/>
    <col min="13063" max="13063" width="0.44140625" style="654" customWidth="1"/>
    <col min="13064" max="13101" width="10.44140625" style="654" customWidth="1"/>
    <col min="13102" max="13107" width="9.44140625" style="654" customWidth="1"/>
    <col min="13108" max="13108" width="10.44140625" style="654" customWidth="1"/>
    <col min="13109" max="13113" width="9.44140625" style="654" customWidth="1"/>
    <col min="13114" max="13312" width="8.44140625" style="654"/>
    <col min="13313" max="13315" width="2" style="654" customWidth="1"/>
    <col min="13316" max="13316" width="2.44140625" style="654" customWidth="1"/>
    <col min="13317" max="13317" width="45.44140625" style="654" customWidth="1"/>
    <col min="13318" max="13318" width="7.21875" style="654" customWidth="1"/>
    <col min="13319" max="13319" width="0.44140625" style="654" customWidth="1"/>
    <col min="13320" max="13357" width="10.44140625" style="654" customWidth="1"/>
    <col min="13358" max="13363" width="9.44140625" style="654" customWidth="1"/>
    <col min="13364" max="13364" width="10.44140625" style="654" customWidth="1"/>
    <col min="13365" max="13369" width="9.44140625" style="654" customWidth="1"/>
    <col min="13370" max="13568" width="8.44140625" style="654"/>
    <col min="13569" max="13571" width="2" style="654" customWidth="1"/>
    <col min="13572" max="13572" width="2.44140625" style="654" customWidth="1"/>
    <col min="13573" max="13573" width="45.44140625" style="654" customWidth="1"/>
    <col min="13574" max="13574" width="7.21875" style="654" customWidth="1"/>
    <col min="13575" max="13575" width="0.44140625" style="654" customWidth="1"/>
    <col min="13576" max="13613" width="10.44140625" style="654" customWidth="1"/>
    <col min="13614" max="13619" width="9.44140625" style="654" customWidth="1"/>
    <col min="13620" max="13620" width="10.44140625" style="654" customWidth="1"/>
    <col min="13621" max="13625" width="9.44140625" style="654" customWidth="1"/>
    <col min="13626" max="13824" width="8.44140625" style="654"/>
    <col min="13825" max="13827" width="2" style="654" customWidth="1"/>
    <col min="13828" max="13828" width="2.44140625" style="654" customWidth="1"/>
    <col min="13829" max="13829" width="45.44140625" style="654" customWidth="1"/>
    <col min="13830" max="13830" width="7.21875" style="654" customWidth="1"/>
    <col min="13831" max="13831" width="0.44140625" style="654" customWidth="1"/>
    <col min="13832" max="13869" width="10.44140625" style="654" customWidth="1"/>
    <col min="13870" max="13875" width="9.44140625" style="654" customWidth="1"/>
    <col min="13876" max="13876" width="10.44140625" style="654" customWidth="1"/>
    <col min="13877" max="13881" width="9.44140625" style="654" customWidth="1"/>
    <col min="13882" max="14080" width="8.44140625" style="654"/>
    <col min="14081" max="14083" width="2" style="654" customWidth="1"/>
    <col min="14084" max="14084" width="2.44140625" style="654" customWidth="1"/>
    <col min="14085" max="14085" width="45.44140625" style="654" customWidth="1"/>
    <col min="14086" max="14086" width="7.21875" style="654" customWidth="1"/>
    <col min="14087" max="14087" width="0.44140625" style="654" customWidth="1"/>
    <col min="14088" max="14125" width="10.44140625" style="654" customWidth="1"/>
    <col min="14126" max="14131" width="9.44140625" style="654" customWidth="1"/>
    <col min="14132" max="14132" width="10.44140625" style="654" customWidth="1"/>
    <col min="14133" max="14137" width="9.44140625" style="654" customWidth="1"/>
    <col min="14138" max="14336" width="8.44140625" style="654"/>
    <col min="14337" max="14339" width="2" style="654" customWidth="1"/>
    <col min="14340" max="14340" width="2.44140625" style="654" customWidth="1"/>
    <col min="14341" max="14341" width="45.44140625" style="654" customWidth="1"/>
    <col min="14342" max="14342" width="7.21875" style="654" customWidth="1"/>
    <col min="14343" max="14343" width="0.44140625" style="654" customWidth="1"/>
    <col min="14344" max="14381" width="10.44140625" style="654" customWidth="1"/>
    <col min="14382" max="14387" width="9.44140625" style="654" customWidth="1"/>
    <col min="14388" max="14388" width="10.44140625" style="654" customWidth="1"/>
    <col min="14389" max="14393" width="9.44140625" style="654" customWidth="1"/>
    <col min="14394" max="14592" width="8.44140625" style="654"/>
    <col min="14593" max="14595" width="2" style="654" customWidth="1"/>
    <col min="14596" max="14596" width="2.44140625" style="654" customWidth="1"/>
    <col min="14597" max="14597" width="45.44140625" style="654" customWidth="1"/>
    <col min="14598" max="14598" width="7.21875" style="654" customWidth="1"/>
    <col min="14599" max="14599" width="0.44140625" style="654" customWidth="1"/>
    <col min="14600" max="14637" width="10.44140625" style="654" customWidth="1"/>
    <col min="14638" max="14643" width="9.44140625" style="654" customWidth="1"/>
    <col min="14644" max="14644" width="10.44140625" style="654" customWidth="1"/>
    <col min="14645" max="14649" width="9.44140625" style="654" customWidth="1"/>
    <col min="14650" max="14848" width="8.44140625" style="654"/>
    <col min="14849" max="14851" width="2" style="654" customWidth="1"/>
    <col min="14852" max="14852" width="2.44140625" style="654" customWidth="1"/>
    <col min="14853" max="14853" width="45.44140625" style="654" customWidth="1"/>
    <col min="14854" max="14854" width="7.21875" style="654" customWidth="1"/>
    <col min="14855" max="14855" width="0.44140625" style="654" customWidth="1"/>
    <col min="14856" max="14893" width="10.44140625" style="654" customWidth="1"/>
    <col min="14894" max="14899" width="9.44140625" style="654" customWidth="1"/>
    <col min="14900" max="14900" width="10.44140625" style="654" customWidth="1"/>
    <col min="14901" max="14905" width="9.44140625" style="654" customWidth="1"/>
    <col min="14906" max="15104" width="8.44140625" style="654"/>
    <col min="15105" max="15107" width="2" style="654" customWidth="1"/>
    <col min="15108" max="15108" width="2.44140625" style="654" customWidth="1"/>
    <col min="15109" max="15109" width="45.44140625" style="654" customWidth="1"/>
    <col min="15110" max="15110" width="7.21875" style="654" customWidth="1"/>
    <col min="15111" max="15111" width="0.44140625" style="654" customWidth="1"/>
    <col min="15112" max="15149" width="10.44140625" style="654" customWidth="1"/>
    <col min="15150" max="15155" width="9.44140625" style="654" customWidth="1"/>
    <col min="15156" max="15156" width="10.44140625" style="654" customWidth="1"/>
    <col min="15157" max="15161" width="9.44140625" style="654" customWidth="1"/>
    <col min="15162" max="15360" width="8.44140625" style="654"/>
    <col min="15361" max="15363" width="2" style="654" customWidth="1"/>
    <col min="15364" max="15364" width="2.44140625" style="654" customWidth="1"/>
    <col min="15365" max="15365" width="45.44140625" style="654" customWidth="1"/>
    <col min="15366" max="15366" width="7.21875" style="654" customWidth="1"/>
    <col min="15367" max="15367" width="0.44140625" style="654" customWidth="1"/>
    <col min="15368" max="15405" width="10.44140625" style="654" customWidth="1"/>
    <col min="15406" max="15411" width="9.44140625" style="654" customWidth="1"/>
    <col min="15412" max="15412" width="10.44140625" style="654" customWidth="1"/>
    <col min="15413" max="15417" width="9.44140625" style="654" customWidth="1"/>
    <col min="15418" max="15616" width="8.44140625" style="654"/>
    <col min="15617" max="15619" width="2" style="654" customWidth="1"/>
    <col min="15620" max="15620" width="2.44140625" style="654" customWidth="1"/>
    <col min="15621" max="15621" width="45.44140625" style="654" customWidth="1"/>
    <col min="15622" max="15622" width="7.21875" style="654" customWidth="1"/>
    <col min="15623" max="15623" width="0.44140625" style="654" customWidth="1"/>
    <col min="15624" max="15661" width="10.44140625" style="654" customWidth="1"/>
    <col min="15662" max="15667" width="9.44140625" style="654" customWidth="1"/>
    <col min="15668" max="15668" width="10.44140625" style="654" customWidth="1"/>
    <col min="15669" max="15673" width="9.44140625" style="654" customWidth="1"/>
    <col min="15674" max="15872" width="8.44140625" style="654"/>
    <col min="15873" max="15875" width="2" style="654" customWidth="1"/>
    <col min="15876" max="15876" width="2.44140625" style="654" customWidth="1"/>
    <col min="15877" max="15877" width="45.44140625" style="654" customWidth="1"/>
    <col min="15878" max="15878" width="7.21875" style="654" customWidth="1"/>
    <col min="15879" max="15879" width="0.44140625" style="654" customWidth="1"/>
    <col min="15880" max="15917" width="10.44140625" style="654" customWidth="1"/>
    <col min="15918" max="15923" width="9.44140625" style="654" customWidth="1"/>
    <col min="15924" max="15924" width="10.44140625" style="654" customWidth="1"/>
    <col min="15925" max="15929" width="9.44140625" style="654" customWidth="1"/>
    <col min="15930" max="16128" width="8.44140625" style="654"/>
    <col min="16129" max="16131" width="2" style="654" customWidth="1"/>
    <col min="16132" max="16132" width="2.44140625" style="654" customWidth="1"/>
    <col min="16133" max="16133" width="45.44140625" style="654" customWidth="1"/>
    <col min="16134" max="16134" width="7.21875" style="654" customWidth="1"/>
    <col min="16135" max="16135" width="0.44140625" style="654" customWidth="1"/>
    <col min="16136" max="16173" width="10.44140625" style="654" customWidth="1"/>
    <col min="16174" max="16179" width="9.44140625" style="654" customWidth="1"/>
    <col min="16180" max="16180" width="10.44140625" style="654" customWidth="1"/>
    <col min="16181" max="16185" width="9.44140625" style="654" customWidth="1"/>
    <col min="16186" max="16384" width="8.44140625" style="654"/>
  </cols>
  <sheetData>
    <row r="1" spans="1:73">
      <c r="A1" s="751"/>
      <c r="B1" s="751"/>
      <c r="C1" s="751"/>
      <c r="D1" s="751"/>
      <c r="E1" s="750"/>
      <c r="F1" s="708"/>
      <c r="G1" s="708"/>
      <c r="H1" s="748" t="s">
        <v>1352</v>
      </c>
      <c r="I1" s="748">
        <v>2000</v>
      </c>
      <c r="J1" s="748">
        <v>2115</v>
      </c>
      <c r="K1" s="748">
        <v>2116</v>
      </c>
      <c r="L1" s="748">
        <v>2117</v>
      </c>
      <c r="M1" s="748">
        <v>2118</v>
      </c>
      <c r="N1" s="748">
        <v>2210</v>
      </c>
      <c r="O1" s="748">
        <v>2112</v>
      </c>
      <c r="P1" s="748">
        <v>2121</v>
      </c>
      <c r="Q1" s="748">
        <v>2122</v>
      </c>
      <c r="R1" s="748">
        <v>2130</v>
      </c>
      <c r="S1" s="748">
        <v>2230</v>
      </c>
      <c r="T1" s="748">
        <v>2310</v>
      </c>
      <c r="U1" s="748">
        <v>2330</v>
      </c>
      <c r="V1" s="748">
        <v>2410</v>
      </c>
      <c r="W1" s="748">
        <v>3000</v>
      </c>
      <c r="X1" s="748">
        <v>3105</v>
      </c>
      <c r="Y1" s="748">
        <v>3106</v>
      </c>
      <c r="Z1" s="748">
        <v>3191</v>
      </c>
      <c r="AA1" s="748">
        <v>3192</v>
      </c>
      <c r="AB1" s="748">
        <v>3193</v>
      </c>
      <c r="AC1" s="748">
        <v>3214</v>
      </c>
      <c r="AD1" s="748">
        <v>3215</v>
      </c>
      <c r="AE1" s="748">
        <v>3220</v>
      </c>
      <c r="AF1" s="748">
        <v>3234</v>
      </c>
      <c r="AG1" s="748">
        <v>3235</v>
      </c>
      <c r="AH1" s="748">
        <v>3246</v>
      </c>
      <c r="AI1" s="748">
        <v>3247</v>
      </c>
      <c r="AJ1" s="748">
        <v>3244</v>
      </c>
      <c r="AK1" s="748">
        <v>3250</v>
      </c>
      <c r="AL1" s="748">
        <v>3260</v>
      </c>
      <c r="AM1" s="748" t="s">
        <v>1351</v>
      </c>
      <c r="AN1" s="748">
        <v>3281</v>
      </c>
      <c r="AO1" s="748">
        <v>3282</v>
      </c>
      <c r="AP1" s="748">
        <v>3283</v>
      </c>
      <c r="AQ1" s="748">
        <v>3285</v>
      </c>
      <c r="AR1" s="748">
        <v>3286</v>
      </c>
      <c r="AS1" s="748">
        <v>3295</v>
      </c>
      <c r="AT1" s="748">
        <v>4000</v>
      </c>
      <c r="AU1" s="748">
        <v>4100</v>
      </c>
      <c r="AV1" s="748">
        <v>4210</v>
      </c>
      <c r="AW1" s="748">
        <v>4220</v>
      </c>
      <c r="AX1" s="748">
        <v>4230</v>
      </c>
      <c r="AY1" s="748">
        <v>4240</v>
      </c>
      <c r="AZ1" s="748">
        <v>5500</v>
      </c>
      <c r="BA1" s="748">
        <v>5510</v>
      </c>
      <c r="BB1" s="748">
        <v>5520</v>
      </c>
      <c r="BC1" s="748">
        <v>5535</v>
      </c>
      <c r="BD1" s="748">
        <v>5532</v>
      </c>
      <c r="BE1" s="748">
        <v>5534</v>
      </c>
      <c r="BF1" s="748">
        <v>5541</v>
      </c>
      <c r="BG1" s="748">
        <v>5544</v>
      </c>
      <c r="BH1" s="748">
        <v>5542</v>
      </c>
      <c r="BI1" s="748">
        <v>55431</v>
      </c>
      <c r="BJ1" s="748">
        <v>5546</v>
      </c>
      <c r="BK1" s="748">
        <v>5547</v>
      </c>
      <c r="BL1" s="748">
        <v>5549</v>
      </c>
      <c r="BM1" s="748">
        <v>5548</v>
      </c>
      <c r="BN1" s="748">
        <v>5550</v>
      </c>
      <c r="BO1" s="749">
        <v>7200</v>
      </c>
      <c r="BP1" s="748">
        <v>7100</v>
      </c>
      <c r="BQ1" s="748">
        <v>55432</v>
      </c>
      <c r="BR1" s="748">
        <v>5100</v>
      </c>
      <c r="BS1" s="748">
        <v>5200</v>
      </c>
      <c r="BT1" s="748">
        <v>6000</v>
      </c>
      <c r="BU1" s="747"/>
    </row>
    <row r="2" spans="1:73" ht="38.25" customHeight="1">
      <c r="A2" s="746" t="s">
        <v>1350</v>
      </c>
      <c r="B2" s="746"/>
      <c r="C2" s="746"/>
      <c r="D2" s="746"/>
      <c r="E2" s="745" t="s">
        <v>1349</v>
      </c>
      <c r="F2" s="744" t="s">
        <v>957</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199626.03897965033</v>
      </c>
      <c r="I4" s="723">
        <v>930.23311359510842</v>
      </c>
      <c r="J4" s="725">
        <v>0</v>
      </c>
      <c r="K4" s="725">
        <v>0</v>
      </c>
      <c r="L4" s="725">
        <v>930.23311359510842</v>
      </c>
      <c r="M4" s="725">
        <v>0</v>
      </c>
      <c r="N4" s="725">
        <v>0</v>
      </c>
      <c r="O4" s="725"/>
      <c r="P4" s="725"/>
      <c r="Q4" s="725"/>
      <c r="R4" s="725"/>
      <c r="S4" s="725"/>
      <c r="T4" s="725">
        <v>0</v>
      </c>
      <c r="U4" s="725"/>
      <c r="V4" s="725">
        <v>0</v>
      </c>
      <c r="W4" s="723">
        <v>96873.172828890791</v>
      </c>
      <c r="X4" s="725">
        <v>87881.198051017476</v>
      </c>
      <c r="Y4" s="725">
        <v>8867.1539122957856</v>
      </c>
      <c r="Z4" s="725"/>
      <c r="AA4" s="725">
        <v>124.82086557752937</v>
      </c>
      <c r="AB4" s="725"/>
      <c r="AC4" s="725"/>
      <c r="AD4" s="725"/>
      <c r="AE4" s="725"/>
      <c r="AF4" s="725"/>
      <c r="AG4" s="725"/>
      <c r="AH4" s="725"/>
      <c r="AI4" s="725"/>
      <c r="AJ4" s="725"/>
      <c r="AK4" s="725"/>
      <c r="AL4" s="725"/>
      <c r="AM4" s="725"/>
      <c r="AN4" s="725"/>
      <c r="AO4" s="725"/>
      <c r="AP4" s="725"/>
      <c r="AQ4" s="725"/>
      <c r="AR4" s="725"/>
      <c r="AS4" s="725"/>
      <c r="AT4" s="723">
        <v>89734.498901308878</v>
      </c>
      <c r="AU4" s="725">
        <v>89734.498901308878</v>
      </c>
      <c r="AV4" s="725"/>
      <c r="AW4" s="725"/>
      <c r="AX4" s="725"/>
      <c r="AY4" s="725"/>
      <c r="AZ4" s="723">
        <v>11914.302092290054</v>
      </c>
      <c r="BA4" s="725">
        <v>10343.078245915734</v>
      </c>
      <c r="BB4" s="725">
        <v>110.32291965224037</v>
      </c>
      <c r="BC4" s="725">
        <v>0</v>
      </c>
      <c r="BD4" s="725">
        <v>0</v>
      </c>
      <c r="BE4" s="725">
        <v>0</v>
      </c>
      <c r="BF4" s="725">
        <v>1180.0898060571319</v>
      </c>
      <c r="BG4" s="725"/>
      <c r="BH4" s="725">
        <v>29.497468233495749</v>
      </c>
      <c r="BI4" s="725">
        <v>171.10920034393808</v>
      </c>
      <c r="BJ4" s="725">
        <v>0</v>
      </c>
      <c r="BK4" s="725">
        <v>80.204452087513133</v>
      </c>
      <c r="BL4" s="725">
        <v>0</v>
      </c>
      <c r="BM4" s="725">
        <v>0</v>
      </c>
      <c r="BN4" s="725">
        <v>0</v>
      </c>
      <c r="BO4" s="723">
        <v>173.85592815515429</v>
      </c>
      <c r="BP4" s="725">
        <v>2.746727811216203</v>
      </c>
      <c r="BQ4" s="725">
        <v>171.10920034393808</v>
      </c>
      <c r="BR4" s="724">
        <v>0</v>
      </c>
      <c r="BS4" s="724"/>
      <c r="BT4" s="723"/>
    </row>
    <row r="5" spans="1:73">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c r="A6" s="680" t="s">
        <v>968</v>
      </c>
      <c r="B6" s="679" t="s">
        <v>1288</v>
      </c>
      <c r="C6" s="679"/>
      <c r="D6" s="679"/>
      <c r="E6" s="679"/>
      <c r="F6" s="678" t="s">
        <v>1287</v>
      </c>
      <c r="G6" s="678"/>
      <c r="H6" s="677">
        <v>0</v>
      </c>
      <c r="I6" s="674">
        <v>0</v>
      </c>
      <c r="J6" s="676">
        <v>0</v>
      </c>
      <c r="K6" s="676">
        <v>0</v>
      </c>
      <c r="L6" s="676">
        <v>0</v>
      </c>
      <c r="M6" s="676">
        <v>0</v>
      </c>
      <c r="N6" s="676">
        <v>0</v>
      </c>
      <c r="O6" s="676">
        <v>0</v>
      </c>
      <c r="P6" s="676">
        <v>0</v>
      </c>
      <c r="Q6" s="676">
        <v>0</v>
      </c>
      <c r="R6" s="676">
        <v>0</v>
      </c>
      <c r="S6" s="676">
        <v>0</v>
      </c>
      <c r="T6" s="676">
        <v>0</v>
      </c>
      <c r="U6" s="676">
        <v>0</v>
      </c>
      <c r="V6" s="676">
        <v>0</v>
      </c>
      <c r="W6" s="674">
        <v>0</v>
      </c>
      <c r="X6" s="676"/>
      <c r="Y6" s="676"/>
      <c r="Z6" s="676"/>
      <c r="AA6" s="676">
        <v>0</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c r="A9" s="681"/>
      <c r="B9" s="680" t="s">
        <v>968</v>
      </c>
      <c r="C9" s="679" t="s">
        <v>1282</v>
      </c>
      <c r="D9" s="679"/>
      <c r="E9" s="679"/>
      <c r="F9" s="678" t="s">
        <v>1281</v>
      </c>
      <c r="G9" s="678"/>
      <c r="H9" s="677">
        <v>0</v>
      </c>
      <c r="I9" s="674">
        <v>0</v>
      </c>
      <c r="J9" s="676"/>
      <c r="K9" s="676"/>
      <c r="L9" s="676"/>
      <c r="M9" s="676"/>
      <c r="N9" s="676"/>
      <c r="O9" s="676">
        <v>0</v>
      </c>
      <c r="P9" s="676">
        <v>0</v>
      </c>
      <c r="Q9" s="676">
        <v>0</v>
      </c>
      <c r="R9" s="676">
        <v>0</v>
      </c>
      <c r="S9" s="676">
        <v>0</v>
      </c>
      <c r="T9" s="676"/>
      <c r="U9" s="676">
        <v>0</v>
      </c>
      <c r="V9" s="676">
        <v>0</v>
      </c>
      <c r="W9" s="674">
        <v>0</v>
      </c>
      <c r="X9" s="676"/>
      <c r="Y9" s="676"/>
      <c r="Z9" s="676"/>
      <c r="AA9" s="676">
        <v>0</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c r="A12" s="680" t="s">
        <v>968</v>
      </c>
      <c r="B12" s="679" t="s">
        <v>164</v>
      </c>
      <c r="C12" s="679"/>
      <c r="D12" s="679"/>
      <c r="E12" s="679"/>
      <c r="F12" s="678" t="s">
        <v>1276</v>
      </c>
      <c r="G12" s="678"/>
      <c r="H12" s="677">
        <v>7473.5119900640102</v>
      </c>
      <c r="I12" s="674">
        <v>785.56415400783408</v>
      </c>
      <c r="J12" s="676">
        <v>0</v>
      </c>
      <c r="K12" s="676">
        <v>0</v>
      </c>
      <c r="L12" s="676">
        <v>475.85267985096016</v>
      </c>
      <c r="M12" s="676">
        <v>0</v>
      </c>
      <c r="N12" s="676">
        <v>0</v>
      </c>
      <c r="O12" s="676">
        <v>0</v>
      </c>
      <c r="P12" s="676">
        <v>309.73535874653675</v>
      </c>
      <c r="Q12" s="676">
        <v>0</v>
      </c>
      <c r="R12" s="676">
        <v>0</v>
      </c>
      <c r="S12" s="676">
        <v>0</v>
      </c>
      <c r="T12" s="676">
        <v>0</v>
      </c>
      <c r="U12" s="676">
        <v>0</v>
      </c>
      <c r="V12" s="676">
        <v>0</v>
      </c>
      <c r="W12" s="674">
        <v>5545.8106429731533</v>
      </c>
      <c r="X12" s="676">
        <v>1270.7557084169293</v>
      </c>
      <c r="Y12" s="676"/>
      <c r="Z12" s="676"/>
      <c r="AA12" s="676"/>
      <c r="AB12" s="676"/>
      <c r="AC12" s="676"/>
      <c r="AD12" s="676">
        <v>72.680806343747008</v>
      </c>
      <c r="AE12" s="676">
        <v>190.47960256042799</v>
      </c>
      <c r="AF12" s="676">
        <v>175.88611827648799</v>
      </c>
      <c r="AG12" s="676">
        <v>37.737651667144355</v>
      </c>
      <c r="AH12" s="676"/>
      <c r="AI12" s="676">
        <v>273.19193656252986</v>
      </c>
      <c r="AJ12" s="676">
        <v>182.21553453711664</v>
      </c>
      <c r="AK12" s="676">
        <v>56.630362090379286</v>
      </c>
      <c r="AL12" s="676">
        <v>1235.7170153816758</v>
      </c>
      <c r="AM12" s="676">
        <v>1310.7862806916976</v>
      </c>
      <c r="AN12" s="676">
        <v>13.542562338779019</v>
      </c>
      <c r="AO12" s="676">
        <v>42.132416165090284</v>
      </c>
      <c r="AP12" s="676">
        <v>357.69561478933792</v>
      </c>
      <c r="AQ12" s="676">
        <v>310.14139677080345</v>
      </c>
      <c r="AR12" s="676"/>
      <c r="AS12" s="676">
        <v>16.241520970669722</v>
      </c>
      <c r="AT12" s="674">
        <v>0</v>
      </c>
      <c r="AU12" s="676">
        <v>0</v>
      </c>
      <c r="AV12" s="676"/>
      <c r="AW12" s="676"/>
      <c r="AX12" s="676"/>
      <c r="AY12" s="676"/>
      <c r="AZ12" s="674">
        <v>174.38138912773476</v>
      </c>
      <c r="BA12" s="676"/>
      <c r="BB12" s="676"/>
      <c r="BC12" s="676"/>
      <c r="BD12" s="676">
        <v>0</v>
      </c>
      <c r="BE12" s="676"/>
      <c r="BF12" s="676">
        <v>59.042705646316996</v>
      </c>
      <c r="BG12" s="676">
        <v>0</v>
      </c>
      <c r="BH12" s="676">
        <v>0</v>
      </c>
      <c r="BI12" s="676">
        <v>0</v>
      </c>
      <c r="BJ12" s="676">
        <v>8.0013375370211133</v>
      </c>
      <c r="BK12" s="676">
        <v>105.35492500238846</v>
      </c>
      <c r="BL12" s="676">
        <v>0</v>
      </c>
      <c r="BM12" s="676">
        <v>1.9824209420082162</v>
      </c>
      <c r="BN12" s="676">
        <v>0</v>
      </c>
      <c r="BO12" s="674">
        <v>0</v>
      </c>
      <c r="BP12" s="676">
        <v>0</v>
      </c>
      <c r="BQ12" s="676">
        <v>0</v>
      </c>
      <c r="BR12" s="675"/>
      <c r="BS12" s="675">
        <v>0</v>
      </c>
      <c r="BT12" s="674">
        <v>967.755803955288</v>
      </c>
    </row>
    <row r="13" spans="1:73">
      <c r="A13" s="680" t="s">
        <v>968</v>
      </c>
      <c r="B13" s="679" t="s">
        <v>1275</v>
      </c>
      <c r="C13" s="679"/>
      <c r="D13" s="679"/>
      <c r="E13" s="679"/>
      <c r="F13" s="678" t="s">
        <v>1274</v>
      </c>
      <c r="G13" s="678"/>
      <c r="H13" s="677">
        <v>-617.05837393713568</v>
      </c>
      <c r="I13" s="674">
        <v>138.43508168529664</v>
      </c>
      <c r="J13" s="676">
        <v>0</v>
      </c>
      <c r="K13" s="676">
        <v>0</v>
      </c>
      <c r="L13" s="676">
        <v>125.5135186777491</v>
      </c>
      <c r="M13" s="676">
        <v>0</v>
      </c>
      <c r="N13" s="676">
        <v>0</v>
      </c>
      <c r="O13" s="676">
        <v>0</v>
      </c>
      <c r="P13" s="676">
        <v>12.945447597210279</v>
      </c>
      <c r="Q13" s="676">
        <v>0</v>
      </c>
      <c r="R13" s="676">
        <v>0</v>
      </c>
      <c r="S13" s="676">
        <v>0</v>
      </c>
      <c r="T13" s="676">
        <v>0</v>
      </c>
      <c r="U13" s="676">
        <v>0</v>
      </c>
      <c r="V13" s="676">
        <v>0</v>
      </c>
      <c r="W13" s="674">
        <v>-728.62329225183908</v>
      </c>
      <c r="X13" s="676">
        <v>-470.12037833190021</v>
      </c>
      <c r="Y13" s="676"/>
      <c r="Z13" s="676"/>
      <c r="AA13" s="676"/>
      <c r="AB13" s="676"/>
      <c r="AC13" s="676"/>
      <c r="AD13" s="676"/>
      <c r="AE13" s="676">
        <v>15.405560332473488</v>
      </c>
      <c r="AF13" s="676">
        <v>-56.845323397344032</v>
      </c>
      <c r="AG13" s="676"/>
      <c r="AH13" s="676"/>
      <c r="AI13" s="676">
        <v>-47.243718352918691</v>
      </c>
      <c r="AJ13" s="676">
        <v>44.258144645074992</v>
      </c>
      <c r="AK13" s="676">
        <v>13.638100697430017</v>
      </c>
      <c r="AL13" s="676">
        <v>-243.86166045667335</v>
      </c>
      <c r="AM13" s="676">
        <v>59.233782363618992</v>
      </c>
      <c r="AN13" s="676"/>
      <c r="AO13" s="676">
        <v>5.0157638291774145</v>
      </c>
      <c r="AP13" s="676">
        <v>-4.6574949842361706</v>
      </c>
      <c r="AQ13" s="676">
        <v>-43.469953186204258</v>
      </c>
      <c r="AR13" s="676"/>
      <c r="AS13" s="676"/>
      <c r="AT13" s="674">
        <v>-26.870163370593293</v>
      </c>
      <c r="AU13" s="676">
        <v>-26.870163370593293</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c r="A14" s="680" t="s">
        <v>1081</v>
      </c>
      <c r="B14" s="679" t="s">
        <v>170</v>
      </c>
      <c r="C14" s="679"/>
      <c r="D14" s="679"/>
      <c r="E14" s="679"/>
      <c r="F14" s="678" t="s">
        <v>1273</v>
      </c>
      <c r="G14" s="678"/>
      <c r="H14" s="677">
        <v>177678.03573134611</v>
      </c>
      <c r="I14" s="674">
        <v>1009.4105283271233</v>
      </c>
      <c r="J14" s="676">
        <v>0</v>
      </c>
      <c r="K14" s="676">
        <v>0</v>
      </c>
      <c r="L14" s="676">
        <v>1009.4105283271233</v>
      </c>
      <c r="M14" s="676">
        <v>0</v>
      </c>
      <c r="N14" s="676">
        <v>0</v>
      </c>
      <c r="O14" s="676">
        <v>0</v>
      </c>
      <c r="P14" s="676">
        <v>0</v>
      </c>
      <c r="Q14" s="676">
        <v>0</v>
      </c>
      <c r="R14" s="676">
        <v>0</v>
      </c>
      <c r="S14" s="676">
        <v>0</v>
      </c>
      <c r="T14" s="676">
        <v>0</v>
      </c>
      <c r="U14" s="676">
        <v>0</v>
      </c>
      <c r="V14" s="676">
        <v>0</v>
      </c>
      <c r="W14" s="674">
        <v>90476.927486385786</v>
      </c>
      <c r="X14" s="676">
        <v>73951.132129550009</v>
      </c>
      <c r="Y14" s="676"/>
      <c r="Z14" s="676"/>
      <c r="AA14" s="676"/>
      <c r="AB14" s="676"/>
      <c r="AC14" s="676"/>
      <c r="AD14" s="676">
        <v>386.47654533295116</v>
      </c>
      <c r="AE14" s="676">
        <v>5565.9692366485142</v>
      </c>
      <c r="AF14" s="676">
        <v>3007.0698385401738</v>
      </c>
      <c r="AG14" s="676"/>
      <c r="AH14" s="676"/>
      <c r="AI14" s="676">
        <v>131.46078150377375</v>
      </c>
      <c r="AJ14" s="676">
        <v>107.05073086844368</v>
      </c>
      <c r="AK14" s="676">
        <v>2427.3430782459154</v>
      </c>
      <c r="AL14" s="676">
        <v>3062.6731632750548</v>
      </c>
      <c r="AM14" s="676">
        <v>1790.3888411197095</v>
      </c>
      <c r="AN14" s="676"/>
      <c r="AO14" s="676">
        <v>1.0031527658354829</v>
      </c>
      <c r="AP14" s="676"/>
      <c r="AQ14" s="676">
        <v>23.4068978694946</v>
      </c>
      <c r="AR14" s="676"/>
      <c r="AS14" s="676">
        <v>22.929206076239609</v>
      </c>
      <c r="AT14" s="674">
        <v>84869.255756186103</v>
      </c>
      <c r="AU14" s="676">
        <v>84869.255756186103</v>
      </c>
      <c r="AV14" s="676"/>
      <c r="AW14" s="676"/>
      <c r="AX14" s="676"/>
      <c r="AY14" s="676"/>
      <c r="AZ14" s="674">
        <v>90.355402694181706</v>
      </c>
      <c r="BA14" s="676"/>
      <c r="BB14" s="676"/>
      <c r="BC14" s="676"/>
      <c r="BD14" s="676">
        <v>0</v>
      </c>
      <c r="BE14" s="676"/>
      <c r="BF14" s="676">
        <v>10.150950606668577</v>
      </c>
      <c r="BG14" s="676">
        <v>0</v>
      </c>
      <c r="BH14" s="676">
        <v>0</v>
      </c>
      <c r="BI14" s="676">
        <v>0</v>
      </c>
      <c r="BJ14" s="676">
        <v>0</v>
      </c>
      <c r="BK14" s="676">
        <v>80.204452087513133</v>
      </c>
      <c r="BL14" s="676">
        <v>0</v>
      </c>
      <c r="BM14" s="676">
        <v>0</v>
      </c>
      <c r="BN14" s="676">
        <v>0</v>
      </c>
      <c r="BO14" s="674">
        <v>0</v>
      </c>
      <c r="BP14" s="676">
        <v>0</v>
      </c>
      <c r="BQ14" s="676">
        <v>0</v>
      </c>
      <c r="BR14" s="675"/>
      <c r="BS14" s="675">
        <v>0</v>
      </c>
      <c r="BT14" s="674">
        <v>1232.0626731632749</v>
      </c>
    </row>
    <row r="15" spans="1:73">
      <c r="A15" s="680" t="s">
        <v>1081</v>
      </c>
      <c r="B15" s="679" t="s">
        <v>1272</v>
      </c>
      <c r="C15" s="679"/>
      <c r="D15" s="679"/>
      <c r="E15" s="679"/>
      <c r="F15" s="678" t="s">
        <v>1271</v>
      </c>
      <c r="G15" s="678"/>
      <c r="H15" s="677">
        <v>376.94659405751406</v>
      </c>
      <c r="I15" s="674">
        <v>0</v>
      </c>
      <c r="J15" s="676">
        <v>0</v>
      </c>
      <c r="K15" s="676">
        <v>0</v>
      </c>
      <c r="L15" s="676">
        <v>0</v>
      </c>
      <c r="M15" s="676">
        <v>0</v>
      </c>
      <c r="N15" s="676">
        <v>0</v>
      </c>
      <c r="O15" s="676">
        <v>0</v>
      </c>
      <c r="P15" s="676">
        <v>0</v>
      </c>
      <c r="Q15" s="676">
        <v>0</v>
      </c>
      <c r="R15" s="676">
        <v>0</v>
      </c>
      <c r="S15" s="676">
        <v>0</v>
      </c>
      <c r="T15" s="676">
        <v>0</v>
      </c>
      <c r="U15" s="676">
        <v>0</v>
      </c>
      <c r="V15" s="676">
        <v>0</v>
      </c>
      <c r="W15" s="674">
        <v>376.94659405751406</v>
      </c>
      <c r="X15" s="676"/>
      <c r="Y15" s="676"/>
      <c r="Z15" s="676"/>
      <c r="AA15" s="676"/>
      <c r="AB15" s="676"/>
      <c r="AC15" s="676"/>
      <c r="AD15" s="676"/>
      <c r="AE15" s="676"/>
      <c r="AF15" s="676"/>
      <c r="AG15" s="676"/>
      <c r="AH15" s="676"/>
      <c r="AI15" s="676"/>
      <c r="AJ15" s="676"/>
      <c r="AK15" s="676"/>
      <c r="AL15" s="676">
        <v>191.60217827457723</v>
      </c>
      <c r="AM15" s="676">
        <v>185.34441578293684</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c r="A17" s="709" t="s">
        <v>1268</v>
      </c>
      <c r="B17" s="709"/>
      <c r="C17" s="709"/>
      <c r="D17" s="709"/>
      <c r="E17" s="709"/>
      <c r="F17" s="708" t="s">
        <v>1267</v>
      </c>
      <c r="G17" s="708"/>
      <c r="H17" s="707">
        <v>28427.534154963218</v>
      </c>
      <c r="I17" s="704">
        <v>844.8218209611158</v>
      </c>
      <c r="J17" s="706">
        <v>0</v>
      </c>
      <c r="K17" s="706">
        <v>0</v>
      </c>
      <c r="L17" s="706">
        <v>522.16489920703157</v>
      </c>
      <c r="M17" s="706">
        <v>0</v>
      </c>
      <c r="N17" s="706">
        <v>0</v>
      </c>
      <c r="O17" s="706">
        <v>0</v>
      </c>
      <c r="P17" s="706">
        <v>322.65692175408424</v>
      </c>
      <c r="Q17" s="706">
        <v>0</v>
      </c>
      <c r="R17" s="706">
        <v>0</v>
      </c>
      <c r="S17" s="706">
        <v>0</v>
      </c>
      <c r="T17" s="706">
        <v>0</v>
      </c>
      <c r="U17" s="706">
        <v>0</v>
      </c>
      <c r="V17" s="706">
        <v>0</v>
      </c>
      <c r="W17" s="704">
        <v>10836.486099168817</v>
      </c>
      <c r="X17" s="706">
        <v>14730.701251552498</v>
      </c>
      <c r="Y17" s="706">
        <v>8867.1539122957856</v>
      </c>
      <c r="Z17" s="706"/>
      <c r="AA17" s="706">
        <v>124.82086557752937</v>
      </c>
      <c r="AB17" s="706"/>
      <c r="AC17" s="706"/>
      <c r="AD17" s="706">
        <v>-313.79573898920415</v>
      </c>
      <c r="AE17" s="706">
        <v>-5360.0601891659499</v>
      </c>
      <c r="AF17" s="706">
        <v>-2888.0290436610298</v>
      </c>
      <c r="AG17" s="706">
        <v>37.737651667144355</v>
      </c>
      <c r="AH17" s="706"/>
      <c r="AI17" s="706">
        <v>94.487436705837382</v>
      </c>
      <c r="AJ17" s="706">
        <v>119.42294831374797</v>
      </c>
      <c r="AK17" s="706">
        <v>-2357.098500047769</v>
      </c>
      <c r="AL17" s="706">
        <v>-2262.4199866246295</v>
      </c>
      <c r="AM17" s="706">
        <v>-605.71319384732965</v>
      </c>
      <c r="AN17" s="706">
        <v>13.542562338779019</v>
      </c>
      <c r="AO17" s="706">
        <v>46.145027228432212</v>
      </c>
      <c r="AP17" s="706">
        <v>353.03811980510176</v>
      </c>
      <c r="AQ17" s="706">
        <v>243.26454571510459</v>
      </c>
      <c r="AR17" s="706"/>
      <c r="AS17" s="706">
        <v>-6.6876851055698863</v>
      </c>
      <c r="AT17" s="704">
        <v>4838.3729817521735</v>
      </c>
      <c r="AU17" s="706">
        <v>4838.3729817521735</v>
      </c>
      <c r="AV17" s="706">
        <v>0</v>
      </c>
      <c r="AW17" s="706">
        <v>0</v>
      </c>
      <c r="AX17" s="706">
        <v>0</v>
      </c>
      <c r="AY17" s="706">
        <v>0</v>
      </c>
      <c r="AZ17" s="704">
        <v>11998.304194133943</v>
      </c>
      <c r="BA17" s="706">
        <v>10343.078245915734</v>
      </c>
      <c r="BB17" s="706">
        <v>110.32291965224037</v>
      </c>
      <c r="BC17" s="706">
        <v>0</v>
      </c>
      <c r="BD17" s="706">
        <v>0</v>
      </c>
      <c r="BE17" s="706">
        <v>0</v>
      </c>
      <c r="BF17" s="706">
        <v>1228.9815610967803</v>
      </c>
      <c r="BG17" s="706">
        <v>0</v>
      </c>
      <c r="BH17" s="706">
        <v>29.497468233495749</v>
      </c>
      <c r="BI17" s="706">
        <v>171.10920034393808</v>
      </c>
      <c r="BJ17" s="706">
        <v>8.0013375370211133</v>
      </c>
      <c r="BK17" s="706">
        <v>105.35492500238846</v>
      </c>
      <c r="BL17" s="706">
        <v>0</v>
      </c>
      <c r="BM17" s="706">
        <v>1.9824209420082162</v>
      </c>
      <c r="BN17" s="706">
        <v>0</v>
      </c>
      <c r="BO17" s="704">
        <v>173.85592815515429</v>
      </c>
      <c r="BP17" s="706">
        <v>2.746727811216203</v>
      </c>
      <c r="BQ17" s="706">
        <v>171.10920034393808</v>
      </c>
      <c r="BR17" s="705">
        <v>0</v>
      </c>
      <c r="BS17" s="705">
        <v>0</v>
      </c>
      <c r="BT17" s="704">
        <v>-264.30686920798701</v>
      </c>
    </row>
    <row r="18" spans="1:72">
      <c r="A18" s="709" t="s">
        <v>1266</v>
      </c>
      <c r="B18" s="709"/>
      <c r="C18" s="709"/>
      <c r="D18" s="709"/>
      <c r="E18" s="709"/>
      <c r="F18" s="708" t="s">
        <v>1265</v>
      </c>
      <c r="G18" s="708"/>
      <c r="H18" s="707">
        <v>17501.409190790102</v>
      </c>
      <c r="I18" s="704">
        <v>77.887646890226421</v>
      </c>
      <c r="J18" s="706">
        <v>0</v>
      </c>
      <c r="K18" s="706">
        <v>0</v>
      </c>
      <c r="L18" s="706">
        <v>16.766981943250215</v>
      </c>
      <c r="M18" s="706">
        <v>0</v>
      </c>
      <c r="N18" s="706">
        <v>0</v>
      </c>
      <c r="O18" s="706">
        <v>0</v>
      </c>
      <c r="P18" s="706">
        <v>61.120664946976206</v>
      </c>
      <c r="Q18" s="706">
        <v>0</v>
      </c>
      <c r="R18" s="706">
        <v>0</v>
      </c>
      <c r="S18" s="706">
        <v>0</v>
      </c>
      <c r="T18" s="706">
        <v>0</v>
      </c>
      <c r="U18" s="706">
        <v>0</v>
      </c>
      <c r="V18" s="706">
        <v>0</v>
      </c>
      <c r="W18" s="704">
        <v>16283.36677175886</v>
      </c>
      <c r="X18" s="706">
        <v>14754.299226139294</v>
      </c>
      <c r="Y18" s="706"/>
      <c r="Z18" s="706">
        <v>1292.2040699340785</v>
      </c>
      <c r="AA18" s="706">
        <v>124.82086557752937</v>
      </c>
      <c r="AB18" s="706"/>
      <c r="AC18" s="706">
        <v>68.477118563103076</v>
      </c>
      <c r="AD18" s="706"/>
      <c r="AE18" s="706">
        <v>7.7147224610681189</v>
      </c>
      <c r="AF18" s="706"/>
      <c r="AG18" s="706"/>
      <c r="AH18" s="706"/>
      <c r="AI18" s="706"/>
      <c r="AJ18" s="706"/>
      <c r="AK18" s="706"/>
      <c r="AL18" s="706">
        <v>35.874653673449892</v>
      </c>
      <c r="AM18" s="706">
        <v>0</v>
      </c>
      <c r="AN18" s="706"/>
      <c r="AO18" s="706"/>
      <c r="AP18" s="706"/>
      <c r="AQ18" s="706"/>
      <c r="AR18" s="706"/>
      <c r="AS18" s="706"/>
      <c r="AT18" s="704">
        <v>616.84341263017097</v>
      </c>
      <c r="AU18" s="706">
        <v>603.70688831565872</v>
      </c>
      <c r="AV18" s="706">
        <v>0</v>
      </c>
      <c r="AW18" s="706">
        <v>13.136524314512275</v>
      </c>
      <c r="AX18" s="706">
        <v>0</v>
      </c>
      <c r="AY18" s="706">
        <v>0</v>
      </c>
      <c r="AZ18" s="704">
        <v>290.55603324734881</v>
      </c>
      <c r="BA18" s="706"/>
      <c r="BB18" s="706"/>
      <c r="BC18" s="706"/>
      <c r="BD18" s="706">
        <v>0</v>
      </c>
      <c r="BE18" s="706"/>
      <c r="BF18" s="706">
        <v>137.24085220215915</v>
      </c>
      <c r="BG18" s="706">
        <v>0</v>
      </c>
      <c r="BH18" s="706">
        <v>3.9170727046909333</v>
      </c>
      <c r="BI18" s="706">
        <v>149.39810834049871</v>
      </c>
      <c r="BJ18" s="706">
        <v>0</v>
      </c>
      <c r="BK18" s="706">
        <v>0</v>
      </c>
      <c r="BL18" s="706">
        <v>0</v>
      </c>
      <c r="BM18" s="706">
        <v>0</v>
      </c>
      <c r="BN18" s="706">
        <v>0</v>
      </c>
      <c r="BO18" s="704">
        <v>152.14483615171491</v>
      </c>
      <c r="BP18" s="706">
        <v>2.746727811216203</v>
      </c>
      <c r="BQ18" s="706">
        <v>149.39810834049871</v>
      </c>
      <c r="BR18" s="705">
        <v>0</v>
      </c>
      <c r="BS18" s="705">
        <v>20.397439571988151</v>
      </c>
      <c r="BT18" s="704">
        <v>60.189165950128974</v>
      </c>
    </row>
    <row r="19" spans="1:72">
      <c r="A19" s="688" t="s">
        <v>968</v>
      </c>
      <c r="B19" s="687" t="s">
        <v>1222</v>
      </c>
      <c r="C19" s="687"/>
      <c r="D19" s="687"/>
      <c r="E19" s="687"/>
      <c r="F19" s="686" t="s">
        <v>1264</v>
      </c>
      <c r="G19" s="686"/>
      <c r="H19" s="685">
        <v>888.8888888888888</v>
      </c>
      <c r="I19" s="682">
        <v>16.766981943250215</v>
      </c>
      <c r="J19" s="684">
        <v>0</v>
      </c>
      <c r="K19" s="684">
        <v>0</v>
      </c>
      <c r="L19" s="684">
        <v>16.766981943250215</v>
      </c>
      <c r="M19" s="684">
        <v>0</v>
      </c>
      <c r="N19" s="684">
        <v>0</v>
      </c>
      <c r="O19" s="684">
        <v>0</v>
      </c>
      <c r="P19" s="684">
        <v>0</v>
      </c>
      <c r="Q19" s="684">
        <v>0</v>
      </c>
      <c r="R19" s="684">
        <v>0</v>
      </c>
      <c r="S19" s="684">
        <v>0</v>
      </c>
      <c r="T19" s="684">
        <v>0</v>
      </c>
      <c r="U19" s="684">
        <v>0</v>
      </c>
      <c r="V19" s="684">
        <v>0</v>
      </c>
      <c r="W19" s="682">
        <v>3.0811120664946974</v>
      </c>
      <c r="X19" s="684"/>
      <c r="Y19" s="684"/>
      <c r="Z19" s="684"/>
      <c r="AA19" s="684"/>
      <c r="AB19" s="684"/>
      <c r="AC19" s="684"/>
      <c r="AD19" s="684"/>
      <c r="AE19" s="684"/>
      <c r="AF19" s="684"/>
      <c r="AG19" s="684"/>
      <c r="AH19" s="684"/>
      <c r="AI19" s="684"/>
      <c r="AJ19" s="684"/>
      <c r="AK19" s="684"/>
      <c r="AL19" s="684">
        <v>3.0811120664946974</v>
      </c>
      <c r="AM19" s="684">
        <v>0</v>
      </c>
      <c r="AN19" s="684"/>
      <c r="AO19" s="684"/>
      <c r="AP19" s="684"/>
      <c r="AQ19" s="684"/>
      <c r="AR19" s="684"/>
      <c r="AS19" s="684"/>
      <c r="AT19" s="682">
        <v>600.41081494219929</v>
      </c>
      <c r="AU19" s="684">
        <v>587.91917454858128</v>
      </c>
      <c r="AV19" s="684">
        <v>0</v>
      </c>
      <c r="AW19" s="684">
        <v>12.491640393618036</v>
      </c>
      <c r="AX19" s="684">
        <v>0</v>
      </c>
      <c r="AY19" s="684">
        <v>0</v>
      </c>
      <c r="AZ19" s="682">
        <v>139.07996560619088</v>
      </c>
      <c r="BA19" s="684"/>
      <c r="BB19" s="684"/>
      <c r="BC19" s="684"/>
      <c r="BD19" s="684">
        <v>0</v>
      </c>
      <c r="BE19" s="684"/>
      <c r="BF19" s="684">
        <v>30.715582306295975</v>
      </c>
      <c r="BG19" s="684"/>
      <c r="BH19" s="684">
        <v>1.9585363523454666</v>
      </c>
      <c r="BI19" s="684">
        <v>106.40584694754943</v>
      </c>
      <c r="BJ19" s="684">
        <v>0</v>
      </c>
      <c r="BK19" s="684">
        <v>0</v>
      </c>
      <c r="BL19" s="684">
        <v>0</v>
      </c>
      <c r="BM19" s="684">
        <v>0</v>
      </c>
      <c r="BN19" s="684">
        <v>0</v>
      </c>
      <c r="BO19" s="682">
        <v>109.15257475876564</v>
      </c>
      <c r="BP19" s="684">
        <v>2.746727811216203</v>
      </c>
      <c r="BQ19" s="684">
        <v>106.40584694754943</v>
      </c>
      <c r="BR19" s="683"/>
      <c r="BS19" s="683">
        <v>20.397439571988151</v>
      </c>
      <c r="BT19" s="682"/>
    </row>
    <row r="20" spans="1:72">
      <c r="A20" s="681"/>
      <c r="B20" s="680" t="s">
        <v>968</v>
      </c>
      <c r="C20" s="679" t="s">
        <v>1220</v>
      </c>
      <c r="D20" s="679"/>
      <c r="E20" s="679"/>
      <c r="F20" s="678" t="s">
        <v>1263</v>
      </c>
      <c r="G20" s="678"/>
      <c r="H20" s="677">
        <v>244.05273717397534</v>
      </c>
      <c r="I20" s="674">
        <v>16.766981943250215</v>
      </c>
      <c r="J20" s="676">
        <v>0</v>
      </c>
      <c r="K20" s="676">
        <v>0</v>
      </c>
      <c r="L20" s="676">
        <v>16.766981943250215</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12.491640393618036</v>
      </c>
      <c r="AU20" s="676">
        <v>0</v>
      </c>
      <c r="AV20" s="676">
        <v>0</v>
      </c>
      <c r="AW20" s="676">
        <v>12.491640393618036</v>
      </c>
      <c r="AX20" s="676">
        <v>0</v>
      </c>
      <c r="AY20" s="676">
        <v>0</v>
      </c>
      <c r="AZ20" s="674">
        <v>108.3643832998949</v>
      </c>
      <c r="BA20" s="676"/>
      <c r="BB20" s="676"/>
      <c r="BC20" s="676"/>
      <c r="BD20" s="676">
        <v>0</v>
      </c>
      <c r="BE20" s="676"/>
      <c r="BF20" s="676">
        <v>0</v>
      </c>
      <c r="BG20" s="676"/>
      <c r="BH20" s="676">
        <v>1.9585363523454666</v>
      </c>
      <c r="BI20" s="676">
        <v>106.40584694754943</v>
      </c>
      <c r="BJ20" s="676">
        <v>0</v>
      </c>
      <c r="BK20" s="676">
        <v>0</v>
      </c>
      <c r="BL20" s="676">
        <v>0</v>
      </c>
      <c r="BM20" s="676">
        <v>0</v>
      </c>
      <c r="BN20" s="676">
        <v>0</v>
      </c>
      <c r="BO20" s="674">
        <v>106.40584694754943</v>
      </c>
      <c r="BP20" s="676">
        <v>0</v>
      </c>
      <c r="BQ20" s="676">
        <v>106.40584694754943</v>
      </c>
      <c r="BR20" s="675"/>
      <c r="BS20" s="675"/>
      <c r="BT20" s="674"/>
    </row>
    <row r="21" spans="1:72">
      <c r="A21" s="681"/>
      <c r="B21" s="680"/>
      <c r="C21" s="680" t="s">
        <v>968</v>
      </c>
      <c r="D21" s="679" t="s">
        <v>1262</v>
      </c>
      <c r="E21" s="679"/>
      <c r="F21" s="678" t="s">
        <v>1261</v>
      </c>
      <c r="G21" s="678"/>
      <c r="H21" s="677">
        <v>14.139677080347759</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12.491640393618036</v>
      </c>
      <c r="AU21" s="676">
        <v>0</v>
      </c>
      <c r="AV21" s="676">
        <v>0</v>
      </c>
      <c r="AW21" s="676">
        <v>12.491640393618036</v>
      </c>
      <c r="AX21" s="676">
        <v>0</v>
      </c>
      <c r="AY21" s="676">
        <v>0</v>
      </c>
      <c r="AZ21" s="674">
        <v>1.6480366867297218</v>
      </c>
      <c r="BA21" s="676"/>
      <c r="BB21" s="676"/>
      <c r="BC21" s="676"/>
      <c r="BD21" s="676">
        <v>0</v>
      </c>
      <c r="BE21" s="676"/>
      <c r="BF21" s="676">
        <v>0</v>
      </c>
      <c r="BG21" s="676"/>
      <c r="BH21" s="676">
        <v>1.6480366867297218</v>
      </c>
      <c r="BI21" s="676">
        <v>0</v>
      </c>
      <c r="BJ21" s="676">
        <v>0</v>
      </c>
      <c r="BK21" s="676">
        <v>0</v>
      </c>
      <c r="BL21" s="676">
        <v>0</v>
      </c>
      <c r="BM21" s="676">
        <v>0</v>
      </c>
      <c r="BN21" s="676">
        <v>0</v>
      </c>
      <c r="BO21" s="674">
        <v>0</v>
      </c>
      <c r="BP21" s="676">
        <v>0</v>
      </c>
      <c r="BQ21" s="676">
        <v>0</v>
      </c>
      <c r="BR21" s="675"/>
      <c r="BS21" s="675"/>
      <c r="BT21" s="674"/>
    </row>
    <row r="22" spans="1:72">
      <c r="A22" s="681"/>
      <c r="B22" s="680"/>
      <c r="C22" s="680" t="s">
        <v>968</v>
      </c>
      <c r="D22" s="679" t="s">
        <v>1260</v>
      </c>
      <c r="E22" s="679"/>
      <c r="F22" s="678" t="s">
        <v>1259</v>
      </c>
      <c r="G22" s="678"/>
      <c r="H22" s="677">
        <v>229.91306009362759</v>
      </c>
      <c r="I22" s="674">
        <v>16.766981943250215</v>
      </c>
      <c r="J22" s="676">
        <v>0</v>
      </c>
      <c r="K22" s="676">
        <v>0</v>
      </c>
      <c r="L22" s="676">
        <v>16.766981943250215</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106.71634661316519</v>
      </c>
      <c r="BA22" s="676"/>
      <c r="BB22" s="676"/>
      <c r="BC22" s="676"/>
      <c r="BD22" s="676">
        <v>0</v>
      </c>
      <c r="BE22" s="676"/>
      <c r="BF22" s="676">
        <v>0</v>
      </c>
      <c r="BG22" s="676"/>
      <c r="BH22" s="676">
        <v>0.31049966561574471</v>
      </c>
      <c r="BI22" s="676">
        <v>106.40584694754943</v>
      </c>
      <c r="BJ22" s="676">
        <v>0</v>
      </c>
      <c r="BK22" s="676">
        <v>0</v>
      </c>
      <c r="BL22" s="676">
        <v>0</v>
      </c>
      <c r="BM22" s="676">
        <v>0</v>
      </c>
      <c r="BN22" s="676">
        <v>0</v>
      </c>
      <c r="BO22" s="674">
        <v>106.40584694754943</v>
      </c>
      <c r="BP22" s="676">
        <v>0</v>
      </c>
      <c r="BQ22" s="676">
        <v>106.40584694754943</v>
      </c>
      <c r="BR22" s="675"/>
      <c r="BS22" s="675"/>
      <c r="BT22" s="674"/>
    </row>
    <row r="23" spans="1:72">
      <c r="A23" s="681"/>
      <c r="B23" s="680" t="s">
        <v>968</v>
      </c>
      <c r="C23" s="679" t="s">
        <v>1190</v>
      </c>
      <c r="D23" s="679"/>
      <c r="E23" s="679"/>
      <c r="F23" s="678" t="s">
        <v>1258</v>
      </c>
      <c r="G23" s="678"/>
      <c r="H23" s="677">
        <v>624.46259673258805</v>
      </c>
      <c r="I23" s="674">
        <v>0</v>
      </c>
      <c r="J23" s="676">
        <v>0</v>
      </c>
      <c r="K23" s="676">
        <v>0</v>
      </c>
      <c r="L23" s="676">
        <v>0</v>
      </c>
      <c r="M23" s="676">
        <v>0</v>
      </c>
      <c r="N23" s="676">
        <v>0</v>
      </c>
      <c r="O23" s="676">
        <v>0</v>
      </c>
      <c r="P23" s="676">
        <v>0</v>
      </c>
      <c r="Q23" s="676">
        <v>0</v>
      </c>
      <c r="R23" s="676">
        <v>0</v>
      </c>
      <c r="S23" s="676">
        <v>0</v>
      </c>
      <c r="T23" s="676">
        <v>0</v>
      </c>
      <c r="U23" s="676">
        <v>0</v>
      </c>
      <c r="V23" s="676">
        <v>0</v>
      </c>
      <c r="W23" s="674">
        <v>3.0811120664946974</v>
      </c>
      <c r="X23" s="676"/>
      <c r="Y23" s="676"/>
      <c r="Z23" s="676"/>
      <c r="AA23" s="676"/>
      <c r="AB23" s="676"/>
      <c r="AC23" s="676"/>
      <c r="AD23" s="676"/>
      <c r="AE23" s="676"/>
      <c r="AF23" s="676"/>
      <c r="AG23" s="676"/>
      <c r="AH23" s="676"/>
      <c r="AI23" s="676"/>
      <c r="AJ23" s="676"/>
      <c r="AK23" s="676"/>
      <c r="AL23" s="676">
        <v>3.0811120664946974</v>
      </c>
      <c r="AM23" s="676">
        <v>0</v>
      </c>
      <c r="AN23" s="676"/>
      <c r="AO23" s="676"/>
      <c r="AP23" s="676"/>
      <c r="AQ23" s="676"/>
      <c r="AR23" s="676"/>
      <c r="AS23" s="676"/>
      <c r="AT23" s="674">
        <v>587.91917454858128</v>
      </c>
      <c r="AU23" s="676">
        <v>587.91917454858128</v>
      </c>
      <c r="AV23" s="676">
        <v>0</v>
      </c>
      <c r="AW23" s="676">
        <v>0</v>
      </c>
      <c r="AX23" s="676">
        <v>0</v>
      </c>
      <c r="AY23" s="676">
        <v>0</v>
      </c>
      <c r="AZ23" s="674">
        <v>30.715582306295975</v>
      </c>
      <c r="BA23" s="676"/>
      <c r="BB23" s="676"/>
      <c r="BC23" s="676"/>
      <c r="BD23" s="676">
        <v>0</v>
      </c>
      <c r="BE23" s="676"/>
      <c r="BF23" s="676">
        <v>30.715582306295975</v>
      </c>
      <c r="BG23" s="676"/>
      <c r="BH23" s="676">
        <v>0</v>
      </c>
      <c r="BI23" s="676">
        <v>0</v>
      </c>
      <c r="BJ23" s="676">
        <v>0</v>
      </c>
      <c r="BK23" s="676">
        <v>0</v>
      </c>
      <c r="BL23" s="676">
        <v>0</v>
      </c>
      <c r="BM23" s="676">
        <v>0</v>
      </c>
      <c r="BN23" s="676">
        <v>0</v>
      </c>
      <c r="BO23" s="674">
        <v>2.746727811216203</v>
      </c>
      <c r="BP23" s="676">
        <v>2.746727811216203</v>
      </c>
      <c r="BQ23" s="676">
        <v>0</v>
      </c>
      <c r="BR23" s="675"/>
      <c r="BS23" s="675"/>
      <c r="BT23" s="674"/>
    </row>
    <row r="24" spans="1:72">
      <c r="A24" s="681"/>
      <c r="B24" s="680"/>
      <c r="C24" s="680" t="s">
        <v>968</v>
      </c>
      <c r="D24" s="679" t="s">
        <v>1257</v>
      </c>
      <c r="E24" s="679"/>
      <c r="F24" s="678" t="s">
        <v>1256</v>
      </c>
      <c r="G24" s="678"/>
      <c r="H24" s="677">
        <v>624.46259673258805</v>
      </c>
      <c r="I24" s="674">
        <v>0</v>
      </c>
      <c r="J24" s="676">
        <v>0</v>
      </c>
      <c r="K24" s="676">
        <v>0</v>
      </c>
      <c r="L24" s="676">
        <v>0</v>
      </c>
      <c r="M24" s="676">
        <v>0</v>
      </c>
      <c r="N24" s="676">
        <v>0</v>
      </c>
      <c r="O24" s="676">
        <v>0</v>
      </c>
      <c r="P24" s="676">
        <v>0</v>
      </c>
      <c r="Q24" s="676">
        <v>0</v>
      </c>
      <c r="R24" s="676">
        <v>0</v>
      </c>
      <c r="S24" s="676">
        <v>0</v>
      </c>
      <c r="T24" s="676">
        <v>0</v>
      </c>
      <c r="U24" s="676">
        <v>0</v>
      </c>
      <c r="V24" s="676">
        <v>0</v>
      </c>
      <c r="W24" s="674">
        <v>3.0811120664946974</v>
      </c>
      <c r="X24" s="676"/>
      <c r="Y24" s="676"/>
      <c r="Z24" s="676"/>
      <c r="AA24" s="676"/>
      <c r="AB24" s="676"/>
      <c r="AC24" s="676"/>
      <c r="AD24" s="676"/>
      <c r="AE24" s="676"/>
      <c r="AF24" s="676"/>
      <c r="AG24" s="676"/>
      <c r="AH24" s="676"/>
      <c r="AI24" s="676"/>
      <c r="AJ24" s="676"/>
      <c r="AK24" s="676"/>
      <c r="AL24" s="676">
        <v>3.0811120664946974</v>
      </c>
      <c r="AM24" s="676">
        <v>0</v>
      </c>
      <c r="AN24" s="676"/>
      <c r="AO24" s="676"/>
      <c r="AP24" s="676"/>
      <c r="AQ24" s="676"/>
      <c r="AR24" s="676"/>
      <c r="AS24" s="676"/>
      <c r="AT24" s="674">
        <v>587.91917454858128</v>
      </c>
      <c r="AU24" s="676">
        <v>587.91917454858128</v>
      </c>
      <c r="AV24" s="676">
        <v>0</v>
      </c>
      <c r="AW24" s="676">
        <v>0</v>
      </c>
      <c r="AX24" s="676">
        <v>0</v>
      </c>
      <c r="AY24" s="676">
        <v>0</v>
      </c>
      <c r="AZ24" s="674">
        <v>30.715582306295975</v>
      </c>
      <c r="BA24" s="676"/>
      <c r="BB24" s="676"/>
      <c r="BC24" s="676"/>
      <c r="BD24" s="676">
        <v>0</v>
      </c>
      <c r="BE24" s="676"/>
      <c r="BF24" s="676">
        <v>30.715582306295975</v>
      </c>
      <c r="BG24" s="676"/>
      <c r="BH24" s="676">
        <v>0</v>
      </c>
      <c r="BI24" s="676">
        <v>0</v>
      </c>
      <c r="BJ24" s="676">
        <v>0</v>
      </c>
      <c r="BK24" s="676">
        <v>0</v>
      </c>
      <c r="BL24" s="676">
        <v>0</v>
      </c>
      <c r="BM24" s="676">
        <v>0</v>
      </c>
      <c r="BN24" s="676">
        <v>0</v>
      </c>
      <c r="BO24" s="674">
        <v>2.746727811216203</v>
      </c>
      <c r="BP24" s="676">
        <v>2.746727811216203</v>
      </c>
      <c r="BQ24" s="676">
        <v>0</v>
      </c>
      <c r="BR24" s="675"/>
      <c r="BS24" s="675"/>
      <c r="BT24" s="674"/>
    </row>
    <row r="25" spans="1:72">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c r="A26" s="681"/>
      <c r="B26" s="680" t="s">
        <v>968</v>
      </c>
      <c r="C26" s="679" t="s">
        <v>1253</v>
      </c>
      <c r="D26" s="679"/>
      <c r="E26" s="679"/>
      <c r="F26" s="678" t="s">
        <v>1252</v>
      </c>
      <c r="G26" s="678"/>
      <c r="H26" s="677">
        <v>20.397439571988151</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20.397439571988151</v>
      </c>
      <c r="BT26" s="674"/>
    </row>
    <row r="27" spans="1:72">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c r="A29" s="680" t="s">
        <v>968</v>
      </c>
      <c r="B29" s="679" t="s">
        <v>1138</v>
      </c>
      <c r="C29" s="679"/>
      <c r="D29" s="679"/>
      <c r="E29" s="679"/>
      <c r="F29" s="678" t="s">
        <v>1248</v>
      </c>
      <c r="G29" s="678"/>
      <c r="H29" s="677">
        <v>61.120664946976206</v>
      </c>
      <c r="I29" s="674">
        <v>61.120664946976206</v>
      </c>
      <c r="J29" s="676"/>
      <c r="K29" s="676"/>
      <c r="L29" s="676"/>
      <c r="M29" s="676"/>
      <c r="N29" s="676"/>
      <c r="O29" s="676"/>
      <c r="P29" s="676">
        <v>61.120664946976206</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c r="A31" s="680" t="s">
        <v>968</v>
      </c>
      <c r="B31" s="679" t="s">
        <v>287</v>
      </c>
      <c r="C31" s="679"/>
      <c r="D31" s="679"/>
      <c r="E31" s="679"/>
      <c r="F31" s="678" t="s">
        <v>1246</v>
      </c>
      <c r="G31" s="678"/>
      <c r="H31" s="677">
        <v>16171.300277061238</v>
      </c>
      <c r="I31" s="674"/>
      <c r="J31" s="676"/>
      <c r="K31" s="676"/>
      <c r="L31" s="676"/>
      <c r="M31" s="676"/>
      <c r="N31" s="676"/>
      <c r="O31" s="676"/>
      <c r="P31" s="676"/>
      <c r="Q31" s="676"/>
      <c r="R31" s="676"/>
      <c r="S31" s="676"/>
      <c r="T31" s="676"/>
      <c r="U31" s="676"/>
      <c r="V31" s="676"/>
      <c r="W31" s="674">
        <v>16171.300277061238</v>
      </c>
      <c r="X31" s="676">
        <v>14754.299226139294</v>
      </c>
      <c r="Y31" s="676"/>
      <c r="Z31" s="676">
        <v>1292.2040699340785</v>
      </c>
      <c r="AA31" s="676">
        <v>124.82086557752937</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c r="A32" s="680" t="s">
        <v>968</v>
      </c>
      <c r="B32" s="679" t="s">
        <v>1245</v>
      </c>
      <c r="C32" s="679"/>
      <c r="D32" s="679"/>
      <c r="E32" s="679"/>
      <c r="F32" s="678" t="s">
        <v>1244</v>
      </c>
      <c r="G32" s="678"/>
      <c r="H32" s="677">
        <v>380.07547530333426</v>
      </c>
      <c r="I32" s="674">
        <v>0</v>
      </c>
      <c r="J32" s="676">
        <v>0</v>
      </c>
      <c r="K32" s="676">
        <v>0</v>
      </c>
      <c r="L32" s="676">
        <v>0</v>
      </c>
      <c r="M32" s="676">
        <v>0</v>
      </c>
      <c r="N32" s="676">
        <v>0</v>
      </c>
      <c r="O32" s="676">
        <v>0</v>
      </c>
      <c r="P32" s="676">
        <v>0</v>
      </c>
      <c r="Q32" s="676">
        <v>0</v>
      </c>
      <c r="R32" s="676">
        <v>0</v>
      </c>
      <c r="S32" s="676">
        <v>0</v>
      </c>
      <c r="T32" s="676">
        <v>0</v>
      </c>
      <c r="U32" s="676">
        <v>0</v>
      </c>
      <c r="V32" s="676">
        <v>0</v>
      </c>
      <c r="W32" s="674">
        <v>108.9853826311264</v>
      </c>
      <c r="X32" s="676"/>
      <c r="Y32" s="676"/>
      <c r="Z32" s="676"/>
      <c r="AA32" s="676"/>
      <c r="AB32" s="676"/>
      <c r="AC32" s="676">
        <v>68.477118563103076</v>
      </c>
      <c r="AD32" s="676"/>
      <c r="AE32" s="676">
        <v>7.7147224610681189</v>
      </c>
      <c r="AF32" s="676"/>
      <c r="AG32" s="676"/>
      <c r="AH32" s="676"/>
      <c r="AI32" s="676"/>
      <c r="AJ32" s="676"/>
      <c r="AK32" s="676"/>
      <c r="AL32" s="676">
        <v>32.793541606955188</v>
      </c>
      <c r="AM32" s="676">
        <v>0</v>
      </c>
      <c r="AN32" s="676"/>
      <c r="AO32" s="676"/>
      <c r="AP32" s="676"/>
      <c r="AQ32" s="676"/>
      <c r="AR32" s="676"/>
      <c r="AS32" s="676"/>
      <c r="AT32" s="674">
        <v>16.432597687971718</v>
      </c>
      <c r="AU32" s="676">
        <v>15.81159835674023</v>
      </c>
      <c r="AV32" s="676">
        <v>0</v>
      </c>
      <c r="AW32" s="676">
        <v>0.64488392089423896</v>
      </c>
      <c r="AX32" s="676">
        <v>0</v>
      </c>
      <c r="AY32" s="676">
        <v>0</v>
      </c>
      <c r="AZ32" s="674">
        <v>151.47606764115793</v>
      </c>
      <c r="BA32" s="676"/>
      <c r="BB32" s="676"/>
      <c r="BC32" s="676"/>
      <c r="BD32" s="676">
        <v>0</v>
      </c>
      <c r="BE32" s="676"/>
      <c r="BF32" s="676">
        <v>106.52526989586319</v>
      </c>
      <c r="BG32" s="676"/>
      <c r="BH32" s="676">
        <v>1.9585363523454666</v>
      </c>
      <c r="BI32" s="676">
        <v>42.992261392949267</v>
      </c>
      <c r="BJ32" s="676">
        <v>0</v>
      </c>
      <c r="BK32" s="676">
        <v>0</v>
      </c>
      <c r="BL32" s="676">
        <v>0</v>
      </c>
      <c r="BM32" s="676">
        <v>0</v>
      </c>
      <c r="BN32" s="676">
        <v>0</v>
      </c>
      <c r="BO32" s="674">
        <v>42.992261392949267</v>
      </c>
      <c r="BP32" s="676">
        <v>0</v>
      </c>
      <c r="BQ32" s="676">
        <v>42.992261392949267</v>
      </c>
      <c r="BR32" s="675"/>
      <c r="BS32" s="675"/>
      <c r="BT32" s="674">
        <v>60.189165950128974</v>
      </c>
    </row>
    <row r="33" spans="1:72">
      <c r="A33" s="681"/>
      <c r="B33" s="680" t="s">
        <v>968</v>
      </c>
      <c r="C33" s="679" t="s">
        <v>1243</v>
      </c>
      <c r="D33" s="679"/>
      <c r="E33" s="679"/>
      <c r="F33" s="678" t="s">
        <v>1242</v>
      </c>
      <c r="G33" s="678"/>
      <c r="H33" s="677">
        <v>319.88630935320532</v>
      </c>
      <c r="I33" s="674">
        <v>0</v>
      </c>
      <c r="J33" s="676">
        <v>0</v>
      </c>
      <c r="K33" s="676">
        <v>0</v>
      </c>
      <c r="L33" s="676">
        <v>0</v>
      </c>
      <c r="M33" s="676">
        <v>0</v>
      </c>
      <c r="N33" s="676">
        <v>0</v>
      </c>
      <c r="O33" s="676">
        <v>0</v>
      </c>
      <c r="P33" s="676">
        <v>0</v>
      </c>
      <c r="Q33" s="676">
        <v>0</v>
      </c>
      <c r="R33" s="676">
        <v>0</v>
      </c>
      <c r="S33" s="676">
        <v>0</v>
      </c>
      <c r="T33" s="676">
        <v>0</v>
      </c>
      <c r="U33" s="676">
        <v>0</v>
      </c>
      <c r="V33" s="676">
        <v>0</v>
      </c>
      <c r="W33" s="674">
        <v>108.9853826311264</v>
      </c>
      <c r="X33" s="676"/>
      <c r="Y33" s="676"/>
      <c r="Z33" s="676"/>
      <c r="AA33" s="676"/>
      <c r="AB33" s="676"/>
      <c r="AC33" s="676">
        <v>68.477118563103076</v>
      </c>
      <c r="AD33" s="676"/>
      <c r="AE33" s="676">
        <v>7.7147224610681189</v>
      </c>
      <c r="AF33" s="676"/>
      <c r="AG33" s="676"/>
      <c r="AH33" s="676"/>
      <c r="AI33" s="676"/>
      <c r="AJ33" s="676"/>
      <c r="AK33" s="676"/>
      <c r="AL33" s="676">
        <v>32.793541606955188</v>
      </c>
      <c r="AM33" s="676">
        <v>0</v>
      </c>
      <c r="AN33" s="676"/>
      <c r="AO33" s="676"/>
      <c r="AP33" s="676"/>
      <c r="AQ33" s="676"/>
      <c r="AR33" s="676"/>
      <c r="AS33" s="676"/>
      <c r="AT33" s="674">
        <v>16.432597687971718</v>
      </c>
      <c r="AU33" s="676">
        <v>15.81159835674023</v>
      </c>
      <c r="AV33" s="676">
        <v>0</v>
      </c>
      <c r="AW33" s="676">
        <v>0.64488392089423896</v>
      </c>
      <c r="AX33" s="676">
        <v>0</v>
      </c>
      <c r="AY33" s="676">
        <v>0</v>
      </c>
      <c r="AZ33" s="674">
        <v>151.47606764115793</v>
      </c>
      <c r="BA33" s="676"/>
      <c r="BB33" s="676"/>
      <c r="BC33" s="676"/>
      <c r="BD33" s="676">
        <v>0</v>
      </c>
      <c r="BE33" s="676"/>
      <c r="BF33" s="676">
        <v>106.52526989586319</v>
      </c>
      <c r="BG33" s="676"/>
      <c r="BH33" s="676">
        <v>1.9585363523454666</v>
      </c>
      <c r="BI33" s="676">
        <v>42.992261392949267</v>
      </c>
      <c r="BJ33" s="676">
        <v>0</v>
      </c>
      <c r="BK33" s="676">
        <v>0</v>
      </c>
      <c r="BL33" s="676">
        <v>0</v>
      </c>
      <c r="BM33" s="676">
        <v>0</v>
      </c>
      <c r="BN33" s="676">
        <v>0</v>
      </c>
      <c r="BO33" s="674">
        <v>42.992261392949267</v>
      </c>
      <c r="BP33" s="676">
        <v>0</v>
      </c>
      <c r="BQ33" s="676">
        <v>42.992261392949267</v>
      </c>
      <c r="BR33" s="675"/>
      <c r="BS33" s="675"/>
      <c r="BT33" s="674"/>
    </row>
    <row r="34" spans="1:72">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c r="A35" s="681"/>
      <c r="B35" s="680" t="s">
        <v>968</v>
      </c>
      <c r="C35" s="679" t="s">
        <v>1239</v>
      </c>
      <c r="D35" s="679"/>
      <c r="E35" s="679"/>
      <c r="F35" s="678" t="s">
        <v>1238</v>
      </c>
      <c r="G35" s="678"/>
      <c r="H35" s="677">
        <v>12.89767841788478</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12.89767841788478</v>
      </c>
    </row>
    <row r="36" spans="1:72">
      <c r="A36" s="681"/>
      <c r="B36" s="680" t="s">
        <v>968</v>
      </c>
      <c r="C36" s="679" t="s">
        <v>1237</v>
      </c>
      <c r="D36" s="679"/>
      <c r="E36" s="679"/>
      <c r="F36" s="678" t="s">
        <v>1236</v>
      </c>
      <c r="G36" s="678"/>
      <c r="H36" s="677">
        <v>47.291487532244197</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47.291487532244197</v>
      </c>
    </row>
    <row r="37" spans="1:72">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c r="A44" s="722" t="s">
        <v>1224</v>
      </c>
      <c r="B44" s="722"/>
      <c r="C44" s="722"/>
      <c r="D44" s="722"/>
      <c r="E44" s="722"/>
      <c r="F44" s="721" t="s">
        <v>1223</v>
      </c>
      <c r="G44" s="721"/>
      <c r="H44" s="720">
        <v>17161.029903506256</v>
      </c>
      <c r="I44" s="717">
        <v>0</v>
      </c>
      <c r="J44" s="719"/>
      <c r="K44" s="719"/>
      <c r="L44" s="719"/>
      <c r="M44" s="719"/>
      <c r="N44" s="719"/>
      <c r="O44" s="719">
        <v>0</v>
      </c>
      <c r="P44" s="719">
        <v>0</v>
      </c>
      <c r="Q44" s="719">
        <v>0</v>
      </c>
      <c r="R44" s="719">
        <v>0</v>
      </c>
      <c r="S44" s="719">
        <v>0</v>
      </c>
      <c r="T44" s="719"/>
      <c r="U44" s="719">
        <v>0</v>
      </c>
      <c r="V44" s="719"/>
      <c r="W44" s="717">
        <v>16162.391325117034</v>
      </c>
      <c r="X44" s="719"/>
      <c r="Y44" s="719"/>
      <c r="Z44" s="719"/>
      <c r="AA44" s="719"/>
      <c r="AB44" s="719"/>
      <c r="AC44" s="719">
        <v>423.68873602751501</v>
      </c>
      <c r="AD44" s="719"/>
      <c r="AE44" s="719">
        <v>452.54132034011656</v>
      </c>
      <c r="AF44" s="719">
        <v>4083.7632559472627</v>
      </c>
      <c r="AG44" s="719"/>
      <c r="AH44" s="719"/>
      <c r="AI44" s="719">
        <v>426.2205025317665</v>
      </c>
      <c r="AJ44" s="719">
        <v>446.76124964173113</v>
      </c>
      <c r="AK44" s="719">
        <v>1572.8002292920607</v>
      </c>
      <c r="AL44" s="719">
        <v>6683.7919174548579</v>
      </c>
      <c r="AM44" s="719">
        <v>1669.0551256329416</v>
      </c>
      <c r="AN44" s="719"/>
      <c r="AO44" s="719"/>
      <c r="AP44" s="719"/>
      <c r="AQ44" s="719">
        <v>403.76898824878185</v>
      </c>
      <c r="AR44" s="719"/>
      <c r="AS44" s="719"/>
      <c r="AT44" s="717">
        <v>61.120664946976206</v>
      </c>
      <c r="AU44" s="719"/>
      <c r="AV44" s="719">
        <v>0</v>
      </c>
      <c r="AW44" s="719">
        <v>61.120664946976206</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525.03104996656157</v>
      </c>
      <c r="BT44" s="717">
        <v>412.46297888602271</v>
      </c>
    </row>
    <row r="45" spans="1:72">
      <c r="A45" s="688" t="s">
        <v>968</v>
      </c>
      <c r="B45" s="687" t="s">
        <v>1222</v>
      </c>
      <c r="C45" s="687"/>
      <c r="D45" s="687"/>
      <c r="E45" s="687"/>
      <c r="F45" s="686" t="s">
        <v>1221</v>
      </c>
      <c r="G45" s="686"/>
      <c r="H45" s="685">
        <v>592.69609248113113</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180.23311359510842</v>
      </c>
      <c r="BT45" s="682">
        <v>412.46297888602271</v>
      </c>
    </row>
    <row r="46" spans="1:72">
      <c r="A46" s="681"/>
      <c r="B46" s="680" t="s">
        <v>968</v>
      </c>
      <c r="C46" s="679" t="s">
        <v>1220</v>
      </c>
      <c r="D46" s="679"/>
      <c r="E46" s="679"/>
      <c r="F46" s="678" t="s">
        <v>1219</v>
      </c>
      <c r="G46" s="678"/>
      <c r="H46" s="677">
        <v>211.1875417980319</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180.23311359510842</v>
      </c>
      <c r="BT46" s="674">
        <v>30.954428202923474</v>
      </c>
    </row>
    <row r="47" spans="1:72">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c r="A48" s="681"/>
      <c r="B48" s="679"/>
      <c r="C48" s="680" t="s">
        <v>968</v>
      </c>
      <c r="D48" s="679" t="s">
        <v>1216</v>
      </c>
      <c r="E48" s="679"/>
      <c r="F48" s="678" t="s">
        <v>1215</v>
      </c>
      <c r="G48" s="678"/>
      <c r="H48" s="677">
        <v>8.7656444062291001</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8.7656444062291001</v>
      </c>
    </row>
    <row r="49" spans="1:72">
      <c r="A49" s="681"/>
      <c r="B49" s="679"/>
      <c r="C49" s="680" t="s">
        <v>968</v>
      </c>
      <c r="D49" s="679" t="s">
        <v>1214</v>
      </c>
      <c r="E49" s="679"/>
      <c r="F49" s="678" t="s">
        <v>1213</v>
      </c>
      <c r="G49" s="678"/>
      <c r="H49" s="677">
        <v>0</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0</v>
      </c>
    </row>
    <row r="50" spans="1:72">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c r="A52" s="681"/>
      <c r="B52" s="679"/>
      <c r="C52" s="680" t="s">
        <v>968</v>
      </c>
      <c r="D52" s="679" t="s">
        <v>1208</v>
      </c>
      <c r="E52" s="679"/>
      <c r="F52" s="678" t="s">
        <v>1207</v>
      </c>
      <c r="G52" s="678"/>
      <c r="H52" s="677">
        <v>22.18878379669437</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22.18878379669437</v>
      </c>
    </row>
    <row r="53" spans="1:72">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c r="A56" s="681"/>
      <c r="B56" s="679"/>
      <c r="C56" s="680" t="s">
        <v>968</v>
      </c>
      <c r="D56" s="679" t="s">
        <v>1200</v>
      </c>
      <c r="E56" s="679"/>
      <c r="F56" s="678" t="s">
        <v>1199</v>
      </c>
      <c r="G56" s="678"/>
      <c r="H56" s="677">
        <v>178.9672303429827</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178.9672303429827</v>
      </c>
      <c r="BT56" s="674"/>
    </row>
    <row r="57" spans="1:72">
      <c r="A57" s="681"/>
      <c r="B57" s="679"/>
      <c r="C57" s="680" t="s">
        <v>968</v>
      </c>
      <c r="D57" s="679" t="s">
        <v>1198</v>
      </c>
      <c r="E57" s="679"/>
      <c r="F57" s="678" t="s">
        <v>1197</v>
      </c>
      <c r="G57" s="678"/>
      <c r="H57" s="677">
        <v>0.85984522785898532</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0.85984522785898532</v>
      </c>
      <c r="BT57" s="674"/>
    </row>
    <row r="58" spans="1:72">
      <c r="A58" s="681"/>
      <c r="B58" s="679"/>
      <c r="C58" s="680" t="s">
        <v>968</v>
      </c>
      <c r="D58" s="679" t="s">
        <v>1196</v>
      </c>
      <c r="E58" s="679"/>
      <c r="F58" s="678" t="s">
        <v>1195</v>
      </c>
      <c r="G58" s="678"/>
      <c r="H58" s="677">
        <v>0.40603802426674307</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0.40603802426674307</v>
      </c>
      <c r="BT58" s="674"/>
    </row>
    <row r="59" spans="1:72">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c r="A61" s="681"/>
      <c r="B61" s="680" t="s">
        <v>968</v>
      </c>
      <c r="C61" s="679" t="s">
        <v>1190</v>
      </c>
      <c r="D61" s="679"/>
      <c r="E61" s="679"/>
      <c r="F61" s="678" t="s">
        <v>1189</v>
      </c>
      <c r="G61" s="678"/>
      <c r="H61" s="677">
        <v>381.50855068309926</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381.50855068309926</v>
      </c>
    </row>
    <row r="62" spans="1:72">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c r="A63" s="681"/>
      <c r="B63" s="679"/>
      <c r="C63" s="680" t="s">
        <v>968</v>
      </c>
      <c r="D63" s="679" t="s">
        <v>1186</v>
      </c>
      <c r="E63" s="679"/>
      <c r="F63" s="678" t="s">
        <v>1185</v>
      </c>
      <c r="G63" s="678"/>
      <c r="H63" s="677">
        <v>376.51667144358458</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376.51667144358458</v>
      </c>
    </row>
    <row r="64" spans="1:72">
      <c r="A64" s="681"/>
      <c r="B64" s="679"/>
      <c r="C64" s="680" t="s">
        <v>968</v>
      </c>
      <c r="D64" s="679" t="s">
        <v>1184</v>
      </c>
      <c r="E64" s="679"/>
      <c r="F64" s="678" t="s">
        <v>1183</v>
      </c>
      <c r="G64" s="678"/>
      <c r="H64" s="677">
        <v>4.9918792395146649</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4.9918792395146649</v>
      </c>
    </row>
    <row r="65" spans="1:72">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c r="A87" s="680" t="s">
        <v>968</v>
      </c>
      <c r="B87" s="679" t="s">
        <v>1138</v>
      </c>
      <c r="C87" s="679"/>
      <c r="D87" s="679"/>
      <c r="E87" s="679"/>
      <c r="F87" s="678" t="s">
        <v>1137</v>
      </c>
      <c r="G87" s="678"/>
      <c r="H87" s="677">
        <v>61.120664946976206</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61.120664946976206</v>
      </c>
      <c r="AU87" s="676"/>
      <c r="AV87" s="676"/>
      <c r="AW87" s="676">
        <v>61.120664946976206</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c r="A89" s="680" t="s">
        <v>968</v>
      </c>
      <c r="B89" s="679" t="s">
        <v>287</v>
      </c>
      <c r="C89" s="679"/>
      <c r="D89" s="679"/>
      <c r="E89" s="679"/>
      <c r="F89" s="678" t="s">
        <v>1135</v>
      </c>
      <c r="G89" s="678"/>
      <c r="H89" s="677">
        <v>16162.391325117034</v>
      </c>
      <c r="I89" s="674"/>
      <c r="J89" s="676"/>
      <c r="K89" s="676"/>
      <c r="L89" s="676"/>
      <c r="M89" s="676"/>
      <c r="N89" s="676"/>
      <c r="O89" s="676"/>
      <c r="P89" s="676"/>
      <c r="Q89" s="676"/>
      <c r="R89" s="676"/>
      <c r="S89" s="676"/>
      <c r="T89" s="676"/>
      <c r="U89" s="676"/>
      <c r="V89" s="676"/>
      <c r="W89" s="674">
        <v>16162.391325117034</v>
      </c>
      <c r="X89" s="676"/>
      <c r="Y89" s="676"/>
      <c r="Z89" s="676"/>
      <c r="AA89" s="676"/>
      <c r="AB89" s="676"/>
      <c r="AC89" s="676">
        <v>423.68873602751501</v>
      </c>
      <c r="AD89" s="676"/>
      <c r="AE89" s="676">
        <v>452.54132034011656</v>
      </c>
      <c r="AF89" s="676">
        <v>4083.7632559472627</v>
      </c>
      <c r="AG89" s="676"/>
      <c r="AH89" s="676"/>
      <c r="AI89" s="676">
        <v>426.2205025317665</v>
      </c>
      <c r="AJ89" s="676">
        <v>446.76124964173113</v>
      </c>
      <c r="AK89" s="676">
        <v>1572.8002292920607</v>
      </c>
      <c r="AL89" s="676">
        <v>6683.7919174548579</v>
      </c>
      <c r="AM89" s="676">
        <v>1669.0551256329416</v>
      </c>
      <c r="AN89" s="676"/>
      <c r="AO89" s="676"/>
      <c r="AP89" s="676"/>
      <c r="AQ89" s="676">
        <v>403.76898824878185</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c r="A93" s="680" t="s">
        <v>968</v>
      </c>
      <c r="B93" s="679" t="s">
        <v>1129</v>
      </c>
      <c r="C93" s="679"/>
      <c r="D93" s="679"/>
      <c r="E93" s="679"/>
      <c r="F93" s="678" t="s">
        <v>1128</v>
      </c>
      <c r="G93" s="678"/>
      <c r="H93" s="677">
        <v>344.79793637145315</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344.79793637145315</v>
      </c>
      <c r="BT93" s="674"/>
    </row>
    <row r="94" spans="1:72">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c r="A96" s="681"/>
      <c r="B96" s="680" t="s">
        <v>968</v>
      </c>
      <c r="C96" s="679" t="s">
        <v>1123</v>
      </c>
      <c r="D96" s="679"/>
      <c r="E96" s="679"/>
      <c r="F96" s="678" t="s">
        <v>1122</v>
      </c>
      <c r="G96" s="678"/>
      <c r="H96" s="677">
        <v>232.70755708416928</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232.70755708416928</v>
      </c>
      <c r="BT96" s="674"/>
    </row>
    <row r="97" spans="1:72">
      <c r="A97" s="681"/>
      <c r="B97" s="680" t="s">
        <v>968</v>
      </c>
      <c r="C97" s="679" t="s">
        <v>1121</v>
      </c>
      <c r="D97" s="679"/>
      <c r="E97" s="679"/>
      <c r="F97" s="678" t="s">
        <v>1120</v>
      </c>
      <c r="G97" s="678"/>
      <c r="H97" s="677">
        <v>31.312697047864717</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31.312697047864717</v>
      </c>
      <c r="BT97" s="674"/>
    </row>
    <row r="98" spans="1:72">
      <c r="A98" s="681"/>
      <c r="B98" s="680" t="s">
        <v>968</v>
      </c>
      <c r="C98" s="679" t="s">
        <v>1119</v>
      </c>
      <c r="D98" s="679"/>
      <c r="E98" s="679"/>
      <c r="F98" s="678" t="s">
        <v>1118</v>
      </c>
      <c r="G98" s="678"/>
      <c r="H98" s="677">
        <v>46.861564918314699</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46.861564918314699</v>
      </c>
      <c r="BT98" s="674"/>
    </row>
    <row r="99" spans="1:72">
      <c r="A99" s="681"/>
      <c r="B99" s="680" t="s">
        <v>968</v>
      </c>
      <c r="C99" s="679" t="s">
        <v>1117</v>
      </c>
      <c r="D99" s="679"/>
      <c r="E99" s="679"/>
      <c r="F99" s="678" t="s">
        <v>1116</v>
      </c>
      <c r="G99" s="678"/>
      <c r="H99" s="677">
        <v>13.51867774911627</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13.51867774911627</v>
      </c>
      <c r="BT99" s="674"/>
    </row>
    <row r="100" spans="1:72">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c r="A106" s="681"/>
      <c r="B106" s="680" t="s">
        <v>968</v>
      </c>
      <c r="C106" s="679" t="s">
        <v>1103</v>
      </c>
      <c r="D106" s="679"/>
      <c r="E106" s="679"/>
      <c r="F106" s="678" t="s">
        <v>1102</v>
      </c>
      <c r="G106" s="678"/>
      <c r="H106" s="677">
        <v>14.689022642591</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14.689022642591</v>
      </c>
      <c r="BT106" s="674"/>
    </row>
    <row r="107" spans="1:72">
      <c r="A107" s="681"/>
      <c r="B107" s="680" t="s">
        <v>968</v>
      </c>
      <c r="C107" s="679" t="s">
        <v>1101</v>
      </c>
      <c r="D107" s="679"/>
      <c r="E107" s="679"/>
      <c r="F107" s="678" t="s">
        <v>1100</v>
      </c>
      <c r="G107" s="678"/>
      <c r="H107" s="677">
        <v>5.7084169293971527</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5.7084169293971527</v>
      </c>
      <c r="BT107" s="674"/>
    </row>
    <row r="108" spans="1:72">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c r="A109" s="709" t="s">
        <v>1097</v>
      </c>
      <c r="B109" s="709"/>
      <c r="C109" s="709"/>
      <c r="D109" s="709"/>
      <c r="E109" s="709"/>
      <c r="F109" s="708" t="s">
        <v>1096</v>
      </c>
      <c r="G109" s="708"/>
      <c r="H109" s="707">
        <v>423.25881341358553</v>
      </c>
      <c r="I109" s="704"/>
      <c r="J109" s="706"/>
      <c r="K109" s="706"/>
      <c r="L109" s="706"/>
      <c r="M109" s="706"/>
      <c r="N109" s="706"/>
      <c r="O109" s="706"/>
      <c r="P109" s="706"/>
      <c r="Q109" s="706"/>
      <c r="R109" s="706"/>
      <c r="S109" s="706"/>
      <c r="T109" s="706"/>
      <c r="U109" s="706"/>
      <c r="V109" s="706"/>
      <c r="W109" s="704">
        <v>423.25881341358553</v>
      </c>
      <c r="X109" s="706">
        <v>0</v>
      </c>
      <c r="Y109" s="706">
        <v>-8867.1539122957856</v>
      </c>
      <c r="Z109" s="706">
        <v>1340.6897869494601</v>
      </c>
      <c r="AA109" s="706"/>
      <c r="AB109" s="706"/>
      <c r="AC109" s="706">
        <v>0</v>
      </c>
      <c r="AD109" s="706">
        <v>1211.1875417980318</v>
      </c>
      <c r="AE109" s="706">
        <v>5776.2730486290238</v>
      </c>
      <c r="AF109" s="706">
        <v>0</v>
      </c>
      <c r="AG109" s="706">
        <v>0</v>
      </c>
      <c r="AH109" s="706">
        <v>0</v>
      </c>
      <c r="AI109" s="706">
        <v>0</v>
      </c>
      <c r="AJ109" s="706">
        <v>0</v>
      </c>
      <c r="AK109" s="706">
        <v>2186.2042610107956</v>
      </c>
      <c r="AL109" s="706">
        <v>-1.0270373554982324</v>
      </c>
      <c r="AM109" s="706">
        <v>-1222.8909907327791</v>
      </c>
      <c r="AN109" s="706">
        <v>0</v>
      </c>
      <c r="AO109" s="706">
        <v>0</v>
      </c>
      <c r="AP109" s="706">
        <v>0</v>
      </c>
      <c r="AQ109" s="706">
        <v>0</v>
      </c>
      <c r="AR109" s="706">
        <v>0</v>
      </c>
      <c r="AS109" s="706">
        <v>0</v>
      </c>
      <c r="AT109" s="704"/>
      <c r="AU109" s="706"/>
      <c r="AV109" s="706"/>
      <c r="AW109" s="706"/>
      <c r="AX109" s="706"/>
      <c r="AY109" s="706"/>
      <c r="AZ109" s="704">
        <v>-10453.401165567975</v>
      </c>
      <c r="BA109" s="706">
        <v>-10343.078245915734</v>
      </c>
      <c r="BB109" s="706">
        <v>-110.32291965224037</v>
      </c>
      <c r="BC109" s="706">
        <v>0</v>
      </c>
      <c r="BD109" s="706"/>
      <c r="BE109" s="706">
        <v>0</v>
      </c>
      <c r="BF109" s="706"/>
      <c r="BG109" s="706"/>
      <c r="BH109" s="706"/>
      <c r="BI109" s="706"/>
      <c r="BJ109" s="706">
        <v>0</v>
      </c>
      <c r="BK109" s="706">
        <v>0</v>
      </c>
      <c r="BL109" s="706">
        <v>0</v>
      </c>
      <c r="BM109" s="706"/>
      <c r="BN109" s="706"/>
      <c r="BO109" s="704"/>
      <c r="BP109" s="706"/>
      <c r="BQ109" s="706"/>
      <c r="BR109" s="705"/>
      <c r="BS109" s="705"/>
      <c r="BT109" s="704">
        <v>10453.401165567975</v>
      </c>
    </row>
    <row r="110" spans="1:72">
      <c r="A110" s="688" t="s">
        <v>968</v>
      </c>
      <c r="B110" s="687" t="s">
        <v>1095</v>
      </c>
      <c r="C110" s="687"/>
      <c r="D110" s="687"/>
      <c r="E110" s="687"/>
      <c r="F110" s="686" t="s">
        <v>1094</v>
      </c>
      <c r="G110" s="686"/>
      <c r="H110" s="685">
        <v>357.12238463743194</v>
      </c>
      <c r="I110" s="682"/>
      <c r="J110" s="684"/>
      <c r="K110" s="684"/>
      <c r="L110" s="684"/>
      <c r="M110" s="684"/>
      <c r="N110" s="684"/>
      <c r="O110" s="684"/>
      <c r="P110" s="684"/>
      <c r="Q110" s="684"/>
      <c r="R110" s="684"/>
      <c r="S110" s="684"/>
      <c r="T110" s="684"/>
      <c r="U110" s="684"/>
      <c r="V110" s="684"/>
      <c r="W110" s="682">
        <v>357.12238463743194</v>
      </c>
      <c r="X110" s="684"/>
      <c r="Y110" s="684">
        <v>-8867.1539122957856</v>
      </c>
      <c r="Z110" s="684"/>
      <c r="AA110" s="684"/>
      <c r="AB110" s="684"/>
      <c r="AC110" s="684"/>
      <c r="AD110" s="684">
        <v>1231.0117512181141</v>
      </c>
      <c r="AE110" s="684">
        <v>5807.0841692939712</v>
      </c>
      <c r="AF110" s="684"/>
      <c r="AG110" s="684"/>
      <c r="AH110" s="684"/>
      <c r="AI110" s="684"/>
      <c r="AJ110" s="684"/>
      <c r="AK110" s="684">
        <v>2186.2042610107956</v>
      </c>
      <c r="AL110" s="684"/>
      <c r="AM110" s="684">
        <v>0</v>
      </c>
      <c r="AN110" s="684"/>
      <c r="AO110" s="684"/>
      <c r="AP110" s="684"/>
      <c r="AQ110" s="684"/>
      <c r="AR110" s="684"/>
      <c r="AS110" s="684"/>
      <c r="AT110" s="682"/>
      <c r="AU110" s="684"/>
      <c r="AV110" s="684"/>
      <c r="AW110" s="684"/>
      <c r="AX110" s="684"/>
      <c r="AY110" s="684"/>
      <c r="AZ110" s="682">
        <v>-10453.401165567975</v>
      </c>
      <c r="BA110" s="684">
        <v>-10343.078245915734</v>
      </c>
      <c r="BB110" s="684">
        <v>-110.32291965224037</v>
      </c>
      <c r="BC110" s="684">
        <v>0</v>
      </c>
      <c r="BD110" s="684"/>
      <c r="BE110" s="684">
        <v>0</v>
      </c>
      <c r="BF110" s="684"/>
      <c r="BG110" s="684"/>
      <c r="BH110" s="684"/>
      <c r="BI110" s="684"/>
      <c r="BJ110" s="684"/>
      <c r="BK110" s="684"/>
      <c r="BL110" s="684"/>
      <c r="BM110" s="684"/>
      <c r="BN110" s="684"/>
      <c r="BO110" s="682"/>
      <c r="BP110" s="684"/>
      <c r="BQ110" s="684"/>
      <c r="BR110" s="683"/>
      <c r="BS110" s="683"/>
      <c r="BT110" s="682">
        <v>10453.401165567975</v>
      </c>
    </row>
    <row r="111" spans="1:72">
      <c r="A111" s="680" t="s">
        <v>968</v>
      </c>
      <c r="B111" s="679" t="s">
        <v>1093</v>
      </c>
      <c r="C111" s="679"/>
      <c r="D111" s="679"/>
      <c r="E111" s="679"/>
      <c r="F111" s="678" t="s">
        <v>1092</v>
      </c>
      <c r="G111" s="678"/>
      <c r="H111" s="677">
        <v>70.268462787809298</v>
      </c>
      <c r="I111" s="674"/>
      <c r="J111" s="676"/>
      <c r="K111" s="676"/>
      <c r="L111" s="676"/>
      <c r="M111" s="676"/>
      <c r="N111" s="676"/>
      <c r="O111" s="676"/>
      <c r="P111" s="676"/>
      <c r="Q111" s="676"/>
      <c r="R111" s="676"/>
      <c r="S111" s="676"/>
      <c r="T111" s="676"/>
      <c r="U111" s="676"/>
      <c r="V111" s="676"/>
      <c r="W111" s="674">
        <v>70.268462787809298</v>
      </c>
      <c r="X111" s="676"/>
      <c r="Y111" s="676"/>
      <c r="Z111" s="676">
        <v>1292.2040699340785</v>
      </c>
      <c r="AA111" s="676"/>
      <c r="AB111" s="676"/>
      <c r="AC111" s="676"/>
      <c r="AD111" s="676"/>
      <c r="AE111" s="676"/>
      <c r="AF111" s="676"/>
      <c r="AG111" s="676"/>
      <c r="AH111" s="676"/>
      <c r="AI111" s="676"/>
      <c r="AJ111" s="676"/>
      <c r="AK111" s="676"/>
      <c r="AL111" s="676"/>
      <c r="AM111" s="676">
        <v>-1221.9356071462691</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c r="A112" s="672" t="s">
        <v>968</v>
      </c>
      <c r="B112" s="671" t="s">
        <v>1091</v>
      </c>
      <c r="C112" s="671"/>
      <c r="D112" s="671"/>
      <c r="E112" s="671"/>
      <c r="F112" s="670" t="s">
        <v>1090</v>
      </c>
      <c r="G112" s="670"/>
      <c r="H112" s="669">
        <v>-4.13203401165568</v>
      </c>
      <c r="I112" s="666"/>
      <c r="J112" s="668"/>
      <c r="K112" s="668"/>
      <c r="L112" s="668"/>
      <c r="M112" s="668"/>
      <c r="N112" s="668"/>
      <c r="O112" s="668"/>
      <c r="P112" s="668"/>
      <c r="Q112" s="668"/>
      <c r="R112" s="668"/>
      <c r="S112" s="668"/>
      <c r="T112" s="668"/>
      <c r="U112" s="668"/>
      <c r="V112" s="668"/>
      <c r="W112" s="666">
        <v>-4.13203401165568</v>
      </c>
      <c r="X112" s="668">
        <v>0</v>
      </c>
      <c r="Y112" s="668">
        <v>0</v>
      </c>
      <c r="Z112" s="668">
        <v>48.485717015381674</v>
      </c>
      <c r="AA112" s="668"/>
      <c r="AB112" s="668"/>
      <c r="AC112" s="668">
        <v>0</v>
      </c>
      <c r="AD112" s="668">
        <v>-19.824209420082163</v>
      </c>
      <c r="AE112" s="668">
        <v>-30.835005254609726</v>
      </c>
      <c r="AF112" s="668">
        <v>0</v>
      </c>
      <c r="AG112" s="668">
        <v>0</v>
      </c>
      <c r="AH112" s="668">
        <v>0</v>
      </c>
      <c r="AI112" s="668">
        <v>0</v>
      </c>
      <c r="AJ112" s="668">
        <v>0</v>
      </c>
      <c r="AK112" s="668">
        <v>0</v>
      </c>
      <c r="AL112" s="668">
        <v>-1.0270373554982324</v>
      </c>
      <c r="AM112" s="668">
        <v>-0.95538358650998367</v>
      </c>
      <c r="AN112" s="668">
        <v>0</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c r="A113" s="709" t="s">
        <v>1089</v>
      </c>
      <c r="B113" s="709"/>
      <c r="C113" s="709"/>
      <c r="D113" s="709"/>
      <c r="E113" s="709"/>
      <c r="F113" s="708" t="s">
        <v>1088</v>
      </c>
      <c r="G113" s="708"/>
      <c r="H113" s="707">
        <v>5082.8556415400781</v>
      </c>
      <c r="I113" s="704">
        <v>0</v>
      </c>
      <c r="J113" s="706">
        <v>0</v>
      </c>
      <c r="K113" s="706">
        <v>0</v>
      </c>
      <c r="L113" s="706">
        <v>0</v>
      </c>
      <c r="M113" s="706">
        <v>0</v>
      </c>
      <c r="N113" s="706">
        <v>0</v>
      </c>
      <c r="O113" s="706">
        <v>0</v>
      </c>
      <c r="P113" s="706">
        <v>0</v>
      </c>
      <c r="Q113" s="706">
        <v>0</v>
      </c>
      <c r="R113" s="706">
        <v>0</v>
      </c>
      <c r="S113" s="706">
        <v>0</v>
      </c>
      <c r="T113" s="706">
        <v>0</v>
      </c>
      <c r="U113" s="706">
        <v>0</v>
      </c>
      <c r="V113" s="706">
        <v>0</v>
      </c>
      <c r="W113" s="704">
        <v>862.18591764593475</v>
      </c>
      <c r="X113" s="706"/>
      <c r="Y113" s="706"/>
      <c r="Z113" s="706"/>
      <c r="AA113" s="706"/>
      <c r="AB113" s="706"/>
      <c r="AC113" s="706">
        <v>401.64325976879718</v>
      </c>
      <c r="AD113" s="706"/>
      <c r="AE113" s="706"/>
      <c r="AF113" s="706"/>
      <c r="AG113" s="706"/>
      <c r="AH113" s="706"/>
      <c r="AI113" s="706"/>
      <c r="AJ113" s="706"/>
      <c r="AK113" s="706"/>
      <c r="AL113" s="706">
        <v>235.66924620235022</v>
      </c>
      <c r="AM113" s="706">
        <v>0</v>
      </c>
      <c r="AN113" s="706"/>
      <c r="AO113" s="706"/>
      <c r="AP113" s="706"/>
      <c r="AQ113" s="706">
        <v>224.87341167478741</v>
      </c>
      <c r="AR113" s="706"/>
      <c r="AS113" s="706"/>
      <c r="AT113" s="704">
        <v>3532.1486576860607</v>
      </c>
      <c r="AU113" s="706">
        <v>3532.1486576860607</v>
      </c>
      <c r="AV113" s="706">
        <v>0</v>
      </c>
      <c r="AW113" s="706">
        <v>0</v>
      </c>
      <c r="AX113" s="706">
        <v>0</v>
      </c>
      <c r="AY113" s="706">
        <v>0</v>
      </c>
      <c r="AZ113" s="704">
        <v>0</v>
      </c>
      <c r="BA113" s="706"/>
      <c r="BB113" s="706"/>
      <c r="BC113" s="706"/>
      <c r="BD113" s="706">
        <v>0</v>
      </c>
      <c r="BE113" s="706"/>
      <c r="BF113" s="706">
        <v>0</v>
      </c>
      <c r="BG113" s="706">
        <v>0</v>
      </c>
      <c r="BH113" s="706">
        <v>0</v>
      </c>
      <c r="BI113" s="706">
        <v>0</v>
      </c>
      <c r="BJ113" s="706">
        <v>0</v>
      </c>
      <c r="BK113" s="706">
        <v>0</v>
      </c>
      <c r="BL113" s="706">
        <v>0</v>
      </c>
      <c r="BM113" s="706">
        <v>0</v>
      </c>
      <c r="BN113" s="706">
        <v>0</v>
      </c>
      <c r="BO113" s="704">
        <v>0</v>
      </c>
      <c r="BP113" s="706">
        <v>0</v>
      </c>
      <c r="BQ113" s="706">
        <v>0</v>
      </c>
      <c r="BR113" s="705"/>
      <c r="BS113" s="705">
        <v>75.117034489347475</v>
      </c>
      <c r="BT113" s="704">
        <v>613.40403171873504</v>
      </c>
    </row>
    <row r="114" spans="1:72">
      <c r="A114" s="688" t="s">
        <v>968</v>
      </c>
      <c r="B114" s="687" t="s">
        <v>1087</v>
      </c>
      <c r="C114" s="687"/>
      <c r="D114" s="687"/>
      <c r="E114" s="687"/>
      <c r="F114" s="686" t="s">
        <v>1086</v>
      </c>
      <c r="G114" s="686"/>
      <c r="H114" s="685">
        <v>57.203592242285275</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8.1924142543231095</v>
      </c>
      <c r="X114" s="684"/>
      <c r="Y114" s="684"/>
      <c r="Z114" s="684"/>
      <c r="AA114" s="684"/>
      <c r="AB114" s="684"/>
      <c r="AC114" s="684"/>
      <c r="AD114" s="684"/>
      <c r="AE114" s="684"/>
      <c r="AF114" s="684"/>
      <c r="AG114" s="684"/>
      <c r="AH114" s="684"/>
      <c r="AI114" s="684"/>
      <c r="AJ114" s="684"/>
      <c r="AK114" s="684"/>
      <c r="AL114" s="684">
        <v>8.1924142543231095</v>
      </c>
      <c r="AM114" s="684">
        <v>0</v>
      </c>
      <c r="AN114" s="684"/>
      <c r="AO114" s="684"/>
      <c r="AP114" s="684"/>
      <c r="AQ114" s="684"/>
      <c r="AR114" s="684"/>
      <c r="AS114" s="684"/>
      <c r="AT114" s="682">
        <v>0</v>
      </c>
      <c r="AU114" s="684">
        <v>0</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v>
      </c>
      <c r="BT114" s="682">
        <v>49.011177987962164</v>
      </c>
    </row>
    <row r="115" spans="1:72">
      <c r="A115" s="680" t="s">
        <v>968</v>
      </c>
      <c r="B115" s="679" t="s">
        <v>1085</v>
      </c>
      <c r="C115" s="679"/>
      <c r="D115" s="679"/>
      <c r="E115" s="679"/>
      <c r="F115" s="678" t="s">
        <v>1084</v>
      </c>
      <c r="G115" s="678"/>
      <c r="H115" s="677">
        <v>46.431642304385207</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46.431642304385207</v>
      </c>
    </row>
    <row r="116" spans="1:72">
      <c r="A116" s="680"/>
      <c r="B116" s="680" t="s">
        <v>968</v>
      </c>
      <c r="C116" s="679" t="s">
        <v>1083</v>
      </c>
      <c r="D116" s="679"/>
      <c r="E116" s="679"/>
      <c r="F116" s="678" t="s">
        <v>1082</v>
      </c>
      <c r="G116" s="678"/>
      <c r="H116" s="677">
        <v>154.9393331422566</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154.9393331422566</v>
      </c>
    </row>
    <row r="117" spans="1:72">
      <c r="A117" s="680"/>
      <c r="B117" s="680" t="s">
        <v>1081</v>
      </c>
      <c r="C117" s="679" t="s">
        <v>1080</v>
      </c>
      <c r="D117" s="679"/>
      <c r="E117" s="679"/>
      <c r="F117" s="678" t="s">
        <v>1079</v>
      </c>
      <c r="G117" s="678"/>
      <c r="H117" s="677">
        <v>108.50769083787139</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108.50769083787139</v>
      </c>
    </row>
    <row r="118" spans="1:72">
      <c r="A118" s="680"/>
      <c r="B118" s="680"/>
      <c r="C118" s="680" t="s">
        <v>968</v>
      </c>
      <c r="D118" s="679" t="s">
        <v>1078</v>
      </c>
      <c r="E118" s="679"/>
      <c r="F118" s="678" t="s">
        <v>1077</v>
      </c>
      <c r="G118" s="678"/>
      <c r="H118" s="677">
        <v>106.62080825451419</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106.62080825451419</v>
      </c>
    </row>
    <row r="119" spans="1:72">
      <c r="A119" s="680"/>
      <c r="B119" s="680"/>
      <c r="C119" s="680" t="s">
        <v>968</v>
      </c>
      <c r="D119" s="679" t="s">
        <v>1076</v>
      </c>
      <c r="E119" s="679"/>
      <c r="F119" s="678" t="s">
        <v>1075</v>
      </c>
      <c r="G119" s="678"/>
      <c r="H119" s="677">
        <v>1.8868825833572178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1.8868825833572178</v>
      </c>
    </row>
    <row r="120" spans="1:72">
      <c r="A120" s="680" t="s">
        <v>968</v>
      </c>
      <c r="B120" s="679" t="s">
        <v>1074</v>
      </c>
      <c r="C120" s="679"/>
      <c r="D120" s="679"/>
      <c r="E120" s="679"/>
      <c r="F120" s="678" t="s">
        <v>1073</v>
      </c>
      <c r="G120" s="678"/>
      <c r="H120" s="677">
        <v>4223.5119900640102</v>
      </c>
      <c r="I120" s="674"/>
      <c r="J120" s="676"/>
      <c r="K120" s="676"/>
      <c r="L120" s="676"/>
      <c r="M120" s="676"/>
      <c r="N120" s="676"/>
      <c r="O120" s="676"/>
      <c r="P120" s="676"/>
      <c r="Q120" s="676"/>
      <c r="R120" s="676"/>
      <c r="S120" s="676"/>
      <c r="T120" s="676"/>
      <c r="U120" s="676"/>
      <c r="V120" s="676"/>
      <c r="W120" s="674">
        <v>226.44979459252889</v>
      </c>
      <c r="X120" s="676"/>
      <c r="Y120" s="676"/>
      <c r="Z120" s="676"/>
      <c r="AA120" s="676"/>
      <c r="AB120" s="676"/>
      <c r="AC120" s="676"/>
      <c r="AD120" s="676"/>
      <c r="AE120" s="676"/>
      <c r="AF120" s="676"/>
      <c r="AG120" s="676"/>
      <c r="AH120" s="676"/>
      <c r="AI120" s="676"/>
      <c r="AJ120" s="676"/>
      <c r="AK120" s="676"/>
      <c r="AL120" s="676">
        <v>226.44979459252889</v>
      </c>
      <c r="AM120" s="676">
        <v>0</v>
      </c>
      <c r="AN120" s="676"/>
      <c r="AO120" s="676"/>
      <c r="AP120" s="676"/>
      <c r="AQ120" s="676"/>
      <c r="AR120" s="676"/>
      <c r="AS120" s="676"/>
      <c r="AT120" s="674">
        <v>3532.1486576860607</v>
      </c>
      <c r="AU120" s="676">
        <v>3532.1486576860607</v>
      </c>
      <c r="AV120" s="676"/>
      <c r="AW120" s="676"/>
      <c r="AX120" s="676"/>
      <c r="AY120" s="676"/>
      <c r="AZ120" s="674"/>
      <c r="BA120" s="676"/>
      <c r="BB120" s="676"/>
      <c r="BC120" s="676"/>
      <c r="BD120" s="676"/>
      <c r="BE120" s="676"/>
      <c r="BF120" s="676"/>
      <c r="BG120" s="676"/>
      <c r="BH120" s="676"/>
      <c r="BI120" s="676"/>
      <c r="BJ120" s="676"/>
      <c r="BK120" s="676"/>
      <c r="BL120" s="676"/>
      <c r="BM120" s="676"/>
      <c r="BN120" s="676"/>
      <c r="BO120" s="674"/>
      <c r="BP120" s="676"/>
      <c r="BQ120" s="676"/>
      <c r="BR120" s="675"/>
      <c r="BS120" s="675">
        <v>0</v>
      </c>
      <c r="BT120" s="674">
        <v>464.91353778542083</v>
      </c>
    </row>
    <row r="121" spans="1:72">
      <c r="A121" s="680" t="s">
        <v>968</v>
      </c>
      <c r="B121" s="679" t="s">
        <v>1072</v>
      </c>
      <c r="C121" s="679"/>
      <c r="D121" s="679"/>
      <c r="E121" s="679"/>
      <c r="F121" s="678" t="s">
        <v>1071</v>
      </c>
      <c r="G121" s="678"/>
      <c r="H121" s="677">
        <v>748.99684723416453</v>
      </c>
      <c r="I121" s="674">
        <v>0</v>
      </c>
      <c r="J121" s="676">
        <v>0</v>
      </c>
      <c r="K121" s="676">
        <v>0</v>
      </c>
      <c r="L121" s="676">
        <v>0</v>
      </c>
      <c r="M121" s="676">
        <v>0</v>
      </c>
      <c r="N121" s="676">
        <v>0</v>
      </c>
      <c r="O121" s="676">
        <v>0</v>
      </c>
      <c r="P121" s="676">
        <v>0</v>
      </c>
      <c r="Q121" s="676">
        <v>0</v>
      </c>
      <c r="R121" s="676">
        <v>0</v>
      </c>
      <c r="S121" s="676">
        <v>0</v>
      </c>
      <c r="T121" s="676">
        <v>0</v>
      </c>
      <c r="U121" s="676">
        <v>0</v>
      </c>
      <c r="V121" s="676">
        <v>0</v>
      </c>
      <c r="W121" s="674">
        <v>626.51667144358453</v>
      </c>
      <c r="X121" s="676"/>
      <c r="Y121" s="676"/>
      <c r="Z121" s="676"/>
      <c r="AA121" s="676"/>
      <c r="AB121" s="676"/>
      <c r="AC121" s="676">
        <v>401.64325976879718</v>
      </c>
      <c r="AD121" s="676"/>
      <c r="AE121" s="676"/>
      <c r="AF121" s="676"/>
      <c r="AG121" s="676"/>
      <c r="AH121" s="676"/>
      <c r="AI121" s="676"/>
      <c r="AJ121" s="676"/>
      <c r="AK121" s="676"/>
      <c r="AL121" s="676"/>
      <c r="AM121" s="676">
        <v>0</v>
      </c>
      <c r="AN121" s="676"/>
      <c r="AO121" s="676"/>
      <c r="AP121" s="676"/>
      <c r="AQ121" s="676">
        <v>224.87341167478741</v>
      </c>
      <c r="AR121" s="676"/>
      <c r="AS121" s="676"/>
      <c r="AT121" s="674">
        <v>0</v>
      </c>
      <c r="AU121" s="676">
        <v>0</v>
      </c>
      <c r="AV121" s="676">
        <v>0</v>
      </c>
      <c r="AW121" s="676">
        <v>0</v>
      </c>
      <c r="AX121" s="676">
        <v>0</v>
      </c>
      <c r="AY121" s="676">
        <v>0</v>
      </c>
      <c r="AZ121" s="674">
        <v>0</v>
      </c>
      <c r="BA121" s="676"/>
      <c r="BB121" s="676"/>
      <c r="BC121" s="676"/>
      <c r="BD121" s="676">
        <v>0</v>
      </c>
      <c r="BE121" s="676"/>
      <c r="BF121" s="676">
        <v>0</v>
      </c>
      <c r="BG121" s="676">
        <v>0</v>
      </c>
      <c r="BH121" s="676">
        <v>0</v>
      </c>
      <c r="BI121" s="676">
        <v>0</v>
      </c>
      <c r="BJ121" s="676">
        <v>0</v>
      </c>
      <c r="BK121" s="676">
        <v>0</v>
      </c>
      <c r="BL121" s="676">
        <v>0</v>
      </c>
      <c r="BM121" s="676">
        <v>0</v>
      </c>
      <c r="BN121" s="676">
        <v>0</v>
      </c>
      <c r="BO121" s="674">
        <v>0</v>
      </c>
      <c r="BP121" s="676">
        <v>0</v>
      </c>
      <c r="BQ121" s="676">
        <v>0</v>
      </c>
      <c r="BR121" s="675"/>
      <c r="BS121" s="675">
        <v>75.117034489347475</v>
      </c>
      <c r="BT121" s="674">
        <v>47.387025890895195</v>
      </c>
    </row>
    <row r="122" spans="1:72">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c r="A123" s="680" t="s">
        <v>968</v>
      </c>
      <c r="B123" s="679" t="s">
        <v>1068</v>
      </c>
      <c r="C123" s="679"/>
      <c r="D123" s="679"/>
      <c r="E123" s="679"/>
      <c r="F123" s="678" t="s">
        <v>1067</v>
      </c>
      <c r="G123" s="678"/>
      <c r="H123" s="677">
        <v>4.1081494219929295</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1.0270373554982324</v>
      </c>
      <c r="X123" s="676"/>
      <c r="Y123" s="676"/>
      <c r="Z123" s="676"/>
      <c r="AA123" s="676"/>
      <c r="AB123" s="676"/>
      <c r="AC123" s="676"/>
      <c r="AD123" s="676"/>
      <c r="AE123" s="676"/>
      <c r="AF123" s="676"/>
      <c r="AG123" s="676"/>
      <c r="AH123" s="676"/>
      <c r="AI123" s="676"/>
      <c r="AJ123" s="676"/>
      <c r="AK123" s="676"/>
      <c r="AL123" s="676">
        <v>1.0270373554982324</v>
      </c>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3.1049966561574469</v>
      </c>
    </row>
    <row r="124" spans="1:72">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c r="A133" s="680" t="s">
        <v>968</v>
      </c>
      <c r="B133" s="679" t="s">
        <v>1048</v>
      </c>
      <c r="C133" s="679"/>
      <c r="D133" s="679"/>
      <c r="E133" s="679"/>
      <c r="F133" s="678" t="s">
        <v>1047</v>
      </c>
      <c r="G133" s="678"/>
      <c r="H133" s="677">
        <v>2.5795356835769558</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2.5795356835769558</v>
      </c>
    </row>
    <row r="134" spans="1:72">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c r="A135" s="709" t="s">
        <v>1044</v>
      </c>
      <c r="B135" s="709"/>
      <c r="C135" s="709"/>
      <c r="D135" s="709"/>
      <c r="E135" s="709"/>
      <c r="F135" s="708" t="s">
        <v>1043</v>
      </c>
      <c r="G135" s="708"/>
      <c r="H135" s="707">
        <v>815.46766026559658</v>
      </c>
      <c r="I135" s="704">
        <v>0</v>
      </c>
      <c r="J135" s="706">
        <v>0</v>
      </c>
      <c r="K135" s="706">
        <v>0</v>
      </c>
      <c r="L135" s="706">
        <v>0</v>
      </c>
      <c r="M135" s="706">
        <v>0</v>
      </c>
      <c r="N135" s="706">
        <v>0</v>
      </c>
      <c r="O135" s="706">
        <v>0</v>
      </c>
      <c r="P135" s="706">
        <v>0</v>
      </c>
      <c r="Q135" s="706">
        <v>0</v>
      </c>
      <c r="R135" s="706">
        <v>0</v>
      </c>
      <c r="S135" s="706">
        <v>0</v>
      </c>
      <c r="T135" s="706">
        <v>0</v>
      </c>
      <c r="U135" s="706">
        <v>0</v>
      </c>
      <c r="V135" s="706">
        <v>0</v>
      </c>
      <c r="W135" s="704">
        <v>0</v>
      </c>
      <c r="X135" s="706"/>
      <c r="Y135" s="706"/>
      <c r="Z135" s="706"/>
      <c r="AA135" s="706"/>
      <c r="AB135" s="706"/>
      <c r="AC135" s="706"/>
      <c r="AD135" s="706"/>
      <c r="AE135" s="706"/>
      <c r="AF135" s="706"/>
      <c r="AG135" s="706"/>
      <c r="AH135" s="706"/>
      <c r="AI135" s="706"/>
      <c r="AJ135" s="706"/>
      <c r="AK135" s="706"/>
      <c r="AL135" s="706"/>
      <c r="AM135" s="706">
        <v>0</v>
      </c>
      <c r="AN135" s="706"/>
      <c r="AO135" s="706"/>
      <c r="AP135" s="706"/>
      <c r="AQ135" s="706"/>
      <c r="AR135" s="706"/>
      <c r="AS135" s="706"/>
      <c r="AT135" s="704">
        <v>10.60475781026082</v>
      </c>
      <c r="AU135" s="706">
        <v>0</v>
      </c>
      <c r="AV135" s="706">
        <v>0</v>
      </c>
      <c r="AW135" s="706">
        <v>10.60475781026082</v>
      </c>
      <c r="AX135" s="706">
        <v>0</v>
      </c>
      <c r="AY135" s="706">
        <v>0</v>
      </c>
      <c r="AZ135" s="704">
        <v>13.661985287092767</v>
      </c>
      <c r="BA135" s="706"/>
      <c r="BB135" s="706"/>
      <c r="BC135" s="706"/>
      <c r="BD135" s="706">
        <v>0</v>
      </c>
      <c r="BE135" s="706"/>
      <c r="BF135" s="706">
        <v>0</v>
      </c>
      <c r="BG135" s="706">
        <v>0</v>
      </c>
      <c r="BH135" s="706">
        <v>13.661985287092767</v>
      </c>
      <c r="BI135" s="706">
        <v>0</v>
      </c>
      <c r="BJ135" s="706">
        <v>0</v>
      </c>
      <c r="BK135" s="706">
        <v>0</v>
      </c>
      <c r="BL135" s="706">
        <v>0</v>
      </c>
      <c r="BM135" s="706">
        <v>0</v>
      </c>
      <c r="BN135" s="706">
        <v>0</v>
      </c>
      <c r="BO135" s="704">
        <v>0</v>
      </c>
      <c r="BP135" s="706">
        <v>0</v>
      </c>
      <c r="BQ135" s="706">
        <v>0</v>
      </c>
      <c r="BR135" s="705"/>
      <c r="BS135" s="705">
        <v>93.961975733256892</v>
      </c>
      <c r="BT135" s="704">
        <v>697.23894143498615</v>
      </c>
    </row>
    <row r="136" spans="1:72">
      <c r="A136" s="709" t="s">
        <v>1042</v>
      </c>
      <c r="B136" s="709"/>
      <c r="C136" s="709"/>
      <c r="D136" s="709"/>
      <c r="E136" s="709"/>
      <c r="F136" s="708" t="s">
        <v>1041</v>
      </c>
      <c r="G136" s="708"/>
      <c r="H136" s="707">
        <v>22612.042610107957</v>
      </c>
      <c r="I136" s="704">
        <v>766.91028948122664</v>
      </c>
      <c r="J136" s="706">
        <v>0</v>
      </c>
      <c r="K136" s="706">
        <v>0</v>
      </c>
      <c r="L136" s="706">
        <v>505.37403267411861</v>
      </c>
      <c r="M136" s="706">
        <v>0</v>
      </c>
      <c r="N136" s="706">
        <v>0</v>
      </c>
      <c r="O136" s="706">
        <v>0</v>
      </c>
      <c r="P136" s="706">
        <v>261.53625680710803</v>
      </c>
      <c r="Q136" s="706">
        <v>0</v>
      </c>
      <c r="R136" s="706">
        <v>0</v>
      </c>
      <c r="S136" s="706">
        <v>0</v>
      </c>
      <c r="T136" s="706">
        <v>0</v>
      </c>
      <c r="U136" s="706">
        <v>0</v>
      </c>
      <c r="V136" s="706">
        <v>0</v>
      </c>
      <c r="W136" s="704">
        <v>10276.607432884302</v>
      </c>
      <c r="X136" s="706">
        <v>-23.597974586796596</v>
      </c>
      <c r="Y136" s="706">
        <v>0</v>
      </c>
      <c r="Z136" s="706">
        <v>48.485717015381674</v>
      </c>
      <c r="AA136" s="706">
        <v>0</v>
      </c>
      <c r="AB136" s="706"/>
      <c r="AC136" s="706">
        <v>-46.431642304385207</v>
      </c>
      <c r="AD136" s="706">
        <v>897.39180280882772</v>
      </c>
      <c r="AE136" s="706">
        <v>861.03945734212277</v>
      </c>
      <c r="AF136" s="706">
        <v>1195.7580968758957</v>
      </c>
      <c r="AG136" s="706">
        <v>37.737651667144355</v>
      </c>
      <c r="AH136" s="706">
        <v>0</v>
      </c>
      <c r="AI136" s="706">
        <v>520.70793923760391</v>
      </c>
      <c r="AJ136" s="706">
        <v>566.18419795547914</v>
      </c>
      <c r="AK136" s="706">
        <v>1401.8821056654247</v>
      </c>
      <c r="AL136" s="706">
        <v>4148.8009935989294</v>
      </c>
      <c r="AM136" s="706">
        <v>-159.54905894716728</v>
      </c>
      <c r="AN136" s="706">
        <v>13.542562338779019</v>
      </c>
      <c r="AO136" s="706">
        <v>46.145027228432212</v>
      </c>
      <c r="AP136" s="706">
        <v>353.03811980510176</v>
      </c>
      <c r="AQ136" s="706">
        <v>422.16012228909904</v>
      </c>
      <c r="AR136" s="706">
        <v>0</v>
      </c>
      <c r="AS136" s="706">
        <v>-6.6876851055698863</v>
      </c>
      <c r="AT136" s="704">
        <v>739.87293398299414</v>
      </c>
      <c r="AU136" s="706">
        <v>702.49355116079107</v>
      </c>
      <c r="AV136" s="706">
        <v>0</v>
      </c>
      <c r="AW136" s="706">
        <v>37.379382822203112</v>
      </c>
      <c r="AX136" s="706">
        <v>0</v>
      </c>
      <c r="AY136" s="706">
        <v>0</v>
      </c>
      <c r="AZ136" s="704">
        <v>1240.7088946211904</v>
      </c>
      <c r="BA136" s="706">
        <v>0</v>
      </c>
      <c r="BB136" s="706">
        <v>0</v>
      </c>
      <c r="BC136" s="706">
        <v>0</v>
      </c>
      <c r="BD136" s="706">
        <v>0</v>
      </c>
      <c r="BE136" s="706">
        <v>0</v>
      </c>
      <c r="BF136" s="706">
        <v>1091.7407088946211</v>
      </c>
      <c r="BG136" s="706">
        <v>0</v>
      </c>
      <c r="BH136" s="706">
        <v>11.918410241712047</v>
      </c>
      <c r="BI136" s="706">
        <v>21.711092003439379</v>
      </c>
      <c r="BJ136" s="706">
        <v>8.0013375370211133</v>
      </c>
      <c r="BK136" s="706">
        <v>105.35492500238846</v>
      </c>
      <c r="BL136" s="706">
        <v>0</v>
      </c>
      <c r="BM136" s="706">
        <v>1.9824209420082162</v>
      </c>
      <c r="BN136" s="706">
        <v>0</v>
      </c>
      <c r="BO136" s="704">
        <v>21.711092003439379</v>
      </c>
      <c r="BP136" s="706">
        <v>0</v>
      </c>
      <c r="BQ136" s="706">
        <v>21.711092003439379</v>
      </c>
      <c r="BR136" s="705">
        <v>0</v>
      </c>
      <c r="BS136" s="705">
        <v>335.55460017196901</v>
      </c>
      <c r="BT136" s="704">
        <v>9230.7012515524984</v>
      </c>
    </row>
    <row r="137" spans="1:72">
      <c r="A137" s="665" t="s">
        <v>1040</v>
      </c>
      <c r="B137" s="665"/>
      <c r="C137" s="665"/>
      <c r="D137" s="665"/>
      <c r="E137" s="665"/>
      <c r="F137" s="664" t="s">
        <v>1039</v>
      </c>
      <c r="G137" s="664"/>
      <c r="H137" s="663">
        <v>2301.7579057991784</v>
      </c>
      <c r="I137" s="660">
        <v>52.355020540747105</v>
      </c>
      <c r="J137" s="662">
        <v>0</v>
      </c>
      <c r="K137" s="662">
        <v>0</v>
      </c>
      <c r="L137" s="662">
        <v>52.355020540747105</v>
      </c>
      <c r="M137" s="662">
        <v>0</v>
      </c>
      <c r="N137" s="662">
        <v>0</v>
      </c>
      <c r="O137" s="662">
        <v>0</v>
      </c>
      <c r="P137" s="662">
        <v>0</v>
      </c>
      <c r="Q137" s="662">
        <v>0</v>
      </c>
      <c r="R137" s="662">
        <v>0</v>
      </c>
      <c r="S137" s="662">
        <v>0</v>
      </c>
      <c r="T137" s="662">
        <v>0</v>
      </c>
      <c r="U137" s="662">
        <v>0</v>
      </c>
      <c r="V137" s="662">
        <v>0</v>
      </c>
      <c r="W137" s="660">
        <v>1746.2023502436227</v>
      </c>
      <c r="X137" s="662">
        <v>0</v>
      </c>
      <c r="Y137" s="662">
        <v>0</v>
      </c>
      <c r="Z137" s="662"/>
      <c r="AA137" s="662"/>
      <c r="AB137" s="662"/>
      <c r="AC137" s="662">
        <v>0</v>
      </c>
      <c r="AD137" s="662">
        <v>223.51199006401069</v>
      </c>
      <c r="AE137" s="662">
        <v>702.49355116079107</v>
      </c>
      <c r="AF137" s="662">
        <v>0</v>
      </c>
      <c r="AG137" s="662">
        <v>0</v>
      </c>
      <c r="AH137" s="662">
        <v>0</v>
      </c>
      <c r="AI137" s="662">
        <v>0</v>
      </c>
      <c r="AJ137" s="662">
        <v>0</v>
      </c>
      <c r="AK137" s="662">
        <v>0</v>
      </c>
      <c r="AL137" s="662">
        <v>0</v>
      </c>
      <c r="AM137" s="662">
        <v>0</v>
      </c>
      <c r="AN137" s="662">
        <v>13.542562338779019</v>
      </c>
      <c r="AO137" s="662">
        <v>41.129263399254796</v>
      </c>
      <c r="AP137" s="662">
        <v>357.69561478933792</v>
      </c>
      <c r="AQ137" s="662">
        <v>395.4093818668195</v>
      </c>
      <c r="AR137" s="662">
        <v>0</v>
      </c>
      <c r="AS137" s="662">
        <v>12.419986624629788</v>
      </c>
      <c r="AT137" s="660">
        <v>503.20053501480839</v>
      </c>
      <c r="AU137" s="662">
        <v>503.20053501480839</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c r="A140" s="680" t="s">
        <v>968</v>
      </c>
      <c r="B140" s="679" t="s">
        <v>1034</v>
      </c>
      <c r="C140" s="679"/>
      <c r="D140" s="679"/>
      <c r="E140" s="679"/>
      <c r="F140" s="678" t="s">
        <v>1033</v>
      </c>
      <c r="G140" s="678"/>
      <c r="H140" s="677">
        <v>2249.4028852584311</v>
      </c>
      <c r="I140" s="674"/>
      <c r="J140" s="676"/>
      <c r="K140" s="676"/>
      <c r="L140" s="676"/>
      <c r="M140" s="676"/>
      <c r="N140" s="676"/>
      <c r="O140" s="676"/>
      <c r="P140" s="676"/>
      <c r="Q140" s="676"/>
      <c r="R140" s="676"/>
      <c r="S140" s="676"/>
      <c r="T140" s="676"/>
      <c r="U140" s="676"/>
      <c r="V140" s="676"/>
      <c r="W140" s="674">
        <v>1746.2023502436227</v>
      </c>
      <c r="X140" s="676">
        <v>0</v>
      </c>
      <c r="Y140" s="676">
        <v>0</v>
      </c>
      <c r="Z140" s="676"/>
      <c r="AA140" s="676"/>
      <c r="AB140" s="676"/>
      <c r="AC140" s="676">
        <v>0</v>
      </c>
      <c r="AD140" s="676">
        <v>223.51199006401069</v>
      </c>
      <c r="AE140" s="676">
        <v>702.49355116079107</v>
      </c>
      <c r="AF140" s="676">
        <v>0</v>
      </c>
      <c r="AG140" s="676">
        <v>0</v>
      </c>
      <c r="AH140" s="676">
        <v>0</v>
      </c>
      <c r="AI140" s="676">
        <v>0</v>
      </c>
      <c r="AJ140" s="676">
        <v>0</v>
      </c>
      <c r="AK140" s="676">
        <v>0</v>
      </c>
      <c r="AL140" s="676">
        <v>0</v>
      </c>
      <c r="AM140" s="676">
        <v>0</v>
      </c>
      <c r="AN140" s="676">
        <v>13.542562338779019</v>
      </c>
      <c r="AO140" s="676">
        <v>41.129263399254796</v>
      </c>
      <c r="AP140" s="676">
        <v>357.69561478933792</v>
      </c>
      <c r="AQ140" s="676">
        <v>395.4093818668195</v>
      </c>
      <c r="AR140" s="676">
        <v>0</v>
      </c>
      <c r="AS140" s="676">
        <v>12.419986624629788</v>
      </c>
      <c r="AT140" s="674">
        <v>503.20053501480839</v>
      </c>
      <c r="AU140" s="676">
        <v>503.20053501480839</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1468.1379573898919</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964.93742237508354</v>
      </c>
      <c r="X141" s="699"/>
      <c r="Y141" s="699"/>
      <c r="Z141" s="699"/>
      <c r="AA141" s="699"/>
      <c r="AB141" s="699"/>
      <c r="AC141" s="699"/>
      <c r="AD141" s="699">
        <v>223.51199006401069</v>
      </c>
      <c r="AE141" s="699">
        <v>700.29616891181809</v>
      </c>
      <c r="AF141" s="699"/>
      <c r="AG141" s="699"/>
      <c r="AH141" s="699"/>
      <c r="AI141" s="699"/>
      <c r="AJ141" s="699"/>
      <c r="AK141" s="699"/>
      <c r="AL141" s="699"/>
      <c r="AM141" s="699">
        <v>0</v>
      </c>
      <c r="AN141" s="699">
        <v>13.542562338779019</v>
      </c>
      <c r="AO141" s="699"/>
      <c r="AP141" s="699"/>
      <c r="AQ141" s="699">
        <v>27.586701060475779</v>
      </c>
      <c r="AR141" s="699"/>
      <c r="AS141" s="699"/>
      <c r="AT141" s="697">
        <v>503.20053501480839</v>
      </c>
      <c r="AU141" s="699">
        <v>503.20053501480839</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c r="A144" s="695" t="s">
        <v>968</v>
      </c>
      <c r="B144" s="694" t="s">
        <v>1026</v>
      </c>
      <c r="C144" s="694"/>
      <c r="D144" s="694"/>
      <c r="E144" s="694"/>
      <c r="F144" s="693" t="s">
        <v>1025</v>
      </c>
      <c r="G144" s="693"/>
      <c r="H144" s="692">
        <v>52.355020540747105</v>
      </c>
      <c r="I144" s="689">
        <v>52.355020540747105</v>
      </c>
      <c r="J144" s="691">
        <v>0</v>
      </c>
      <c r="K144" s="691">
        <v>0</v>
      </c>
      <c r="L144" s="691">
        <v>52.355020540747105</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c r="A145" s="665" t="s">
        <v>1024</v>
      </c>
      <c r="B145" s="665"/>
      <c r="C145" s="665"/>
      <c r="D145" s="665"/>
      <c r="E145" s="665"/>
      <c r="F145" s="664" t="s">
        <v>1023</v>
      </c>
      <c r="G145" s="664"/>
      <c r="H145" s="663">
        <v>18690.885640584693</v>
      </c>
      <c r="I145" s="660">
        <v>613.09353205311925</v>
      </c>
      <c r="J145" s="662">
        <v>0</v>
      </c>
      <c r="K145" s="662">
        <v>0</v>
      </c>
      <c r="L145" s="662">
        <v>409.40575140919077</v>
      </c>
      <c r="M145" s="662">
        <v>0</v>
      </c>
      <c r="N145" s="662">
        <v>0</v>
      </c>
      <c r="O145" s="662">
        <v>0</v>
      </c>
      <c r="P145" s="662">
        <v>203.68778064392853</v>
      </c>
      <c r="Q145" s="662">
        <v>0</v>
      </c>
      <c r="R145" s="662">
        <v>0</v>
      </c>
      <c r="S145" s="662">
        <v>0</v>
      </c>
      <c r="T145" s="662">
        <v>0</v>
      </c>
      <c r="U145" s="662">
        <v>0</v>
      </c>
      <c r="V145" s="662">
        <v>0</v>
      </c>
      <c r="W145" s="660">
        <v>6905.6797554218019</v>
      </c>
      <c r="X145" s="662"/>
      <c r="Y145" s="662"/>
      <c r="Z145" s="662"/>
      <c r="AA145" s="662"/>
      <c r="AB145" s="662"/>
      <c r="AC145" s="662"/>
      <c r="AD145" s="662">
        <v>265.35779115314796</v>
      </c>
      <c r="AE145" s="662">
        <v>222.4132989395242</v>
      </c>
      <c r="AF145" s="662">
        <v>1156.0619088564058</v>
      </c>
      <c r="AG145" s="662">
        <v>2.1018438903219643</v>
      </c>
      <c r="AH145" s="662"/>
      <c r="AI145" s="662">
        <v>803.14321199961785</v>
      </c>
      <c r="AJ145" s="662">
        <v>49.417216012228906</v>
      </c>
      <c r="AK145" s="662"/>
      <c r="AL145" s="662">
        <v>4265.6682908187631</v>
      </c>
      <c r="AM145" s="662">
        <v>128.97678417884779</v>
      </c>
      <c r="AN145" s="662"/>
      <c r="AO145" s="662"/>
      <c r="AP145" s="662"/>
      <c r="AQ145" s="662">
        <v>12.539409572943537</v>
      </c>
      <c r="AR145" s="662"/>
      <c r="AS145" s="662"/>
      <c r="AT145" s="660">
        <v>340.59424859080917</v>
      </c>
      <c r="AU145" s="662">
        <v>303.19098117894333</v>
      </c>
      <c r="AV145" s="662">
        <v>0</v>
      </c>
      <c r="AW145" s="662">
        <v>37.379382822203112</v>
      </c>
      <c r="AX145" s="662">
        <v>0</v>
      </c>
      <c r="AY145" s="662">
        <v>0</v>
      </c>
      <c r="AZ145" s="660">
        <v>1240.4939333142256</v>
      </c>
      <c r="BA145" s="662"/>
      <c r="BB145" s="662"/>
      <c r="BC145" s="662"/>
      <c r="BD145" s="662">
        <v>0</v>
      </c>
      <c r="BE145" s="662"/>
      <c r="BF145" s="662">
        <v>1091.7407088946211</v>
      </c>
      <c r="BG145" s="662">
        <v>0</v>
      </c>
      <c r="BH145" s="662">
        <v>11.918410241712047</v>
      </c>
      <c r="BI145" s="662">
        <v>21.711092003439379</v>
      </c>
      <c r="BJ145" s="662">
        <v>7.6908378714053685</v>
      </c>
      <c r="BK145" s="662">
        <v>105.4743479507022</v>
      </c>
      <c r="BL145" s="662">
        <v>0</v>
      </c>
      <c r="BM145" s="662">
        <v>1.9824209420082162</v>
      </c>
      <c r="BN145" s="662">
        <v>0</v>
      </c>
      <c r="BO145" s="660">
        <v>21.711092003439379</v>
      </c>
      <c r="BP145" s="662">
        <v>0</v>
      </c>
      <c r="BQ145" s="662">
        <v>21.711092003439379</v>
      </c>
      <c r="BR145" s="661"/>
      <c r="BS145" s="661">
        <v>335.55460017196901</v>
      </c>
      <c r="BT145" s="660">
        <v>9233.7823636189933</v>
      </c>
    </row>
    <row r="146" spans="1:72">
      <c r="A146" s="688" t="s">
        <v>968</v>
      </c>
      <c r="B146" s="687" t="s">
        <v>1022</v>
      </c>
      <c r="C146" s="687"/>
      <c r="D146" s="687"/>
      <c r="E146" s="687"/>
      <c r="F146" s="686" t="s">
        <v>1021</v>
      </c>
      <c r="G146" s="686"/>
      <c r="H146" s="685">
        <v>6097.9029330276098</v>
      </c>
      <c r="I146" s="682">
        <v>613.09353205311925</v>
      </c>
      <c r="J146" s="684">
        <v>0</v>
      </c>
      <c r="K146" s="684">
        <v>0</v>
      </c>
      <c r="L146" s="684">
        <v>409.40575140919077</v>
      </c>
      <c r="M146" s="684">
        <v>0</v>
      </c>
      <c r="N146" s="684">
        <v>0</v>
      </c>
      <c r="O146" s="684">
        <v>0</v>
      </c>
      <c r="P146" s="684">
        <v>203.68778064392853</v>
      </c>
      <c r="Q146" s="684">
        <v>0</v>
      </c>
      <c r="R146" s="684">
        <v>0</v>
      </c>
      <c r="S146" s="684">
        <v>0</v>
      </c>
      <c r="T146" s="684">
        <v>0</v>
      </c>
      <c r="U146" s="684">
        <v>0</v>
      </c>
      <c r="V146" s="684">
        <v>0</v>
      </c>
      <c r="W146" s="682">
        <v>936.56252985573701</v>
      </c>
      <c r="X146" s="684"/>
      <c r="Y146" s="684"/>
      <c r="Z146" s="684"/>
      <c r="AA146" s="684"/>
      <c r="AB146" s="684"/>
      <c r="AC146" s="684"/>
      <c r="AD146" s="684">
        <v>265.35779115314796</v>
      </c>
      <c r="AE146" s="684">
        <v>192.70086939906372</v>
      </c>
      <c r="AF146" s="684">
        <v>0</v>
      </c>
      <c r="AG146" s="684"/>
      <c r="AH146" s="684"/>
      <c r="AI146" s="684">
        <v>0</v>
      </c>
      <c r="AJ146" s="684"/>
      <c r="AK146" s="684"/>
      <c r="AL146" s="684">
        <v>391.46842457246584</v>
      </c>
      <c r="AM146" s="684">
        <v>74.519919747778729</v>
      </c>
      <c r="AN146" s="684"/>
      <c r="AO146" s="684"/>
      <c r="AP146" s="684"/>
      <c r="AQ146" s="684">
        <v>12.539409572943537</v>
      </c>
      <c r="AR146" s="684"/>
      <c r="AS146" s="684"/>
      <c r="AT146" s="682">
        <v>247.0621954714818</v>
      </c>
      <c r="AU146" s="684">
        <v>209.68281264927867</v>
      </c>
      <c r="AV146" s="684">
        <v>0</v>
      </c>
      <c r="AW146" s="684">
        <v>37.379382822203112</v>
      </c>
      <c r="AX146" s="684">
        <v>0</v>
      </c>
      <c r="AY146" s="684">
        <v>0</v>
      </c>
      <c r="AZ146" s="682">
        <v>458.77519824209418</v>
      </c>
      <c r="BA146" s="684"/>
      <c r="BB146" s="684"/>
      <c r="BC146" s="684"/>
      <c r="BD146" s="684">
        <v>0</v>
      </c>
      <c r="BE146" s="684"/>
      <c r="BF146" s="684">
        <v>437.0641062386548</v>
      </c>
      <c r="BG146" s="684">
        <v>0</v>
      </c>
      <c r="BH146" s="684">
        <v>0</v>
      </c>
      <c r="BI146" s="684">
        <v>21.711092003439379</v>
      </c>
      <c r="BJ146" s="684">
        <v>0</v>
      </c>
      <c r="BK146" s="684">
        <v>0</v>
      </c>
      <c r="BL146" s="684">
        <v>0</v>
      </c>
      <c r="BM146" s="684">
        <v>0</v>
      </c>
      <c r="BN146" s="684">
        <v>0</v>
      </c>
      <c r="BO146" s="682">
        <v>21.711092003439379</v>
      </c>
      <c r="BP146" s="684">
        <v>0</v>
      </c>
      <c r="BQ146" s="684">
        <v>21.711092003439379</v>
      </c>
      <c r="BR146" s="683"/>
      <c r="BS146" s="683">
        <v>33.701156014139677</v>
      </c>
      <c r="BT146" s="682">
        <v>3787.0211139772618</v>
      </c>
    </row>
    <row r="147" spans="1:72">
      <c r="A147" s="681"/>
      <c r="B147" s="680" t="s">
        <v>968</v>
      </c>
      <c r="C147" s="679" t="s">
        <v>1020</v>
      </c>
      <c r="D147" s="679"/>
      <c r="E147" s="679"/>
      <c r="F147" s="678" t="s">
        <v>1019</v>
      </c>
      <c r="G147" s="678"/>
      <c r="H147" s="677">
        <v>805.91382440049676</v>
      </c>
      <c r="I147" s="674">
        <v>327.6965701729244</v>
      </c>
      <c r="J147" s="676">
        <v>0</v>
      </c>
      <c r="K147" s="676">
        <v>0</v>
      </c>
      <c r="L147" s="676">
        <v>182.54991879239515</v>
      </c>
      <c r="M147" s="676">
        <v>0</v>
      </c>
      <c r="N147" s="676">
        <v>0</v>
      </c>
      <c r="O147" s="676">
        <v>0</v>
      </c>
      <c r="P147" s="676">
        <v>145.14665138052928</v>
      </c>
      <c r="Q147" s="676">
        <v>0</v>
      </c>
      <c r="R147" s="676">
        <v>0</v>
      </c>
      <c r="S147" s="676">
        <v>0</v>
      </c>
      <c r="T147" s="676">
        <v>0</v>
      </c>
      <c r="U147" s="676">
        <v>0</v>
      </c>
      <c r="V147" s="676">
        <v>0</v>
      </c>
      <c r="W147" s="674">
        <v>15.071176077194993</v>
      </c>
      <c r="X147" s="676"/>
      <c r="Y147" s="676"/>
      <c r="Z147" s="676"/>
      <c r="AA147" s="676"/>
      <c r="AB147" s="676"/>
      <c r="AC147" s="676"/>
      <c r="AD147" s="676"/>
      <c r="AE147" s="676">
        <v>3.2960733734594436</v>
      </c>
      <c r="AF147" s="676">
        <v>0</v>
      </c>
      <c r="AG147" s="676"/>
      <c r="AH147" s="676"/>
      <c r="AI147" s="676">
        <v>0</v>
      </c>
      <c r="AJ147" s="676"/>
      <c r="AK147" s="676"/>
      <c r="AL147" s="676">
        <v>9.2672207891468421</v>
      </c>
      <c r="AM147" s="676">
        <v>0</v>
      </c>
      <c r="AN147" s="676"/>
      <c r="AO147" s="676"/>
      <c r="AP147" s="676"/>
      <c r="AQ147" s="676">
        <v>2.5078819145887072</v>
      </c>
      <c r="AR147" s="676"/>
      <c r="AS147" s="676"/>
      <c r="AT147" s="674">
        <v>16.647558994936468</v>
      </c>
      <c r="AU147" s="676">
        <v>0.97926817617273332</v>
      </c>
      <c r="AV147" s="676">
        <v>0</v>
      </c>
      <c r="AW147" s="676">
        <v>15.668290818763733</v>
      </c>
      <c r="AX147" s="676">
        <v>0</v>
      </c>
      <c r="AY147" s="676">
        <v>0</v>
      </c>
      <c r="AZ147" s="674">
        <v>2.7228432215534535</v>
      </c>
      <c r="BA147" s="676"/>
      <c r="BB147" s="676"/>
      <c r="BC147" s="676"/>
      <c r="BD147" s="676">
        <v>0</v>
      </c>
      <c r="BE147" s="676"/>
      <c r="BF147" s="676">
        <v>2.7228432215534535</v>
      </c>
      <c r="BG147" s="676">
        <v>0</v>
      </c>
      <c r="BH147" s="676">
        <v>0</v>
      </c>
      <c r="BI147" s="676">
        <v>0</v>
      </c>
      <c r="BJ147" s="676">
        <v>0</v>
      </c>
      <c r="BK147" s="676">
        <v>0</v>
      </c>
      <c r="BL147" s="676">
        <v>0</v>
      </c>
      <c r="BM147" s="676">
        <v>0</v>
      </c>
      <c r="BN147" s="676">
        <v>0</v>
      </c>
      <c r="BO147" s="674">
        <v>0</v>
      </c>
      <c r="BP147" s="676">
        <v>0</v>
      </c>
      <c r="BQ147" s="676">
        <v>0</v>
      </c>
      <c r="BR147" s="675"/>
      <c r="BS147" s="675">
        <v>0.16719212763924715</v>
      </c>
      <c r="BT147" s="674">
        <v>443.58459921658545</v>
      </c>
    </row>
    <row r="148" spans="1:72">
      <c r="A148" s="681"/>
      <c r="B148" s="680" t="s">
        <v>968</v>
      </c>
      <c r="C148" s="679" t="s">
        <v>1018</v>
      </c>
      <c r="D148" s="679"/>
      <c r="E148" s="679"/>
      <c r="F148" s="678" t="s">
        <v>1017</v>
      </c>
      <c r="G148" s="678"/>
      <c r="H148" s="677">
        <v>1391.15792490685</v>
      </c>
      <c r="I148" s="674">
        <v>198.67201681475112</v>
      </c>
      <c r="J148" s="676">
        <v>0</v>
      </c>
      <c r="K148" s="676">
        <v>0</v>
      </c>
      <c r="L148" s="676">
        <v>150.32960733734595</v>
      </c>
      <c r="M148" s="676">
        <v>0</v>
      </c>
      <c r="N148" s="676">
        <v>0</v>
      </c>
      <c r="O148" s="676">
        <v>0</v>
      </c>
      <c r="P148" s="676">
        <v>48.342409477405177</v>
      </c>
      <c r="Q148" s="676">
        <v>0</v>
      </c>
      <c r="R148" s="676">
        <v>0</v>
      </c>
      <c r="S148" s="676">
        <v>0</v>
      </c>
      <c r="T148" s="676">
        <v>0</v>
      </c>
      <c r="U148" s="676">
        <v>0</v>
      </c>
      <c r="V148" s="676">
        <v>0</v>
      </c>
      <c r="W148" s="674">
        <v>402.95691220024838</v>
      </c>
      <c r="X148" s="676"/>
      <c r="Y148" s="676"/>
      <c r="Z148" s="676"/>
      <c r="AA148" s="676"/>
      <c r="AB148" s="676"/>
      <c r="AC148" s="676"/>
      <c r="AD148" s="676">
        <v>265.35779115314796</v>
      </c>
      <c r="AE148" s="676">
        <v>69.360848380624816</v>
      </c>
      <c r="AF148" s="676"/>
      <c r="AG148" s="676"/>
      <c r="AH148" s="676"/>
      <c r="AI148" s="676"/>
      <c r="AJ148" s="676"/>
      <c r="AK148" s="676"/>
      <c r="AL148" s="676">
        <v>48.15133276010318</v>
      </c>
      <c r="AM148" s="676">
        <v>20.063055316709658</v>
      </c>
      <c r="AN148" s="676"/>
      <c r="AO148" s="676"/>
      <c r="AP148" s="676"/>
      <c r="AQ148" s="676"/>
      <c r="AR148" s="676"/>
      <c r="AS148" s="676"/>
      <c r="AT148" s="674">
        <v>95.610012419986617</v>
      </c>
      <c r="AU148" s="676">
        <v>78.723607528422662</v>
      </c>
      <c r="AV148" s="676">
        <v>0</v>
      </c>
      <c r="AW148" s="676">
        <v>16.886404891563963</v>
      </c>
      <c r="AX148" s="676">
        <v>0</v>
      </c>
      <c r="AY148" s="676">
        <v>0</v>
      </c>
      <c r="AZ148" s="674">
        <v>21.281169389509888</v>
      </c>
      <c r="BA148" s="676"/>
      <c r="BB148" s="676"/>
      <c r="BC148" s="676"/>
      <c r="BD148" s="676">
        <v>0</v>
      </c>
      <c r="BE148" s="676"/>
      <c r="BF148" s="676">
        <v>18.510556988630935</v>
      </c>
      <c r="BG148" s="676">
        <v>0</v>
      </c>
      <c r="BH148" s="676">
        <v>0</v>
      </c>
      <c r="BI148" s="676">
        <v>2.7706124008789526</v>
      </c>
      <c r="BJ148" s="676">
        <v>0</v>
      </c>
      <c r="BK148" s="676">
        <v>0</v>
      </c>
      <c r="BL148" s="676">
        <v>0</v>
      </c>
      <c r="BM148" s="676">
        <v>0</v>
      </c>
      <c r="BN148" s="676">
        <v>0</v>
      </c>
      <c r="BO148" s="674">
        <v>2.7706124008789526</v>
      </c>
      <c r="BP148" s="676">
        <v>0</v>
      </c>
      <c r="BQ148" s="676">
        <v>2.7706124008789526</v>
      </c>
      <c r="BR148" s="675"/>
      <c r="BS148" s="675">
        <v>11.416833858794305</v>
      </c>
      <c r="BT148" s="674">
        <v>658.4742524123435</v>
      </c>
    </row>
    <row r="149" spans="1:72">
      <c r="A149" s="681"/>
      <c r="B149" s="680" t="s">
        <v>968</v>
      </c>
      <c r="C149" s="679" t="s">
        <v>1016</v>
      </c>
      <c r="D149" s="679"/>
      <c r="E149" s="679"/>
      <c r="F149" s="678" t="s">
        <v>1015</v>
      </c>
      <c r="G149" s="678"/>
      <c r="H149" s="677">
        <v>1688.8076812840354</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31.885927199770705</v>
      </c>
      <c r="X149" s="676"/>
      <c r="Y149" s="676"/>
      <c r="Z149" s="676"/>
      <c r="AA149" s="676"/>
      <c r="AB149" s="676"/>
      <c r="AC149" s="676"/>
      <c r="AD149" s="676"/>
      <c r="AE149" s="676">
        <v>22.021591669055123</v>
      </c>
      <c r="AF149" s="676"/>
      <c r="AG149" s="676"/>
      <c r="AH149" s="676"/>
      <c r="AI149" s="676"/>
      <c r="AJ149" s="676"/>
      <c r="AK149" s="676"/>
      <c r="AL149" s="676">
        <v>8.1924142543231095</v>
      </c>
      <c r="AM149" s="676">
        <v>0</v>
      </c>
      <c r="AN149" s="676"/>
      <c r="AO149" s="676"/>
      <c r="AP149" s="676"/>
      <c r="AQ149" s="676">
        <v>1.6719212763924716</v>
      </c>
      <c r="AR149" s="676"/>
      <c r="AS149" s="676"/>
      <c r="AT149" s="674">
        <v>41.320340116556793</v>
      </c>
      <c r="AU149" s="676">
        <v>41.320340116556793</v>
      </c>
      <c r="AV149" s="676">
        <v>0</v>
      </c>
      <c r="AW149" s="676">
        <v>0</v>
      </c>
      <c r="AX149" s="676">
        <v>0</v>
      </c>
      <c r="AY149" s="676">
        <v>0</v>
      </c>
      <c r="AZ149" s="674">
        <v>0.31049966561574471</v>
      </c>
      <c r="BA149" s="676"/>
      <c r="BB149" s="676"/>
      <c r="BC149" s="676"/>
      <c r="BD149" s="676">
        <v>0</v>
      </c>
      <c r="BE149" s="676"/>
      <c r="BF149" s="676">
        <v>0.31049966561574471</v>
      </c>
      <c r="BG149" s="676">
        <v>0</v>
      </c>
      <c r="BH149" s="676">
        <v>0</v>
      </c>
      <c r="BI149" s="676">
        <v>0</v>
      </c>
      <c r="BJ149" s="676">
        <v>0</v>
      </c>
      <c r="BK149" s="676">
        <v>0</v>
      </c>
      <c r="BL149" s="676">
        <v>0</v>
      </c>
      <c r="BM149" s="676">
        <v>0</v>
      </c>
      <c r="BN149" s="676">
        <v>0</v>
      </c>
      <c r="BO149" s="674">
        <v>0</v>
      </c>
      <c r="BP149" s="676">
        <v>0</v>
      </c>
      <c r="BQ149" s="676">
        <v>0</v>
      </c>
      <c r="BR149" s="675"/>
      <c r="BS149" s="675">
        <v>0.76430686920798696</v>
      </c>
      <c r="BT149" s="674">
        <v>1614.5266074328842</v>
      </c>
    </row>
    <row r="150" spans="1:72">
      <c r="A150" s="681"/>
      <c r="B150" s="680" t="s">
        <v>968</v>
      </c>
      <c r="C150" s="679" t="s">
        <v>1014</v>
      </c>
      <c r="D150" s="679"/>
      <c r="E150" s="679"/>
      <c r="F150" s="678" t="s">
        <v>1013</v>
      </c>
      <c r="G150" s="678"/>
      <c r="H150" s="677">
        <v>302.97601987197856</v>
      </c>
      <c r="I150" s="674">
        <v>86.724945065443777</v>
      </c>
      <c r="J150" s="676">
        <v>0</v>
      </c>
      <c r="K150" s="676">
        <v>0</v>
      </c>
      <c r="L150" s="676">
        <v>76.502340689786948</v>
      </c>
      <c r="M150" s="676">
        <v>0</v>
      </c>
      <c r="N150" s="676">
        <v>0</v>
      </c>
      <c r="O150" s="676">
        <v>0</v>
      </c>
      <c r="P150" s="676">
        <v>10.222604375656825</v>
      </c>
      <c r="Q150" s="676">
        <v>0</v>
      </c>
      <c r="R150" s="676">
        <v>0</v>
      </c>
      <c r="S150" s="676">
        <v>0</v>
      </c>
      <c r="T150" s="676">
        <v>0</v>
      </c>
      <c r="U150" s="676">
        <v>0</v>
      </c>
      <c r="V150" s="676">
        <v>0</v>
      </c>
      <c r="W150" s="674">
        <v>73.851151237221742</v>
      </c>
      <c r="X150" s="676"/>
      <c r="Y150" s="676"/>
      <c r="Z150" s="676"/>
      <c r="AA150" s="676"/>
      <c r="AB150" s="676"/>
      <c r="AC150" s="676"/>
      <c r="AD150" s="676"/>
      <c r="AE150" s="676">
        <v>42.944492213623768</v>
      </c>
      <c r="AF150" s="676"/>
      <c r="AG150" s="676"/>
      <c r="AH150" s="676"/>
      <c r="AI150" s="676"/>
      <c r="AJ150" s="676"/>
      <c r="AK150" s="676"/>
      <c r="AL150" s="676">
        <v>22.547052641635617</v>
      </c>
      <c r="AM150" s="676">
        <v>0</v>
      </c>
      <c r="AN150" s="676"/>
      <c r="AO150" s="676"/>
      <c r="AP150" s="676"/>
      <c r="AQ150" s="676">
        <v>8.3596063819623581</v>
      </c>
      <c r="AR150" s="676"/>
      <c r="AS150" s="676"/>
      <c r="AT150" s="674">
        <v>32.411388172351195</v>
      </c>
      <c r="AU150" s="676">
        <v>27.586701060475779</v>
      </c>
      <c r="AV150" s="676">
        <v>0</v>
      </c>
      <c r="AW150" s="676">
        <v>4.8246871118754173</v>
      </c>
      <c r="AX150" s="676">
        <v>0</v>
      </c>
      <c r="AY150" s="676">
        <v>0</v>
      </c>
      <c r="AZ150" s="674">
        <v>21.973822489729624</v>
      </c>
      <c r="BA150" s="676"/>
      <c r="BB150" s="676"/>
      <c r="BC150" s="676"/>
      <c r="BD150" s="676">
        <v>0</v>
      </c>
      <c r="BE150" s="676"/>
      <c r="BF150" s="676">
        <v>5.0635330085029135</v>
      </c>
      <c r="BG150" s="676">
        <v>0</v>
      </c>
      <c r="BH150" s="676">
        <v>0</v>
      </c>
      <c r="BI150" s="676">
        <v>16.910289481226712</v>
      </c>
      <c r="BJ150" s="676">
        <v>0</v>
      </c>
      <c r="BK150" s="676">
        <v>0</v>
      </c>
      <c r="BL150" s="676">
        <v>0</v>
      </c>
      <c r="BM150" s="676">
        <v>0</v>
      </c>
      <c r="BN150" s="676">
        <v>0</v>
      </c>
      <c r="BO150" s="674">
        <v>16.910289481226712</v>
      </c>
      <c r="BP150" s="676">
        <v>0</v>
      </c>
      <c r="BQ150" s="676">
        <v>16.910289481226712</v>
      </c>
      <c r="BR150" s="675"/>
      <c r="BS150" s="675">
        <v>0.69265310021973814</v>
      </c>
      <c r="BT150" s="674">
        <v>70.411770325785795</v>
      </c>
    </row>
    <row r="151" spans="1:72">
      <c r="A151" s="681"/>
      <c r="B151" s="680" t="s">
        <v>968</v>
      </c>
      <c r="C151" s="679" t="s">
        <v>1012</v>
      </c>
      <c r="D151" s="679"/>
      <c r="E151" s="679"/>
      <c r="F151" s="678" t="s">
        <v>1011</v>
      </c>
      <c r="G151" s="678"/>
      <c r="H151" s="677">
        <v>54.289672303429825</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8.5029139199388553</v>
      </c>
      <c r="X151" s="676"/>
      <c r="Y151" s="676"/>
      <c r="Z151" s="676"/>
      <c r="AA151" s="676"/>
      <c r="AB151" s="676"/>
      <c r="AC151" s="676"/>
      <c r="AD151" s="676"/>
      <c r="AE151" s="676">
        <v>4.3947644979459248</v>
      </c>
      <c r="AF151" s="676"/>
      <c r="AG151" s="676"/>
      <c r="AH151" s="676"/>
      <c r="AI151" s="676"/>
      <c r="AJ151" s="676"/>
      <c r="AK151" s="676"/>
      <c r="AL151" s="676">
        <v>4.1081494219929295</v>
      </c>
      <c r="AM151" s="676">
        <v>0</v>
      </c>
      <c r="AN151" s="676"/>
      <c r="AO151" s="676"/>
      <c r="AP151" s="676"/>
      <c r="AQ151" s="676"/>
      <c r="AR151" s="676"/>
      <c r="AS151" s="676"/>
      <c r="AT151" s="674">
        <v>0.78819145887073661</v>
      </c>
      <c r="AU151" s="676">
        <v>0.78819145887073661</v>
      </c>
      <c r="AV151" s="676">
        <v>0</v>
      </c>
      <c r="AW151" s="676">
        <v>0</v>
      </c>
      <c r="AX151" s="676">
        <v>0</v>
      </c>
      <c r="AY151" s="676">
        <v>0</v>
      </c>
      <c r="AZ151" s="674">
        <v>7.1653768988248781E-2</v>
      </c>
      <c r="BA151" s="676"/>
      <c r="BB151" s="676"/>
      <c r="BC151" s="676"/>
      <c r="BD151" s="676">
        <v>0</v>
      </c>
      <c r="BE151" s="676"/>
      <c r="BF151" s="676">
        <v>7.1653768988248781E-2</v>
      </c>
      <c r="BG151" s="676">
        <v>0</v>
      </c>
      <c r="BH151" s="676">
        <v>0</v>
      </c>
      <c r="BI151" s="676">
        <v>0</v>
      </c>
      <c r="BJ151" s="676">
        <v>0</v>
      </c>
      <c r="BK151" s="676">
        <v>0</v>
      </c>
      <c r="BL151" s="676">
        <v>0</v>
      </c>
      <c r="BM151" s="676">
        <v>0</v>
      </c>
      <c r="BN151" s="676">
        <v>0</v>
      </c>
      <c r="BO151" s="674">
        <v>0</v>
      </c>
      <c r="BP151" s="676">
        <v>0</v>
      </c>
      <c r="BQ151" s="676">
        <v>0</v>
      </c>
      <c r="BR151" s="675"/>
      <c r="BS151" s="675">
        <v>3.224419604471195</v>
      </c>
      <c r="BT151" s="674">
        <v>41.702493551160792</v>
      </c>
    </row>
    <row r="152" spans="1:72">
      <c r="A152" s="681"/>
      <c r="B152" s="680" t="s">
        <v>968</v>
      </c>
      <c r="C152" s="679" t="s">
        <v>1010</v>
      </c>
      <c r="D152" s="679"/>
      <c r="E152" s="679"/>
      <c r="F152" s="678" t="s">
        <v>1009</v>
      </c>
      <c r="G152" s="678"/>
      <c r="H152" s="677">
        <v>109.82134326932263</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14.497945925289002</v>
      </c>
      <c r="X152" s="676"/>
      <c r="Y152" s="676"/>
      <c r="Z152" s="676"/>
      <c r="AA152" s="676"/>
      <c r="AB152" s="676"/>
      <c r="AC152" s="676"/>
      <c r="AD152" s="676"/>
      <c r="AE152" s="676">
        <v>2.1973822489729624</v>
      </c>
      <c r="AF152" s="676"/>
      <c r="AG152" s="676"/>
      <c r="AH152" s="676"/>
      <c r="AI152" s="676"/>
      <c r="AJ152" s="676"/>
      <c r="AK152" s="676"/>
      <c r="AL152" s="676">
        <v>12.30056367631604</v>
      </c>
      <c r="AM152" s="676">
        <v>0</v>
      </c>
      <c r="AN152" s="676"/>
      <c r="AO152" s="676"/>
      <c r="AP152" s="676"/>
      <c r="AQ152" s="676"/>
      <c r="AR152" s="676"/>
      <c r="AS152" s="676"/>
      <c r="AT152" s="674">
        <v>4.0364956530046809</v>
      </c>
      <c r="AU152" s="676">
        <v>4.0364956530046809</v>
      </c>
      <c r="AV152" s="676">
        <v>0</v>
      </c>
      <c r="AW152" s="676">
        <v>0</v>
      </c>
      <c r="AX152" s="676">
        <v>0</v>
      </c>
      <c r="AY152" s="676">
        <v>0</v>
      </c>
      <c r="AZ152" s="674">
        <v>7.1653768988248781E-2</v>
      </c>
      <c r="BA152" s="676"/>
      <c r="BB152" s="676"/>
      <c r="BC152" s="676"/>
      <c r="BD152" s="676">
        <v>0</v>
      </c>
      <c r="BE152" s="676"/>
      <c r="BF152" s="676">
        <v>7.1653768988248781E-2</v>
      </c>
      <c r="BG152" s="676">
        <v>0</v>
      </c>
      <c r="BH152" s="676">
        <v>0</v>
      </c>
      <c r="BI152" s="676">
        <v>0</v>
      </c>
      <c r="BJ152" s="676">
        <v>0</v>
      </c>
      <c r="BK152" s="676">
        <v>0</v>
      </c>
      <c r="BL152" s="676">
        <v>0</v>
      </c>
      <c r="BM152" s="676">
        <v>0</v>
      </c>
      <c r="BN152" s="676">
        <v>0</v>
      </c>
      <c r="BO152" s="674">
        <v>0</v>
      </c>
      <c r="BP152" s="676">
        <v>0</v>
      </c>
      <c r="BQ152" s="676">
        <v>0</v>
      </c>
      <c r="BR152" s="675"/>
      <c r="BS152" s="675">
        <v>3.9409572943536828</v>
      </c>
      <c r="BT152" s="674">
        <v>87.274290627687009</v>
      </c>
    </row>
    <row r="153" spans="1:72">
      <c r="A153" s="681"/>
      <c r="B153" s="680" t="s">
        <v>968</v>
      </c>
      <c r="C153" s="679" t="s">
        <v>1008</v>
      </c>
      <c r="D153" s="679"/>
      <c r="E153" s="679"/>
      <c r="F153" s="678" t="s">
        <v>1007</v>
      </c>
      <c r="G153" s="678"/>
      <c r="H153" s="677">
        <v>126.87494028852583</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70.841692939715287</v>
      </c>
      <c r="X153" s="676"/>
      <c r="Y153" s="676"/>
      <c r="Z153" s="676"/>
      <c r="AA153" s="676"/>
      <c r="AB153" s="676"/>
      <c r="AC153" s="676"/>
      <c r="AD153" s="676"/>
      <c r="AE153" s="676">
        <v>2.1973822489729624</v>
      </c>
      <c r="AF153" s="676"/>
      <c r="AG153" s="676"/>
      <c r="AH153" s="676"/>
      <c r="AI153" s="676"/>
      <c r="AJ153" s="676"/>
      <c r="AK153" s="676"/>
      <c r="AL153" s="676">
        <v>68.64431069074233</v>
      </c>
      <c r="AM153" s="676">
        <v>0</v>
      </c>
      <c r="AN153" s="676"/>
      <c r="AO153" s="676"/>
      <c r="AP153" s="676"/>
      <c r="AQ153" s="676"/>
      <c r="AR153" s="676"/>
      <c r="AS153" s="676"/>
      <c r="AT153" s="674">
        <v>3.8454189357026842</v>
      </c>
      <c r="AU153" s="676">
        <v>3.8454189357026842</v>
      </c>
      <c r="AV153" s="676">
        <v>0</v>
      </c>
      <c r="AW153" s="676">
        <v>0</v>
      </c>
      <c r="AX153" s="676">
        <v>0</v>
      </c>
      <c r="AY153" s="676">
        <v>0</v>
      </c>
      <c r="AZ153" s="674">
        <v>0.57323015190599025</v>
      </c>
      <c r="BA153" s="676"/>
      <c r="BB153" s="676"/>
      <c r="BC153" s="676"/>
      <c r="BD153" s="676">
        <v>0</v>
      </c>
      <c r="BE153" s="676"/>
      <c r="BF153" s="676">
        <v>0.57323015190599025</v>
      </c>
      <c r="BG153" s="676">
        <v>0</v>
      </c>
      <c r="BH153" s="676">
        <v>0</v>
      </c>
      <c r="BI153" s="676">
        <v>0</v>
      </c>
      <c r="BJ153" s="676">
        <v>0</v>
      </c>
      <c r="BK153" s="676">
        <v>0</v>
      </c>
      <c r="BL153" s="676">
        <v>0</v>
      </c>
      <c r="BM153" s="676">
        <v>0</v>
      </c>
      <c r="BN153" s="676">
        <v>0</v>
      </c>
      <c r="BO153" s="674">
        <v>0</v>
      </c>
      <c r="BP153" s="676">
        <v>0</v>
      </c>
      <c r="BQ153" s="676">
        <v>0</v>
      </c>
      <c r="BR153" s="675"/>
      <c r="BS153" s="675">
        <v>9.553835865099837E-2</v>
      </c>
      <c r="BT153" s="674">
        <v>51.495175312888122</v>
      </c>
    </row>
    <row r="154" spans="1:72">
      <c r="A154" s="681"/>
      <c r="B154" s="680" t="s">
        <v>968</v>
      </c>
      <c r="C154" s="679" t="s">
        <v>1006</v>
      </c>
      <c r="D154" s="679"/>
      <c r="E154" s="679"/>
      <c r="F154" s="678" t="s">
        <v>1005</v>
      </c>
      <c r="G154" s="678"/>
      <c r="H154" s="677">
        <v>353.5635807776822</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78.222031145504914</v>
      </c>
      <c r="X154" s="676"/>
      <c r="Y154" s="676"/>
      <c r="Z154" s="676"/>
      <c r="AA154" s="676"/>
      <c r="AB154" s="676"/>
      <c r="AC154" s="676"/>
      <c r="AD154" s="676"/>
      <c r="AE154" s="676">
        <v>19.824209420082163</v>
      </c>
      <c r="AF154" s="676"/>
      <c r="AG154" s="676"/>
      <c r="AH154" s="676"/>
      <c r="AI154" s="676"/>
      <c r="AJ154" s="676"/>
      <c r="AK154" s="676"/>
      <c r="AL154" s="676">
        <v>58.397821725422752</v>
      </c>
      <c r="AM154" s="676">
        <v>0</v>
      </c>
      <c r="AN154" s="676"/>
      <c r="AO154" s="676"/>
      <c r="AP154" s="676"/>
      <c r="AQ154" s="676"/>
      <c r="AR154" s="676"/>
      <c r="AS154" s="676"/>
      <c r="AT154" s="674">
        <v>37.761536256807105</v>
      </c>
      <c r="AU154" s="676">
        <v>37.761536256807105</v>
      </c>
      <c r="AV154" s="676">
        <v>0</v>
      </c>
      <c r="AW154" s="676">
        <v>0</v>
      </c>
      <c r="AX154" s="676">
        <v>0</v>
      </c>
      <c r="AY154" s="676">
        <v>0</v>
      </c>
      <c r="AZ154" s="674">
        <v>5.5651093914206555</v>
      </c>
      <c r="BA154" s="676"/>
      <c r="BB154" s="676"/>
      <c r="BC154" s="676"/>
      <c r="BD154" s="676">
        <v>0</v>
      </c>
      <c r="BE154" s="676"/>
      <c r="BF154" s="676">
        <v>3.5349192700869398</v>
      </c>
      <c r="BG154" s="676">
        <v>0</v>
      </c>
      <c r="BH154" s="676">
        <v>0</v>
      </c>
      <c r="BI154" s="676">
        <v>2.0301901213337152</v>
      </c>
      <c r="BJ154" s="676">
        <v>0</v>
      </c>
      <c r="BK154" s="676">
        <v>0</v>
      </c>
      <c r="BL154" s="676">
        <v>0</v>
      </c>
      <c r="BM154" s="676">
        <v>0</v>
      </c>
      <c r="BN154" s="676">
        <v>0</v>
      </c>
      <c r="BO154" s="674">
        <v>2.0301901213337152</v>
      </c>
      <c r="BP154" s="676">
        <v>0</v>
      </c>
      <c r="BQ154" s="676">
        <v>2.0301901213337152</v>
      </c>
      <c r="BR154" s="675"/>
      <c r="BS154" s="675">
        <v>5.4695710327696565</v>
      </c>
      <c r="BT154" s="674">
        <v>224.51514282984618</v>
      </c>
    </row>
    <row r="155" spans="1:72">
      <c r="A155" s="681"/>
      <c r="B155" s="680" t="s">
        <v>968</v>
      </c>
      <c r="C155" s="679" t="s">
        <v>1004</v>
      </c>
      <c r="D155" s="679"/>
      <c r="E155" s="679"/>
      <c r="F155" s="678" t="s">
        <v>1003</v>
      </c>
      <c r="G155" s="678"/>
      <c r="H155" s="677">
        <v>773.93235884207502</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61.932740995509697</v>
      </c>
      <c r="X155" s="676"/>
      <c r="Y155" s="676"/>
      <c r="Z155" s="676"/>
      <c r="AA155" s="676"/>
      <c r="AB155" s="676"/>
      <c r="AC155" s="676"/>
      <c r="AD155" s="676"/>
      <c r="AE155" s="676">
        <v>4.3947644979459248</v>
      </c>
      <c r="AF155" s="676"/>
      <c r="AG155" s="676"/>
      <c r="AH155" s="676"/>
      <c r="AI155" s="676"/>
      <c r="AJ155" s="676"/>
      <c r="AK155" s="676"/>
      <c r="AL155" s="676">
        <v>3.0811120664946974</v>
      </c>
      <c r="AM155" s="676">
        <v>54.456864431069071</v>
      </c>
      <c r="AN155" s="676"/>
      <c r="AO155" s="676"/>
      <c r="AP155" s="676"/>
      <c r="AQ155" s="676"/>
      <c r="AR155" s="676"/>
      <c r="AS155" s="676"/>
      <c r="AT155" s="674">
        <v>2.4839973249259577</v>
      </c>
      <c r="AU155" s="676">
        <v>2.4839973249259577</v>
      </c>
      <c r="AV155" s="676">
        <v>0</v>
      </c>
      <c r="AW155" s="676">
        <v>0</v>
      </c>
      <c r="AX155" s="676">
        <v>0</v>
      </c>
      <c r="AY155" s="676">
        <v>0</v>
      </c>
      <c r="AZ155" s="674">
        <v>319.45638673927579</v>
      </c>
      <c r="BA155" s="676"/>
      <c r="BB155" s="676"/>
      <c r="BC155" s="676"/>
      <c r="BD155" s="676">
        <v>0</v>
      </c>
      <c r="BE155" s="676"/>
      <c r="BF155" s="676">
        <v>319.45638673927579</v>
      </c>
      <c r="BG155" s="676">
        <v>0</v>
      </c>
      <c r="BH155" s="676">
        <v>0</v>
      </c>
      <c r="BI155" s="676">
        <v>0</v>
      </c>
      <c r="BJ155" s="676">
        <v>0</v>
      </c>
      <c r="BK155" s="676">
        <v>0</v>
      </c>
      <c r="BL155" s="676">
        <v>0</v>
      </c>
      <c r="BM155" s="676">
        <v>0</v>
      </c>
      <c r="BN155" s="676">
        <v>0</v>
      </c>
      <c r="BO155" s="674">
        <v>0</v>
      </c>
      <c r="BP155" s="676">
        <v>0</v>
      </c>
      <c r="BQ155" s="676">
        <v>0</v>
      </c>
      <c r="BR155" s="675"/>
      <c r="BS155" s="675">
        <v>0.21496130696474633</v>
      </c>
      <c r="BT155" s="674">
        <v>389.84427247539884</v>
      </c>
    </row>
    <row r="156" spans="1:72">
      <c r="A156" s="681"/>
      <c r="B156" s="680" t="s">
        <v>968</v>
      </c>
      <c r="C156" s="679" t="s">
        <v>1002</v>
      </c>
      <c r="D156" s="679"/>
      <c r="E156" s="679"/>
      <c r="F156" s="678" t="s">
        <v>1001</v>
      </c>
      <c r="G156" s="678"/>
      <c r="H156" s="677">
        <v>159.66848189548102</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9.2911053788095916</v>
      </c>
      <c r="X156" s="676"/>
      <c r="Y156" s="676"/>
      <c r="Z156" s="676"/>
      <c r="AA156" s="676"/>
      <c r="AB156" s="676"/>
      <c r="AC156" s="676"/>
      <c r="AD156" s="676"/>
      <c r="AE156" s="676">
        <v>1.0986911244864812</v>
      </c>
      <c r="AF156" s="676"/>
      <c r="AG156" s="676"/>
      <c r="AH156" s="676"/>
      <c r="AI156" s="676"/>
      <c r="AJ156" s="676"/>
      <c r="AK156" s="676"/>
      <c r="AL156" s="676">
        <v>8.1924142543231095</v>
      </c>
      <c r="AM156" s="676">
        <v>0</v>
      </c>
      <c r="AN156" s="676"/>
      <c r="AO156" s="676"/>
      <c r="AP156" s="676"/>
      <c r="AQ156" s="676"/>
      <c r="AR156" s="676"/>
      <c r="AS156" s="676"/>
      <c r="AT156" s="674">
        <v>7.0698385401738797</v>
      </c>
      <c r="AU156" s="676">
        <v>7.0698385401738797</v>
      </c>
      <c r="AV156" s="676">
        <v>0</v>
      </c>
      <c r="AW156" s="676">
        <v>0</v>
      </c>
      <c r="AX156" s="676">
        <v>0</v>
      </c>
      <c r="AY156" s="676">
        <v>0</v>
      </c>
      <c r="AZ156" s="674">
        <v>80.252221266838632</v>
      </c>
      <c r="BA156" s="676"/>
      <c r="BB156" s="676"/>
      <c r="BC156" s="676"/>
      <c r="BD156" s="676">
        <v>0</v>
      </c>
      <c r="BE156" s="676"/>
      <c r="BF156" s="676">
        <v>80.252221266838632</v>
      </c>
      <c r="BG156" s="676">
        <v>0</v>
      </c>
      <c r="BH156" s="676">
        <v>0</v>
      </c>
      <c r="BI156" s="676">
        <v>0</v>
      </c>
      <c r="BJ156" s="676">
        <v>0</v>
      </c>
      <c r="BK156" s="676">
        <v>0</v>
      </c>
      <c r="BL156" s="676">
        <v>0</v>
      </c>
      <c r="BM156" s="676">
        <v>0</v>
      </c>
      <c r="BN156" s="676">
        <v>0</v>
      </c>
      <c r="BO156" s="674">
        <v>0</v>
      </c>
      <c r="BP156" s="676">
        <v>0</v>
      </c>
      <c r="BQ156" s="676">
        <v>0</v>
      </c>
      <c r="BR156" s="675"/>
      <c r="BS156" s="675">
        <v>7.1653768988248778</v>
      </c>
      <c r="BT156" s="674">
        <v>55.889939810834051</v>
      </c>
    </row>
    <row r="157" spans="1:72">
      <c r="A157" s="681"/>
      <c r="B157" s="680" t="s">
        <v>968</v>
      </c>
      <c r="C157" s="679" t="s">
        <v>1000</v>
      </c>
      <c r="D157" s="679"/>
      <c r="E157" s="679"/>
      <c r="F157" s="678" t="s">
        <v>999</v>
      </c>
      <c r="G157" s="678"/>
      <c r="H157" s="677">
        <v>265.07117607719499</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156.10967803573135</v>
      </c>
      <c r="X157" s="676"/>
      <c r="Y157" s="676"/>
      <c r="Z157" s="676"/>
      <c r="AA157" s="676"/>
      <c r="AB157" s="676"/>
      <c r="AC157" s="676"/>
      <c r="AD157" s="676"/>
      <c r="AE157" s="676">
        <v>19.824209420082163</v>
      </c>
      <c r="AF157" s="676"/>
      <c r="AG157" s="676"/>
      <c r="AH157" s="676"/>
      <c r="AI157" s="676"/>
      <c r="AJ157" s="676"/>
      <c r="AK157" s="676"/>
      <c r="AL157" s="676">
        <v>136.28546861564917</v>
      </c>
      <c r="AM157" s="676">
        <v>0</v>
      </c>
      <c r="AN157" s="676"/>
      <c r="AO157" s="676"/>
      <c r="AP157" s="676"/>
      <c r="AQ157" s="676"/>
      <c r="AR157" s="676"/>
      <c r="AS157" s="676"/>
      <c r="AT157" s="674">
        <v>0.57323015190599025</v>
      </c>
      <c r="AU157" s="676">
        <v>0.57323015190599025</v>
      </c>
      <c r="AV157" s="676">
        <v>0</v>
      </c>
      <c r="AW157" s="676">
        <v>0</v>
      </c>
      <c r="AX157" s="676">
        <v>0</v>
      </c>
      <c r="AY157" s="676">
        <v>0</v>
      </c>
      <c r="AZ157" s="674">
        <v>4.179803190981179</v>
      </c>
      <c r="BA157" s="676"/>
      <c r="BB157" s="676"/>
      <c r="BC157" s="676"/>
      <c r="BD157" s="676">
        <v>0</v>
      </c>
      <c r="BE157" s="676"/>
      <c r="BF157" s="676">
        <v>4.179803190981179</v>
      </c>
      <c r="BG157" s="676">
        <v>0</v>
      </c>
      <c r="BH157" s="676">
        <v>0</v>
      </c>
      <c r="BI157" s="676">
        <v>0</v>
      </c>
      <c r="BJ157" s="676">
        <v>0</v>
      </c>
      <c r="BK157" s="676">
        <v>0</v>
      </c>
      <c r="BL157" s="676">
        <v>0</v>
      </c>
      <c r="BM157" s="676">
        <v>0</v>
      </c>
      <c r="BN157" s="676">
        <v>0</v>
      </c>
      <c r="BO157" s="674">
        <v>0</v>
      </c>
      <c r="BP157" s="676">
        <v>0</v>
      </c>
      <c r="BQ157" s="676">
        <v>0</v>
      </c>
      <c r="BR157" s="675"/>
      <c r="BS157" s="675">
        <v>0</v>
      </c>
      <c r="BT157" s="674">
        <v>104.20846469857648</v>
      </c>
    </row>
    <row r="158" spans="1:72">
      <c r="A158" s="681"/>
      <c r="B158" s="680" t="s">
        <v>968</v>
      </c>
      <c r="C158" s="679" t="s">
        <v>998</v>
      </c>
      <c r="D158" s="679"/>
      <c r="E158" s="679"/>
      <c r="F158" s="678" t="s">
        <v>997</v>
      </c>
      <c r="G158" s="678"/>
      <c r="H158" s="677">
        <v>8.5745676889271039</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1.0270373554982324</v>
      </c>
      <c r="X158" s="676"/>
      <c r="Y158" s="676"/>
      <c r="Z158" s="676"/>
      <c r="AA158" s="676"/>
      <c r="AB158" s="676"/>
      <c r="AC158" s="676"/>
      <c r="AD158" s="676"/>
      <c r="AE158" s="676"/>
      <c r="AF158" s="676"/>
      <c r="AG158" s="676"/>
      <c r="AH158" s="676"/>
      <c r="AI158" s="676"/>
      <c r="AJ158" s="676"/>
      <c r="AK158" s="676"/>
      <c r="AL158" s="676">
        <v>1.0270373554982324</v>
      </c>
      <c r="AM158" s="676">
        <v>0</v>
      </c>
      <c r="AN158" s="676"/>
      <c r="AO158" s="676"/>
      <c r="AP158" s="676"/>
      <c r="AQ158" s="676"/>
      <c r="AR158" s="676"/>
      <c r="AS158" s="676"/>
      <c r="AT158" s="674">
        <v>0.42992261392949266</v>
      </c>
      <c r="AU158" s="676">
        <v>0.42992261392949266</v>
      </c>
      <c r="AV158" s="676">
        <v>0</v>
      </c>
      <c r="AW158" s="676">
        <v>0</v>
      </c>
      <c r="AX158" s="676">
        <v>0</v>
      </c>
      <c r="AY158" s="676">
        <v>0</v>
      </c>
      <c r="AZ158" s="674">
        <v>0</v>
      </c>
      <c r="BA158" s="676"/>
      <c r="BB158" s="676"/>
      <c r="BC158" s="676"/>
      <c r="BD158" s="676">
        <v>0</v>
      </c>
      <c r="BE158" s="676"/>
      <c r="BF158" s="676">
        <v>0</v>
      </c>
      <c r="BG158" s="676">
        <v>0</v>
      </c>
      <c r="BH158" s="676">
        <v>0</v>
      </c>
      <c r="BI158" s="676">
        <v>0</v>
      </c>
      <c r="BJ158" s="676">
        <v>0</v>
      </c>
      <c r="BK158" s="676">
        <v>0</v>
      </c>
      <c r="BL158" s="676">
        <v>0</v>
      </c>
      <c r="BM158" s="676">
        <v>0</v>
      </c>
      <c r="BN158" s="676">
        <v>0</v>
      </c>
      <c r="BO158" s="674">
        <v>0</v>
      </c>
      <c r="BP158" s="676">
        <v>0</v>
      </c>
      <c r="BQ158" s="676">
        <v>0</v>
      </c>
      <c r="BR158" s="675"/>
      <c r="BS158" s="675">
        <v>7.1653768988248781E-2</v>
      </c>
      <c r="BT158" s="674">
        <v>7.0459539505111302</v>
      </c>
    </row>
    <row r="159" spans="1:72">
      <c r="A159" s="681"/>
      <c r="B159" s="680" t="s">
        <v>968</v>
      </c>
      <c r="C159" s="679" t="s">
        <v>996</v>
      </c>
      <c r="D159" s="679"/>
      <c r="E159" s="679"/>
      <c r="F159" s="678" t="s">
        <v>995</v>
      </c>
      <c r="G159" s="678"/>
      <c r="H159" s="677">
        <v>57.227476831948024</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12.372217445304289</v>
      </c>
      <c r="X159" s="676"/>
      <c r="Y159" s="676"/>
      <c r="Z159" s="676"/>
      <c r="AA159" s="676"/>
      <c r="AB159" s="676"/>
      <c r="AC159" s="676"/>
      <c r="AD159" s="676"/>
      <c r="AE159" s="676">
        <v>1.0986911244864812</v>
      </c>
      <c r="AF159" s="676"/>
      <c r="AG159" s="676"/>
      <c r="AH159" s="676"/>
      <c r="AI159" s="676"/>
      <c r="AJ159" s="676"/>
      <c r="AK159" s="676"/>
      <c r="AL159" s="676">
        <v>11.273526320817808</v>
      </c>
      <c r="AM159" s="676">
        <v>0</v>
      </c>
      <c r="AN159" s="676"/>
      <c r="AO159" s="676"/>
      <c r="AP159" s="676"/>
      <c r="AQ159" s="676"/>
      <c r="AR159" s="676"/>
      <c r="AS159" s="676"/>
      <c r="AT159" s="674">
        <v>4.0603802426674305</v>
      </c>
      <c r="AU159" s="676">
        <v>4.0603802426674305</v>
      </c>
      <c r="AV159" s="676">
        <v>0</v>
      </c>
      <c r="AW159" s="676">
        <v>0</v>
      </c>
      <c r="AX159" s="676">
        <v>0</v>
      </c>
      <c r="AY159" s="676">
        <v>0</v>
      </c>
      <c r="AZ159" s="674">
        <v>2.3168051972867105</v>
      </c>
      <c r="BA159" s="676"/>
      <c r="BB159" s="676"/>
      <c r="BC159" s="676"/>
      <c r="BD159" s="676">
        <v>0</v>
      </c>
      <c r="BE159" s="676"/>
      <c r="BF159" s="676">
        <v>2.3168051972867105</v>
      </c>
      <c r="BG159" s="676">
        <v>0</v>
      </c>
      <c r="BH159" s="676">
        <v>0</v>
      </c>
      <c r="BI159" s="676">
        <v>0</v>
      </c>
      <c r="BJ159" s="676">
        <v>0</v>
      </c>
      <c r="BK159" s="676">
        <v>0</v>
      </c>
      <c r="BL159" s="676">
        <v>0</v>
      </c>
      <c r="BM159" s="676">
        <v>0</v>
      </c>
      <c r="BN159" s="676">
        <v>0</v>
      </c>
      <c r="BO159" s="674">
        <v>0</v>
      </c>
      <c r="BP159" s="676">
        <v>0</v>
      </c>
      <c r="BQ159" s="676">
        <v>0</v>
      </c>
      <c r="BR159" s="675"/>
      <c r="BS159" s="675">
        <v>0.47769179325499184</v>
      </c>
      <c r="BT159" s="674">
        <v>38.0003821534346</v>
      </c>
    </row>
    <row r="160" spans="1:72">
      <c r="A160" s="680" t="s">
        <v>968</v>
      </c>
      <c r="B160" s="679" t="s">
        <v>994</v>
      </c>
      <c r="C160" s="679"/>
      <c r="D160" s="679"/>
      <c r="E160" s="679"/>
      <c r="F160" s="678" t="s">
        <v>993</v>
      </c>
      <c r="G160" s="678"/>
      <c r="H160" s="677">
        <v>5149.6130696474629</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4916.8099742046434</v>
      </c>
      <c r="X160" s="676"/>
      <c r="Y160" s="676"/>
      <c r="Z160" s="676"/>
      <c r="AA160" s="676"/>
      <c r="AB160" s="676"/>
      <c r="AC160" s="676"/>
      <c r="AD160" s="676"/>
      <c r="AE160" s="676">
        <v>2.1973822489729624</v>
      </c>
      <c r="AF160" s="676">
        <v>1132.4639342696091</v>
      </c>
      <c r="AG160" s="676">
        <v>2.1018438903219643</v>
      </c>
      <c r="AH160" s="676"/>
      <c r="AI160" s="676">
        <v>771.30505397917261</v>
      </c>
      <c r="AJ160" s="676"/>
      <c r="AK160" s="676"/>
      <c r="AL160" s="676">
        <v>2957.1271615553642</v>
      </c>
      <c r="AM160" s="676">
        <v>51.59071367153912</v>
      </c>
      <c r="AN160" s="676"/>
      <c r="AO160" s="676"/>
      <c r="AP160" s="676"/>
      <c r="AQ160" s="676"/>
      <c r="AR160" s="676"/>
      <c r="AS160" s="676"/>
      <c r="AT160" s="674">
        <v>57.776822394191264</v>
      </c>
      <c r="AU160" s="676">
        <v>57.776822394191264</v>
      </c>
      <c r="AV160" s="676">
        <v>0</v>
      </c>
      <c r="AW160" s="676">
        <v>0</v>
      </c>
      <c r="AX160" s="676">
        <v>0</v>
      </c>
      <c r="AY160" s="676">
        <v>0</v>
      </c>
      <c r="AZ160" s="674">
        <v>115.76860609534728</v>
      </c>
      <c r="BA160" s="676"/>
      <c r="BB160" s="676"/>
      <c r="BC160" s="676"/>
      <c r="BD160" s="676">
        <v>0</v>
      </c>
      <c r="BE160" s="676"/>
      <c r="BF160" s="676">
        <v>0</v>
      </c>
      <c r="BG160" s="676">
        <v>0</v>
      </c>
      <c r="BH160" s="676">
        <v>0.64488392089423896</v>
      </c>
      <c r="BI160" s="676">
        <v>0</v>
      </c>
      <c r="BJ160" s="676">
        <v>7.6908378714053685</v>
      </c>
      <c r="BK160" s="676">
        <v>105.4743479507022</v>
      </c>
      <c r="BL160" s="676">
        <v>0</v>
      </c>
      <c r="BM160" s="676">
        <v>1.9824209420082162</v>
      </c>
      <c r="BN160" s="676">
        <v>0</v>
      </c>
      <c r="BO160" s="674">
        <v>0</v>
      </c>
      <c r="BP160" s="676">
        <v>0</v>
      </c>
      <c r="BQ160" s="676">
        <v>0</v>
      </c>
      <c r="BR160" s="675"/>
      <c r="BS160" s="675"/>
      <c r="BT160" s="674">
        <v>59.233782363618992</v>
      </c>
    </row>
    <row r="161" spans="1:72">
      <c r="A161" s="681"/>
      <c r="B161" s="680" t="s">
        <v>968</v>
      </c>
      <c r="C161" s="679" t="s">
        <v>992</v>
      </c>
      <c r="D161" s="679"/>
      <c r="E161" s="679"/>
      <c r="F161" s="678" t="s">
        <v>991</v>
      </c>
      <c r="G161" s="678"/>
      <c r="H161" s="677">
        <v>71.104423426005539</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12.30056367631604</v>
      </c>
      <c r="X161" s="676"/>
      <c r="Y161" s="676"/>
      <c r="Z161" s="676"/>
      <c r="AA161" s="676"/>
      <c r="AB161" s="676"/>
      <c r="AC161" s="676"/>
      <c r="AD161" s="676"/>
      <c r="AE161" s="676"/>
      <c r="AF161" s="676"/>
      <c r="AG161" s="676"/>
      <c r="AH161" s="676"/>
      <c r="AI161" s="676"/>
      <c r="AJ161" s="676"/>
      <c r="AK161" s="676"/>
      <c r="AL161" s="676">
        <v>12.30056367631604</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58.803859749689501</v>
      </c>
    </row>
    <row r="162" spans="1:72">
      <c r="A162" s="681"/>
      <c r="B162" s="680" t="s">
        <v>968</v>
      </c>
      <c r="C162" s="679" t="s">
        <v>990</v>
      </c>
      <c r="D162" s="679"/>
      <c r="E162" s="679"/>
      <c r="F162" s="678" t="s">
        <v>989</v>
      </c>
      <c r="G162" s="678"/>
      <c r="H162" s="677">
        <v>3427.9163083978215</v>
      </c>
      <c r="I162" s="674"/>
      <c r="J162" s="676"/>
      <c r="K162" s="676"/>
      <c r="L162" s="676"/>
      <c r="M162" s="676"/>
      <c r="N162" s="676"/>
      <c r="O162" s="676"/>
      <c r="P162" s="676"/>
      <c r="Q162" s="676"/>
      <c r="R162" s="676"/>
      <c r="S162" s="676"/>
      <c r="T162" s="676"/>
      <c r="U162" s="676"/>
      <c r="V162" s="676"/>
      <c r="W162" s="674">
        <v>3307.1080538836341</v>
      </c>
      <c r="X162" s="676"/>
      <c r="Y162" s="676"/>
      <c r="Z162" s="676"/>
      <c r="AA162" s="676"/>
      <c r="AB162" s="676"/>
      <c r="AC162" s="676"/>
      <c r="AD162" s="676"/>
      <c r="AE162" s="676">
        <v>2.1973822489729624</v>
      </c>
      <c r="AF162" s="676">
        <v>1090.6420177701345</v>
      </c>
      <c r="AG162" s="676"/>
      <c r="AH162" s="676"/>
      <c r="AI162" s="676"/>
      <c r="AJ162" s="676"/>
      <c r="AK162" s="676"/>
      <c r="AL162" s="676">
        <v>2214.2686538645266</v>
      </c>
      <c r="AM162" s="676">
        <v>0</v>
      </c>
      <c r="AN162" s="676"/>
      <c r="AO162" s="676"/>
      <c r="AP162" s="676"/>
      <c r="AQ162" s="676"/>
      <c r="AR162" s="676"/>
      <c r="AS162" s="676"/>
      <c r="AT162" s="674">
        <v>4.585841215247922</v>
      </c>
      <c r="AU162" s="676">
        <v>4.585841215247922</v>
      </c>
      <c r="AV162" s="676"/>
      <c r="AW162" s="676"/>
      <c r="AX162" s="676"/>
      <c r="AY162" s="676"/>
      <c r="AZ162" s="674">
        <v>115.76860609534728</v>
      </c>
      <c r="BA162" s="676"/>
      <c r="BB162" s="676"/>
      <c r="BC162" s="676"/>
      <c r="BD162" s="676">
        <v>0</v>
      </c>
      <c r="BE162" s="676"/>
      <c r="BF162" s="676">
        <v>0</v>
      </c>
      <c r="BG162" s="676">
        <v>0</v>
      </c>
      <c r="BH162" s="676">
        <v>0.64488392089423896</v>
      </c>
      <c r="BI162" s="676">
        <v>0</v>
      </c>
      <c r="BJ162" s="676">
        <v>7.6908378714053685</v>
      </c>
      <c r="BK162" s="676">
        <v>105.4743479507022</v>
      </c>
      <c r="BL162" s="676">
        <v>0</v>
      </c>
      <c r="BM162" s="676">
        <v>1.9824209420082162</v>
      </c>
      <c r="BN162" s="676">
        <v>0</v>
      </c>
      <c r="BO162" s="674">
        <v>0</v>
      </c>
      <c r="BP162" s="676">
        <v>0</v>
      </c>
      <c r="BQ162" s="676">
        <v>0</v>
      </c>
      <c r="BR162" s="675"/>
      <c r="BS162" s="675"/>
      <c r="BT162" s="674">
        <v>0.42992261392949266</v>
      </c>
    </row>
    <row r="163" spans="1:72">
      <c r="A163" s="681"/>
      <c r="B163" s="680" t="s">
        <v>968</v>
      </c>
      <c r="C163" s="679" t="s">
        <v>988</v>
      </c>
      <c r="D163" s="679"/>
      <c r="E163" s="679"/>
      <c r="F163" s="678" t="s">
        <v>987</v>
      </c>
      <c r="G163" s="678"/>
      <c r="H163" s="677">
        <v>424.16642782077002</v>
      </c>
      <c r="I163" s="674"/>
      <c r="J163" s="676"/>
      <c r="K163" s="676"/>
      <c r="L163" s="676"/>
      <c r="M163" s="676"/>
      <c r="N163" s="676"/>
      <c r="O163" s="676"/>
      <c r="P163" s="676"/>
      <c r="Q163" s="676"/>
      <c r="R163" s="676"/>
      <c r="S163" s="676"/>
      <c r="T163" s="676"/>
      <c r="U163" s="676"/>
      <c r="V163" s="676"/>
      <c r="W163" s="674">
        <v>424.16642782077002</v>
      </c>
      <c r="X163" s="676"/>
      <c r="Y163" s="676"/>
      <c r="Z163" s="676"/>
      <c r="AA163" s="676"/>
      <c r="AB163" s="676"/>
      <c r="AC163" s="676"/>
      <c r="AD163" s="676"/>
      <c r="AE163" s="676"/>
      <c r="AF163" s="676"/>
      <c r="AG163" s="676"/>
      <c r="AH163" s="676"/>
      <c r="AI163" s="676">
        <v>424.16642782077002</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c r="A164" s="681"/>
      <c r="B164" s="680" t="s">
        <v>968</v>
      </c>
      <c r="C164" s="679" t="s">
        <v>986</v>
      </c>
      <c r="D164" s="679"/>
      <c r="E164" s="679"/>
      <c r="F164" s="678" t="s">
        <v>985</v>
      </c>
      <c r="G164" s="678"/>
      <c r="H164" s="677">
        <v>349.24047004872455</v>
      </c>
      <c r="I164" s="674"/>
      <c r="J164" s="676"/>
      <c r="K164" s="676"/>
      <c r="L164" s="676"/>
      <c r="M164" s="676"/>
      <c r="N164" s="676"/>
      <c r="O164" s="676"/>
      <c r="P164" s="676"/>
      <c r="Q164" s="676"/>
      <c r="R164" s="676"/>
      <c r="S164" s="676"/>
      <c r="T164" s="676"/>
      <c r="U164" s="676"/>
      <c r="V164" s="676"/>
      <c r="W164" s="674">
        <v>349.24047004872455</v>
      </c>
      <c r="X164" s="676"/>
      <c r="Y164" s="676"/>
      <c r="Z164" s="676"/>
      <c r="AA164" s="676"/>
      <c r="AB164" s="676"/>
      <c r="AC164" s="676"/>
      <c r="AD164" s="676"/>
      <c r="AE164" s="676"/>
      <c r="AF164" s="676"/>
      <c r="AG164" s="676">
        <v>2.1018438903219643</v>
      </c>
      <c r="AH164" s="676"/>
      <c r="AI164" s="676">
        <v>347.13862615840259</v>
      </c>
      <c r="AJ164" s="676"/>
      <c r="AK164" s="676"/>
      <c r="AL164" s="676"/>
      <c r="AM164" s="676">
        <v>0</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c r="A165" s="681"/>
      <c r="B165" s="680" t="s">
        <v>968</v>
      </c>
      <c r="C165" s="679" t="s">
        <v>984</v>
      </c>
      <c r="D165" s="679"/>
      <c r="E165" s="679"/>
      <c r="F165" s="678" t="s">
        <v>983</v>
      </c>
      <c r="G165" s="678"/>
      <c r="H165" s="677">
        <v>823.99445877519815</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823.99445877519815</v>
      </c>
      <c r="X165" s="676"/>
      <c r="Y165" s="676"/>
      <c r="Z165" s="676"/>
      <c r="AA165" s="676"/>
      <c r="AB165" s="676"/>
      <c r="AC165" s="676"/>
      <c r="AD165" s="676"/>
      <c r="AE165" s="676"/>
      <c r="AF165" s="676">
        <v>41.82191649947454</v>
      </c>
      <c r="AG165" s="676"/>
      <c r="AH165" s="676"/>
      <c r="AI165" s="676"/>
      <c r="AJ165" s="676"/>
      <c r="AK165" s="676"/>
      <c r="AL165" s="676">
        <v>730.58182860418458</v>
      </c>
      <c r="AM165" s="676">
        <v>51.59071367153912</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c r="A167" s="681"/>
      <c r="B167" s="680" t="s">
        <v>968</v>
      </c>
      <c r="C167" s="679" t="s">
        <v>980</v>
      </c>
      <c r="D167" s="679"/>
      <c r="E167" s="679"/>
      <c r="F167" s="678" t="s">
        <v>979</v>
      </c>
      <c r="G167" s="678"/>
      <c r="H167" s="677">
        <v>53.214865768606096</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53.214865768606096</v>
      </c>
      <c r="AU167" s="676">
        <v>53.214865768606096</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c r="A168" s="680" t="s">
        <v>968</v>
      </c>
      <c r="B168" s="679" t="s">
        <v>978</v>
      </c>
      <c r="C168" s="679"/>
      <c r="D168" s="679"/>
      <c r="E168" s="679"/>
      <c r="F168" s="678" t="s">
        <v>977</v>
      </c>
      <c r="G168" s="678"/>
      <c r="H168" s="677">
        <v>7443.3935224992829</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1052.3072513614215</v>
      </c>
      <c r="X168" s="676"/>
      <c r="Y168" s="676"/>
      <c r="Z168" s="676"/>
      <c r="AA168" s="676"/>
      <c r="AB168" s="676"/>
      <c r="AC168" s="676"/>
      <c r="AD168" s="676"/>
      <c r="AE168" s="676">
        <v>27.51504729148753</v>
      </c>
      <c r="AF168" s="676">
        <v>23.597974586796596</v>
      </c>
      <c r="AG168" s="676"/>
      <c r="AH168" s="676"/>
      <c r="AI168" s="676">
        <v>31.838158020445206</v>
      </c>
      <c r="AJ168" s="676">
        <v>49.417216012228906</v>
      </c>
      <c r="AK168" s="676"/>
      <c r="AL168" s="676">
        <v>917.07270469093339</v>
      </c>
      <c r="AM168" s="676">
        <v>2.8661507595299511</v>
      </c>
      <c r="AN168" s="676"/>
      <c r="AO168" s="676"/>
      <c r="AP168" s="676"/>
      <c r="AQ168" s="676"/>
      <c r="AR168" s="676"/>
      <c r="AS168" s="676"/>
      <c r="AT168" s="674">
        <v>35.755230725136137</v>
      </c>
      <c r="AU168" s="676">
        <v>35.755230725136137</v>
      </c>
      <c r="AV168" s="676">
        <v>0</v>
      </c>
      <c r="AW168" s="676">
        <v>0</v>
      </c>
      <c r="AX168" s="676">
        <v>0</v>
      </c>
      <c r="AY168" s="676">
        <v>0</v>
      </c>
      <c r="AZ168" s="674">
        <v>665.95012897678419</v>
      </c>
      <c r="BA168" s="676"/>
      <c r="BB168" s="676"/>
      <c r="BC168" s="676"/>
      <c r="BD168" s="676">
        <v>0</v>
      </c>
      <c r="BE168" s="676"/>
      <c r="BF168" s="676">
        <v>654.67660265596635</v>
      </c>
      <c r="BG168" s="676">
        <v>0</v>
      </c>
      <c r="BH168" s="676">
        <v>11.273526320817808</v>
      </c>
      <c r="BI168" s="676">
        <v>0</v>
      </c>
      <c r="BJ168" s="676">
        <v>0</v>
      </c>
      <c r="BK168" s="676">
        <v>0</v>
      </c>
      <c r="BL168" s="676">
        <v>0</v>
      </c>
      <c r="BM168" s="676">
        <v>0</v>
      </c>
      <c r="BN168" s="676">
        <v>0</v>
      </c>
      <c r="BO168" s="674">
        <v>0</v>
      </c>
      <c r="BP168" s="676">
        <v>0</v>
      </c>
      <c r="BQ168" s="676">
        <v>0</v>
      </c>
      <c r="BR168" s="675"/>
      <c r="BS168" s="675">
        <v>301.85344415782936</v>
      </c>
      <c r="BT168" s="674">
        <v>5387.5274672781115</v>
      </c>
    </row>
    <row r="169" spans="1:72">
      <c r="A169" s="681"/>
      <c r="B169" s="680" t="s">
        <v>968</v>
      </c>
      <c r="C169" s="679" t="s">
        <v>976</v>
      </c>
      <c r="D169" s="679"/>
      <c r="E169" s="679"/>
      <c r="F169" s="678" t="s">
        <v>975</v>
      </c>
      <c r="G169" s="678"/>
      <c r="H169" s="677">
        <v>2614.5982612018724</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214.62692270946783</v>
      </c>
      <c r="X169" s="676"/>
      <c r="Y169" s="676"/>
      <c r="Z169" s="676"/>
      <c r="AA169" s="676"/>
      <c r="AB169" s="676"/>
      <c r="AC169" s="676"/>
      <c r="AD169" s="676"/>
      <c r="AE169" s="676">
        <v>8.8134135855545992</v>
      </c>
      <c r="AF169" s="676"/>
      <c r="AG169" s="676"/>
      <c r="AH169" s="676"/>
      <c r="AI169" s="676"/>
      <c r="AJ169" s="676">
        <v>3.0811120664946974</v>
      </c>
      <c r="AK169" s="676"/>
      <c r="AL169" s="676">
        <v>200.82162988439859</v>
      </c>
      <c r="AM169" s="676">
        <v>1.9107671730199673</v>
      </c>
      <c r="AN169" s="676"/>
      <c r="AO169" s="676"/>
      <c r="AP169" s="676"/>
      <c r="AQ169" s="676"/>
      <c r="AR169" s="676"/>
      <c r="AS169" s="676"/>
      <c r="AT169" s="674">
        <v>18.24782650234069</v>
      </c>
      <c r="AU169" s="676">
        <v>18.24782650234069</v>
      </c>
      <c r="AV169" s="676">
        <v>0</v>
      </c>
      <c r="AW169" s="676">
        <v>0</v>
      </c>
      <c r="AX169" s="676">
        <v>0</v>
      </c>
      <c r="AY169" s="676">
        <v>0</v>
      </c>
      <c r="AZ169" s="674">
        <v>33.223464220884686</v>
      </c>
      <c r="BA169" s="676"/>
      <c r="BB169" s="676"/>
      <c r="BC169" s="676"/>
      <c r="BD169" s="676">
        <v>0</v>
      </c>
      <c r="BE169" s="676"/>
      <c r="BF169" s="676">
        <v>21.949937900066875</v>
      </c>
      <c r="BG169" s="676">
        <v>0</v>
      </c>
      <c r="BH169" s="676">
        <v>11.273526320817808</v>
      </c>
      <c r="BI169" s="676">
        <v>0</v>
      </c>
      <c r="BJ169" s="676">
        <v>0</v>
      </c>
      <c r="BK169" s="676">
        <v>0</v>
      </c>
      <c r="BL169" s="676">
        <v>0</v>
      </c>
      <c r="BM169" s="676">
        <v>0</v>
      </c>
      <c r="BN169" s="676">
        <v>0</v>
      </c>
      <c r="BO169" s="674">
        <v>0</v>
      </c>
      <c r="BP169" s="676">
        <v>0</v>
      </c>
      <c r="BQ169" s="676">
        <v>0</v>
      </c>
      <c r="BR169" s="675"/>
      <c r="BS169" s="675">
        <v>233.782363618993</v>
      </c>
      <c r="BT169" s="674">
        <v>2114.6937995605235</v>
      </c>
    </row>
    <row r="170" spans="1:72">
      <c r="A170" s="681"/>
      <c r="B170" s="680" t="s">
        <v>968</v>
      </c>
      <c r="C170" s="679" t="s">
        <v>974</v>
      </c>
      <c r="D170" s="679"/>
      <c r="E170" s="679"/>
      <c r="F170" s="678" t="s">
        <v>973</v>
      </c>
      <c r="G170" s="678"/>
      <c r="H170" s="677">
        <v>3951.1560141396767</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151.49995223082067</v>
      </c>
      <c r="X170" s="676"/>
      <c r="Y170" s="676"/>
      <c r="Z170" s="676"/>
      <c r="AA170" s="676"/>
      <c r="AB170" s="676"/>
      <c r="AC170" s="676"/>
      <c r="AD170" s="676"/>
      <c r="AE170" s="676">
        <v>13.208178083500524</v>
      </c>
      <c r="AF170" s="676">
        <v>17.149135377854208</v>
      </c>
      <c r="AG170" s="676"/>
      <c r="AH170" s="676"/>
      <c r="AI170" s="676"/>
      <c r="AJ170" s="676">
        <v>46.336103945734209</v>
      </c>
      <c r="AK170" s="676"/>
      <c r="AL170" s="676">
        <v>74.806534823731724</v>
      </c>
      <c r="AM170" s="676">
        <v>0</v>
      </c>
      <c r="AN170" s="676"/>
      <c r="AO170" s="676"/>
      <c r="AP170" s="676"/>
      <c r="AQ170" s="676"/>
      <c r="AR170" s="676"/>
      <c r="AS170" s="676"/>
      <c r="AT170" s="674">
        <v>2.9616891181809497</v>
      </c>
      <c r="AU170" s="676">
        <v>2.9616891181809497</v>
      </c>
      <c r="AV170" s="676">
        <v>0</v>
      </c>
      <c r="AW170" s="676">
        <v>0</v>
      </c>
      <c r="AX170" s="676">
        <v>0</v>
      </c>
      <c r="AY170" s="676">
        <v>0</v>
      </c>
      <c r="AZ170" s="674">
        <v>628.45132320626726</v>
      </c>
      <c r="BA170" s="676"/>
      <c r="BB170" s="676"/>
      <c r="BC170" s="676"/>
      <c r="BD170" s="676">
        <v>0</v>
      </c>
      <c r="BE170" s="676"/>
      <c r="BF170" s="676">
        <v>628.45132320626726</v>
      </c>
      <c r="BG170" s="676">
        <v>0</v>
      </c>
      <c r="BH170" s="676">
        <v>0</v>
      </c>
      <c r="BI170" s="676">
        <v>0</v>
      </c>
      <c r="BJ170" s="676">
        <v>0</v>
      </c>
      <c r="BK170" s="676">
        <v>0</v>
      </c>
      <c r="BL170" s="676">
        <v>0</v>
      </c>
      <c r="BM170" s="676">
        <v>0</v>
      </c>
      <c r="BN170" s="676">
        <v>0</v>
      </c>
      <c r="BO170" s="674">
        <v>0</v>
      </c>
      <c r="BP170" s="676">
        <v>0</v>
      </c>
      <c r="BQ170" s="676">
        <v>0</v>
      </c>
      <c r="BR170" s="675"/>
      <c r="BS170" s="675">
        <v>67.736696283557848</v>
      </c>
      <c r="BT170" s="674">
        <v>3100.5063533008502</v>
      </c>
    </row>
    <row r="171" spans="1:72">
      <c r="A171" s="681"/>
      <c r="B171" s="680" t="s">
        <v>968</v>
      </c>
      <c r="C171" s="679" t="s">
        <v>972</v>
      </c>
      <c r="D171" s="679"/>
      <c r="E171" s="679"/>
      <c r="F171" s="678" t="s">
        <v>971</v>
      </c>
      <c r="G171" s="678"/>
      <c r="H171" s="677">
        <v>310.35635807776822</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137.69465940575139</v>
      </c>
      <c r="X171" s="676"/>
      <c r="Y171" s="676"/>
      <c r="Z171" s="676"/>
      <c r="AA171" s="676"/>
      <c r="AB171" s="676"/>
      <c r="AC171" s="676"/>
      <c r="AD171" s="676"/>
      <c r="AE171" s="676">
        <v>5.493455622432406</v>
      </c>
      <c r="AF171" s="676"/>
      <c r="AG171" s="676"/>
      <c r="AH171" s="676"/>
      <c r="AI171" s="676"/>
      <c r="AJ171" s="676"/>
      <c r="AK171" s="676"/>
      <c r="AL171" s="676">
        <v>132.17731919365625</v>
      </c>
      <c r="AM171" s="676">
        <v>0</v>
      </c>
      <c r="AN171" s="676"/>
      <c r="AO171" s="676"/>
      <c r="AP171" s="676"/>
      <c r="AQ171" s="676"/>
      <c r="AR171" s="676"/>
      <c r="AS171" s="676"/>
      <c r="AT171" s="674">
        <v>13.017101366198528</v>
      </c>
      <c r="AU171" s="676">
        <v>13.017101366198528</v>
      </c>
      <c r="AV171" s="676">
        <v>0</v>
      </c>
      <c r="AW171" s="676">
        <v>0</v>
      </c>
      <c r="AX171" s="676">
        <v>0</v>
      </c>
      <c r="AY171" s="676">
        <v>0</v>
      </c>
      <c r="AZ171" s="674">
        <v>4.2753415496321772</v>
      </c>
      <c r="BA171" s="676"/>
      <c r="BB171" s="676"/>
      <c r="BC171" s="676"/>
      <c r="BD171" s="676">
        <v>0</v>
      </c>
      <c r="BE171" s="676"/>
      <c r="BF171" s="676">
        <v>4.2753415496321772</v>
      </c>
      <c r="BG171" s="676">
        <v>0</v>
      </c>
      <c r="BH171" s="676">
        <v>0</v>
      </c>
      <c r="BI171" s="676">
        <v>0</v>
      </c>
      <c r="BJ171" s="676">
        <v>0</v>
      </c>
      <c r="BK171" s="676">
        <v>0</v>
      </c>
      <c r="BL171" s="676">
        <v>0</v>
      </c>
      <c r="BM171" s="676">
        <v>0</v>
      </c>
      <c r="BN171" s="676">
        <v>0</v>
      </c>
      <c r="BO171" s="674">
        <v>0</v>
      </c>
      <c r="BP171" s="676">
        <v>0</v>
      </c>
      <c r="BQ171" s="676">
        <v>0</v>
      </c>
      <c r="BR171" s="675"/>
      <c r="BS171" s="675">
        <v>0.3343842552784943</v>
      </c>
      <c r="BT171" s="674">
        <v>155.0348715009076</v>
      </c>
    </row>
    <row r="172" spans="1:72">
      <c r="A172" s="681"/>
      <c r="B172" s="680" t="s">
        <v>968</v>
      </c>
      <c r="C172" s="679" t="s">
        <v>970</v>
      </c>
      <c r="D172" s="679"/>
      <c r="E172" s="679"/>
      <c r="F172" s="678" t="s">
        <v>969</v>
      </c>
      <c r="G172" s="678"/>
      <c r="H172" s="677">
        <v>489.82516480366866</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472.53272188783797</v>
      </c>
      <c r="X172" s="676"/>
      <c r="Y172" s="676"/>
      <c r="Z172" s="676"/>
      <c r="AA172" s="676"/>
      <c r="AB172" s="676"/>
      <c r="AC172" s="676"/>
      <c r="AD172" s="676"/>
      <c r="AE172" s="676"/>
      <c r="AF172" s="676">
        <v>5.3501480844559088</v>
      </c>
      <c r="AG172" s="676"/>
      <c r="AH172" s="676"/>
      <c r="AI172" s="676"/>
      <c r="AJ172" s="676"/>
      <c r="AK172" s="676"/>
      <c r="AL172" s="676">
        <v>466.22719021687203</v>
      </c>
      <c r="AM172" s="676">
        <v>0.95538358650998367</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c r="A173" s="673"/>
      <c r="B173" s="672" t="s">
        <v>968</v>
      </c>
      <c r="C173" s="671" t="s">
        <v>967</v>
      </c>
      <c r="D173" s="671"/>
      <c r="E173" s="671"/>
      <c r="F173" s="670" t="s">
        <v>966</v>
      </c>
      <c r="G173" s="670"/>
      <c r="H173" s="669">
        <v>77.457724276296929</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75.952995127543701</v>
      </c>
      <c r="X173" s="668"/>
      <c r="Y173" s="668"/>
      <c r="Z173" s="668"/>
      <c r="AA173" s="668"/>
      <c r="AB173" s="668"/>
      <c r="AC173" s="668"/>
      <c r="AD173" s="668"/>
      <c r="AE173" s="668"/>
      <c r="AF173" s="668">
        <v>1.0748065348237317</v>
      </c>
      <c r="AG173" s="668"/>
      <c r="AH173" s="668"/>
      <c r="AI173" s="668">
        <v>31.838158020445206</v>
      </c>
      <c r="AJ173" s="668"/>
      <c r="AK173" s="668"/>
      <c r="AL173" s="668">
        <v>43.040030572274766</v>
      </c>
      <c r="AM173" s="668">
        <v>0</v>
      </c>
      <c r="AN173" s="668"/>
      <c r="AO173" s="668"/>
      <c r="AP173" s="668"/>
      <c r="AQ173" s="668"/>
      <c r="AR173" s="668"/>
      <c r="AS173" s="668"/>
      <c r="AT173" s="666">
        <v>1.5047291487532244</v>
      </c>
      <c r="AU173" s="668">
        <v>1.5047291487532244</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1619.3990637240852</v>
      </c>
      <c r="I174" s="660">
        <v>101.48562147702302</v>
      </c>
      <c r="J174" s="662">
        <v>0</v>
      </c>
      <c r="K174" s="662">
        <v>0</v>
      </c>
      <c r="L174" s="662">
        <v>43.613260724180755</v>
      </c>
      <c r="M174" s="662">
        <v>0</v>
      </c>
      <c r="N174" s="662">
        <v>0</v>
      </c>
      <c r="O174" s="662">
        <v>0</v>
      </c>
      <c r="P174" s="662">
        <v>57.872360752842262</v>
      </c>
      <c r="Q174" s="662">
        <v>0</v>
      </c>
      <c r="R174" s="662">
        <v>0</v>
      </c>
      <c r="S174" s="662">
        <v>0</v>
      </c>
      <c r="T174" s="662">
        <v>0</v>
      </c>
      <c r="U174" s="662">
        <v>0</v>
      </c>
      <c r="V174" s="662">
        <v>0</v>
      </c>
      <c r="W174" s="660">
        <v>1624.7253272188782</v>
      </c>
      <c r="X174" s="662">
        <v>-23.597974586796596</v>
      </c>
      <c r="Y174" s="662">
        <v>0</v>
      </c>
      <c r="Z174" s="662">
        <v>48.485717015381674</v>
      </c>
      <c r="AA174" s="662">
        <v>0</v>
      </c>
      <c r="AB174" s="662"/>
      <c r="AC174" s="662">
        <v>-46.431642304385207</v>
      </c>
      <c r="AD174" s="662">
        <v>408.49813700200627</v>
      </c>
      <c r="AE174" s="662">
        <v>-63.867392758192409</v>
      </c>
      <c r="AF174" s="662">
        <v>39.672303429827075</v>
      </c>
      <c r="AG174" s="662">
        <v>35.659692366485139</v>
      </c>
      <c r="AH174" s="662">
        <v>0</v>
      </c>
      <c r="AI174" s="662">
        <v>-282.43527276201394</v>
      </c>
      <c r="AJ174" s="662">
        <v>516.76698194325024</v>
      </c>
      <c r="AK174" s="662">
        <v>1401.8821056654247</v>
      </c>
      <c r="AL174" s="662">
        <v>-116.843412630171</v>
      </c>
      <c r="AM174" s="662">
        <v>-288.5258431260151</v>
      </c>
      <c r="AN174" s="662">
        <v>0</v>
      </c>
      <c r="AO174" s="662">
        <v>5.0157638291774145</v>
      </c>
      <c r="AP174" s="662">
        <v>-4.6574949842361706</v>
      </c>
      <c r="AQ174" s="662">
        <v>14.211330849336008</v>
      </c>
      <c r="AR174" s="662">
        <v>0</v>
      </c>
      <c r="AS174" s="662">
        <v>-19.107671730199673</v>
      </c>
      <c r="AT174" s="660">
        <v>-103.92184962262348</v>
      </c>
      <c r="AU174" s="662">
        <v>-103.92184962262348</v>
      </c>
      <c r="AV174" s="662">
        <v>0</v>
      </c>
      <c r="AW174" s="662">
        <v>0</v>
      </c>
      <c r="AX174" s="662">
        <v>0</v>
      </c>
      <c r="AY174" s="662">
        <v>0</v>
      </c>
      <c r="AZ174" s="660">
        <v>0.19107671730199674</v>
      </c>
      <c r="BA174" s="662">
        <v>0</v>
      </c>
      <c r="BB174" s="662">
        <v>0</v>
      </c>
      <c r="BC174" s="662">
        <v>0</v>
      </c>
      <c r="BD174" s="662">
        <v>0</v>
      </c>
      <c r="BE174" s="662">
        <v>0</v>
      </c>
      <c r="BF174" s="662">
        <v>0</v>
      </c>
      <c r="BG174" s="662">
        <v>0</v>
      </c>
      <c r="BH174" s="662">
        <v>0</v>
      </c>
      <c r="BI174" s="662">
        <v>0</v>
      </c>
      <c r="BJ174" s="662">
        <v>0.31049966561574471</v>
      </c>
      <c r="BK174" s="662">
        <v>-0.11942294831374796</v>
      </c>
      <c r="BL174" s="662">
        <v>0</v>
      </c>
      <c r="BM174" s="662">
        <v>0</v>
      </c>
      <c r="BN174" s="662">
        <v>0</v>
      </c>
      <c r="BO174" s="660">
        <v>0</v>
      </c>
      <c r="BP174" s="662">
        <v>0</v>
      </c>
      <c r="BQ174" s="662">
        <v>0</v>
      </c>
      <c r="BR174" s="661">
        <v>0</v>
      </c>
      <c r="BS174" s="661">
        <v>0</v>
      </c>
      <c r="BT174" s="660">
        <v>-3.1049966561574469</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751"/>
      <c r="B179" s="751"/>
      <c r="C179" s="751" t="s">
        <v>962</v>
      </c>
      <c r="D179" s="751"/>
      <c r="E179" s="751"/>
      <c r="F179" s="708" t="s">
        <v>961</v>
      </c>
      <c r="G179" s="708"/>
      <c r="H179" s="708"/>
      <c r="I179" s="708"/>
      <c r="J179" s="708"/>
      <c r="K179" s="708"/>
      <c r="L179" s="708"/>
      <c r="M179" s="708"/>
      <c r="N179" s="708"/>
      <c r="O179" s="708"/>
      <c r="P179" s="708"/>
      <c r="Q179" s="708"/>
      <c r="R179" s="708"/>
      <c r="S179" s="708"/>
      <c r="T179" s="708"/>
      <c r="U179" s="708"/>
      <c r="V179" s="708"/>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08"/>
      <c r="BA179" s="751"/>
      <c r="BB179" s="751"/>
      <c r="BC179" s="751"/>
      <c r="BD179" s="751"/>
      <c r="BE179" s="751"/>
      <c r="BF179" s="751"/>
      <c r="BG179" s="751"/>
      <c r="BH179" s="751"/>
      <c r="BI179" s="751"/>
      <c r="BJ179" s="752">
        <v>8.0013375370211133</v>
      </c>
      <c r="BK179" s="752">
        <v>105.35492500238846</v>
      </c>
      <c r="BL179" s="751"/>
      <c r="BM179" s="751"/>
      <c r="BN179" s="751"/>
      <c r="BO179" s="751"/>
      <c r="BP179" s="751"/>
      <c r="BQ179" s="751"/>
      <c r="BR179" s="751"/>
      <c r="BS179" s="751"/>
      <c r="BT179" s="751"/>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BU179"/>
  <sheetViews>
    <sheetView zoomScaleNormal="100" workbookViewId="0">
      <pane xSplit="7" ySplit="2" topLeftCell="H3" activePane="bottomRight" state="frozen"/>
      <selection activeCell="D27" sqref="D27"/>
      <selection pane="topRight" activeCell="D27" sqref="D27"/>
      <selection pane="bottomLeft" activeCell="D27" sqref="D27"/>
      <selection pane="bottomRight" activeCell="D27" sqref="D27"/>
    </sheetView>
  </sheetViews>
  <sheetFormatPr defaultColWidth="8.44140625" defaultRowHeight="10.199999999999999"/>
  <cols>
    <col min="1" max="3" width="2" style="654" customWidth="1"/>
    <col min="4" max="4" width="2.44140625" style="654" customWidth="1"/>
    <col min="5" max="5" width="45.44140625" style="654" customWidth="1"/>
    <col min="6" max="6" width="7.21875" style="655" customWidth="1"/>
    <col min="7" max="7" width="0.44140625" style="655" customWidth="1"/>
    <col min="8" max="22" width="10.44140625" style="655" customWidth="1"/>
    <col min="23" max="45" width="10.44140625" style="654" customWidth="1"/>
    <col min="46" max="51" width="9.44140625" style="654" customWidth="1"/>
    <col min="52" max="52" width="10.44140625" style="655" customWidth="1"/>
    <col min="53" max="57" width="9.44140625" style="654" customWidth="1"/>
    <col min="58" max="256" width="8.44140625" style="654"/>
    <col min="257" max="259" width="2" style="654" customWidth="1"/>
    <col min="260" max="260" width="2.44140625" style="654" customWidth="1"/>
    <col min="261" max="261" width="45.44140625" style="654" customWidth="1"/>
    <col min="262" max="262" width="7.21875" style="654" customWidth="1"/>
    <col min="263" max="263" width="0.44140625" style="654" customWidth="1"/>
    <col min="264" max="301" width="10.44140625" style="654" customWidth="1"/>
    <col min="302" max="307" width="9.44140625" style="654" customWidth="1"/>
    <col min="308" max="308" width="10.44140625" style="654" customWidth="1"/>
    <col min="309" max="313" width="9.44140625" style="654" customWidth="1"/>
    <col min="314" max="512" width="8.44140625" style="654"/>
    <col min="513" max="515" width="2" style="654" customWidth="1"/>
    <col min="516" max="516" width="2.44140625" style="654" customWidth="1"/>
    <col min="517" max="517" width="45.44140625" style="654" customWidth="1"/>
    <col min="518" max="518" width="7.21875" style="654" customWidth="1"/>
    <col min="519" max="519" width="0.44140625" style="654" customWidth="1"/>
    <col min="520" max="557" width="10.44140625" style="654" customWidth="1"/>
    <col min="558" max="563" width="9.44140625" style="654" customWidth="1"/>
    <col min="564" max="564" width="10.44140625" style="654" customWidth="1"/>
    <col min="565" max="569" width="9.44140625" style="654" customWidth="1"/>
    <col min="570" max="768" width="8.44140625" style="654"/>
    <col min="769" max="771" width="2" style="654" customWidth="1"/>
    <col min="772" max="772" width="2.44140625" style="654" customWidth="1"/>
    <col min="773" max="773" width="45.44140625" style="654" customWidth="1"/>
    <col min="774" max="774" width="7.21875" style="654" customWidth="1"/>
    <col min="775" max="775" width="0.44140625" style="654" customWidth="1"/>
    <col min="776" max="813" width="10.44140625" style="654" customWidth="1"/>
    <col min="814" max="819" width="9.44140625" style="654" customWidth="1"/>
    <col min="820" max="820" width="10.44140625" style="654" customWidth="1"/>
    <col min="821" max="825" width="9.44140625" style="654" customWidth="1"/>
    <col min="826" max="1024" width="8.44140625" style="654"/>
    <col min="1025" max="1027" width="2" style="654" customWidth="1"/>
    <col min="1028" max="1028" width="2.44140625" style="654" customWidth="1"/>
    <col min="1029" max="1029" width="45.44140625" style="654" customWidth="1"/>
    <col min="1030" max="1030" width="7.21875" style="654" customWidth="1"/>
    <col min="1031" max="1031" width="0.44140625" style="654" customWidth="1"/>
    <col min="1032" max="1069" width="10.44140625" style="654" customWidth="1"/>
    <col min="1070" max="1075" width="9.44140625" style="654" customWidth="1"/>
    <col min="1076" max="1076" width="10.44140625" style="654" customWidth="1"/>
    <col min="1077" max="1081" width="9.44140625" style="654" customWidth="1"/>
    <col min="1082" max="1280" width="8.44140625" style="654"/>
    <col min="1281" max="1283" width="2" style="654" customWidth="1"/>
    <col min="1284" max="1284" width="2.44140625" style="654" customWidth="1"/>
    <col min="1285" max="1285" width="45.44140625" style="654" customWidth="1"/>
    <col min="1286" max="1286" width="7.21875" style="654" customWidth="1"/>
    <col min="1287" max="1287" width="0.44140625" style="654" customWidth="1"/>
    <col min="1288" max="1325" width="10.44140625" style="654" customWidth="1"/>
    <col min="1326" max="1331" width="9.44140625" style="654" customWidth="1"/>
    <col min="1332" max="1332" width="10.44140625" style="654" customWidth="1"/>
    <col min="1333" max="1337" width="9.44140625" style="654" customWidth="1"/>
    <col min="1338" max="1536" width="8.44140625" style="654"/>
    <col min="1537" max="1539" width="2" style="654" customWidth="1"/>
    <col min="1540" max="1540" width="2.44140625" style="654" customWidth="1"/>
    <col min="1541" max="1541" width="45.44140625" style="654" customWidth="1"/>
    <col min="1542" max="1542" width="7.21875" style="654" customWidth="1"/>
    <col min="1543" max="1543" width="0.44140625" style="654" customWidth="1"/>
    <col min="1544" max="1581" width="10.44140625" style="654" customWidth="1"/>
    <col min="1582" max="1587" width="9.44140625" style="654" customWidth="1"/>
    <col min="1588" max="1588" width="10.44140625" style="654" customWidth="1"/>
    <col min="1589" max="1593" width="9.44140625" style="654" customWidth="1"/>
    <col min="1594" max="1792" width="8.44140625" style="654"/>
    <col min="1793" max="1795" width="2" style="654" customWidth="1"/>
    <col min="1796" max="1796" width="2.44140625" style="654" customWidth="1"/>
    <col min="1797" max="1797" width="45.44140625" style="654" customWidth="1"/>
    <col min="1798" max="1798" width="7.21875" style="654" customWidth="1"/>
    <col min="1799" max="1799" width="0.44140625" style="654" customWidth="1"/>
    <col min="1800" max="1837" width="10.44140625" style="654" customWidth="1"/>
    <col min="1838" max="1843" width="9.44140625" style="654" customWidth="1"/>
    <col min="1844" max="1844" width="10.44140625" style="654" customWidth="1"/>
    <col min="1845" max="1849" width="9.44140625" style="654" customWidth="1"/>
    <col min="1850" max="2048" width="8.44140625" style="654"/>
    <col min="2049" max="2051" width="2" style="654" customWidth="1"/>
    <col min="2052" max="2052" width="2.44140625" style="654" customWidth="1"/>
    <col min="2053" max="2053" width="45.44140625" style="654" customWidth="1"/>
    <col min="2054" max="2054" width="7.21875" style="654" customWidth="1"/>
    <col min="2055" max="2055" width="0.44140625" style="654" customWidth="1"/>
    <col min="2056" max="2093" width="10.44140625" style="654" customWidth="1"/>
    <col min="2094" max="2099" width="9.44140625" style="654" customWidth="1"/>
    <col min="2100" max="2100" width="10.44140625" style="654" customWidth="1"/>
    <col min="2101" max="2105" width="9.44140625" style="654" customWidth="1"/>
    <col min="2106" max="2304" width="8.44140625" style="654"/>
    <col min="2305" max="2307" width="2" style="654" customWidth="1"/>
    <col min="2308" max="2308" width="2.44140625" style="654" customWidth="1"/>
    <col min="2309" max="2309" width="45.44140625" style="654" customWidth="1"/>
    <col min="2310" max="2310" width="7.21875" style="654" customWidth="1"/>
    <col min="2311" max="2311" width="0.44140625" style="654" customWidth="1"/>
    <col min="2312" max="2349" width="10.44140625" style="654" customWidth="1"/>
    <col min="2350" max="2355" width="9.44140625" style="654" customWidth="1"/>
    <col min="2356" max="2356" width="10.44140625" style="654" customWidth="1"/>
    <col min="2357" max="2361" width="9.44140625" style="654" customWidth="1"/>
    <col min="2362" max="2560" width="8.44140625" style="654"/>
    <col min="2561" max="2563" width="2" style="654" customWidth="1"/>
    <col min="2564" max="2564" width="2.44140625" style="654" customWidth="1"/>
    <col min="2565" max="2565" width="45.44140625" style="654" customWidth="1"/>
    <col min="2566" max="2566" width="7.21875" style="654" customWidth="1"/>
    <col min="2567" max="2567" width="0.44140625" style="654" customWidth="1"/>
    <col min="2568" max="2605" width="10.44140625" style="654" customWidth="1"/>
    <col min="2606" max="2611" width="9.44140625" style="654" customWidth="1"/>
    <col min="2612" max="2612" width="10.44140625" style="654" customWidth="1"/>
    <col min="2613" max="2617" width="9.44140625" style="654" customWidth="1"/>
    <col min="2618" max="2816" width="8.44140625" style="654"/>
    <col min="2817" max="2819" width="2" style="654" customWidth="1"/>
    <col min="2820" max="2820" width="2.44140625" style="654" customWidth="1"/>
    <col min="2821" max="2821" width="45.44140625" style="654" customWidth="1"/>
    <col min="2822" max="2822" width="7.21875" style="654" customWidth="1"/>
    <col min="2823" max="2823" width="0.44140625" style="654" customWidth="1"/>
    <col min="2824" max="2861" width="10.44140625" style="654" customWidth="1"/>
    <col min="2862" max="2867" width="9.44140625" style="654" customWidth="1"/>
    <col min="2868" max="2868" width="10.44140625" style="654" customWidth="1"/>
    <col min="2869" max="2873" width="9.44140625" style="654" customWidth="1"/>
    <col min="2874" max="3072" width="8.44140625" style="654"/>
    <col min="3073" max="3075" width="2" style="654" customWidth="1"/>
    <col min="3076" max="3076" width="2.44140625" style="654" customWidth="1"/>
    <col min="3077" max="3077" width="45.44140625" style="654" customWidth="1"/>
    <col min="3078" max="3078" width="7.21875" style="654" customWidth="1"/>
    <col min="3079" max="3079" width="0.44140625" style="654" customWidth="1"/>
    <col min="3080" max="3117" width="10.44140625" style="654" customWidth="1"/>
    <col min="3118" max="3123" width="9.44140625" style="654" customWidth="1"/>
    <col min="3124" max="3124" width="10.44140625" style="654" customWidth="1"/>
    <col min="3125" max="3129" width="9.44140625" style="654" customWidth="1"/>
    <col min="3130" max="3328" width="8.44140625" style="654"/>
    <col min="3329" max="3331" width="2" style="654" customWidth="1"/>
    <col min="3332" max="3332" width="2.44140625" style="654" customWidth="1"/>
    <col min="3333" max="3333" width="45.44140625" style="654" customWidth="1"/>
    <col min="3334" max="3334" width="7.21875" style="654" customWidth="1"/>
    <col min="3335" max="3335" width="0.44140625" style="654" customWidth="1"/>
    <col min="3336" max="3373" width="10.44140625" style="654" customWidth="1"/>
    <col min="3374" max="3379" width="9.44140625" style="654" customWidth="1"/>
    <col min="3380" max="3380" width="10.44140625" style="654" customWidth="1"/>
    <col min="3381" max="3385" width="9.44140625" style="654" customWidth="1"/>
    <col min="3386" max="3584" width="8.44140625" style="654"/>
    <col min="3585" max="3587" width="2" style="654" customWidth="1"/>
    <col min="3588" max="3588" width="2.44140625" style="654" customWidth="1"/>
    <col min="3589" max="3589" width="45.44140625" style="654" customWidth="1"/>
    <col min="3590" max="3590" width="7.21875" style="654" customWidth="1"/>
    <col min="3591" max="3591" width="0.44140625" style="654" customWidth="1"/>
    <col min="3592" max="3629" width="10.44140625" style="654" customWidth="1"/>
    <col min="3630" max="3635" width="9.44140625" style="654" customWidth="1"/>
    <col min="3636" max="3636" width="10.44140625" style="654" customWidth="1"/>
    <col min="3637" max="3641" width="9.44140625" style="654" customWidth="1"/>
    <col min="3642" max="3840" width="8.44140625" style="654"/>
    <col min="3841" max="3843" width="2" style="654" customWidth="1"/>
    <col min="3844" max="3844" width="2.44140625" style="654" customWidth="1"/>
    <col min="3845" max="3845" width="45.44140625" style="654" customWidth="1"/>
    <col min="3846" max="3846" width="7.21875" style="654" customWidth="1"/>
    <col min="3847" max="3847" width="0.44140625" style="654" customWidth="1"/>
    <col min="3848" max="3885" width="10.44140625" style="654" customWidth="1"/>
    <col min="3886" max="3891" width="9.44140625" style="654" customWidth="1"/>
    <col min="3892" max="3892" width="10.44140625" style="654" customWidth="1"/>
    <col min="3893" max="3897" width="9.44140625" style="654" customWidth="1"/>
    <col min="3898" max="4096" width="8.44140625" style="654"/>
    <col min="4097" max="4099" width="2" style="654" customWidth="1"/>
    <col min="4100" max="4100" width="2.44140625" style="654" customWidth="1"/>
    <col min="4101" max="4101" width="45.44140625" style="654" customWidth="1"/>
    <col min="4102" max="4102" width="7.21875" style="654" customWidth="1"/>
    <col min="4103" max="4103" width="0.44140625" style="654" customWidth="1"/>
    <col min="4104" max="4141" width="10.44140625" style="654" customWidth="1"/>
    <col min="4142" max="4147" width="9.44140625" style="654" customWidth="1"/>
    <col min="4148" max="4148" width="10.44140625" style="654" customWidth="1"/>
    <col min="4149" max="4153" width="9.44140625" style="654" customWidth="1"/>
    <col min="4154" max="4352" width="8.44140625" style="654"/>
    <col min="4353" max="4355" width="2" style="654" customWidth="1"/>
    <col min="4356" max="4356" width="2.44140625" style="654" customWidth="1"/>
    <col min="4357" max="4357" width="45.44140625" style="654" customWidth="1"/>
    <col min="4358" max="4358" width="7.21875" style="654" customWidth="1"/>
    <col min="4359" max="4359" width="0.44140625" style="654" customWidth="1"/>
    <col min="4360" max="4397" width="10.44140625" style="654" customWidth="1"/>
    <col min="4398" max="4403" width="9.44140625" style="654" customWidth="1"/>
    <col min="4404" max="4404" width="10.44140625" style="654" customWidth="1"/>
    <col min="4405" max="4409" width="9.44140625" style="654" customWidth="1"/>
    <col min="4410" max="4608" width="8.44140625" style="654"/>
    <col min="4609" max="4611" width="2" style="654" customWidth="1"/>
    <col min="4612" max="4612" width="2.44140625" style="654" customWidth="1"/>
    <col min="4613" max="4613" width="45.44140625" style="654" customWidth="1"/>
    <col min="4614" max="4614" width="7.21875" style="654" customWidth="1"/>
    <col min="4615" max="4615" width="0.44140625" style="654" customWidth="1"/>
    <col min="4616" max="4653" width="10.44140625" style="654" customWidth="1"/>
    <col min="4654" max="4659" width="9.44140625" style="654" customWidth="1"/>
    <col min="4660" max="4660" width="10.44140625" style="654" customWidth="1"/>
    <col min="4661" max="4665" width="9.44140625" style="654" customWidth="1"/>
    <col min="4666" max="4864" width="8.44140625" style="654"/>
    <col min="4865" max="4867" width="2" style="654" customWidth="1"/>
    <col min="4868" max="4868" width="2.44140625" style="654" customWidth="1"/>
    <col min="4869" max="4869" width="45.44140625" style="654" customWidth="1"/>
    <col min="4870" max="4870" width="7.21875" style="654" customWidth="1"/>
    <col min="4871" max="4871" width="0.44140625" style="654" customWidth="1"/>
    <col min="4872" max="4909" width="10.44140625" style="654" customWidth="1"/>
    <col min="4910" max="4915" width="9.44140625" style="654" customWidth="1"/>
    <col min="4916" max="4916" width="10.44140625" style="654" customWidth="1"/>
    <col min="4917" max="4921" width="9.44140625" style="654" customWidth="1"/>
    <col min="4922" max="5120" width="8.44140625" style="654"/>
    <col min="5121" max="5123" width="2" style="654" customWidth="1"/>
    <col min="5124" max="5124" width="2.44140625" style="654" customWidth="1"/>
    <col min="5125" max="5125" width="45.44140625" style="654" customWidth="1"/>
    <col min="5126" max="5126" width="7.21875" style="654" customWidth="1"/>
    <col min="5127" max="5127" width="0.44140625" style="654" customWidth="1"/>
    <col min="5128" max="5165" width="10.44140625" style="654" customWidth="1"/>
    <col min="5166" max="5171" width="9.44140625" style="654" customWidth="1"/>
    <col min="5172" max="5172" width="10.44140625" style="654" customWidth="1"/>
    <col min="5173" max="5177" width="9.44140625" style="654" customWidth="1"/>
    <col min="5178" max="5376" width="8.44140625" style="654"/>
    <col min="5377" max="5379" width="2" style="654" customWidth="1"/>
    <col min="5380" max="5380" width="2.44140625" style="654" customWidth="1"/>
    <col min="5381" max="5381" width="45.44140625" style="654" customWidth="1"/>
    <col min="5382" max="5382" width="7.21875" style="654" customWidth="1"/>
    <col min="5383" max="5383" width="0.44140625" style="654" customWidth="1"/>
    <col min="5384" max="5421" width="10.44140625" style="654" customWidth="1"/>
    <col min="5422" max="5427" width="9.44140625" style="654" customWidth="1"/>
    <col min="5428" max="5428" width="10.44140625" style="654" customWidth="1"/>
    <col min="5429" max="5433" width="9.44140625" style="654" customWidth="1"/>
    <col min="5434" max="5632" width="8.44140625" style="654"/>
    <col min="5633" max="5635" width="2" style="654" customWidth="1"/>
    <col min="5636" max="5636" width="2.44140625" style="654" customWidth="1"/>
    <col min="5637" max="5637" width="45.44140625" style="654" customWidth="1"/>
    <col min="5638" max="5638" width="7.21875" style="654" customWidth="1"/>
    <col min="5639" max="5639" width="0.44140625" style="654" customWidth="1"/>
    <col min="5640" max="5677" width="10.44140625" style="654" customWidth="1"/>
    <col min="5678" max="5683" width="9.44140625" style="654" customWidth="1"/>
    <col min="5684" max="5684" width="10.44140625" style="654" customWidth="1"/>
    <col min="5685" max="5689" width="9.44140625" style="654" customWidth="1"/>
    <col min="5690" max="5888" width="8.44140625" style="654"/>
    <col min="5889" max="5891" width="2" style="654" customWidth="1"/>
    <col min="5892" max="5892" width="2.44140625" style="654" customWidth="1"/>
    <col min="5893" max="5893" width="45.44140625" style="654" customWidth="1"/>
    <col min="5894" max="5894" width="7.21875" style="654" customWidth="1"/>
    <col min="5895" max="5895" width="0.44140625" style="654" customWidth="1"/>
    <col min="5896" max="5933" width="10.44140625" style="654" customWidth="1"/>
    <col min="5934" max="5939" width="9.44140625" style="654" customWidth="1"/>
    <col min="5940" max="5940" width="10.44140625" style="654" customWidth="1"/>
    <col min="5941" max="5945" width="9.44140625" style="654" customWidth="1"/>
    <col min="5946" max="6144" width="8.44140625" style="654"/>
    <col min="6145" max="6147" width="2" style="654" customWidth="1"/>
    <col min="6148" max="6148" width="2.44140625" style="654" customWidth="1"/>
    <col min="6149" max="6149" width="45.44140625" style="654" customWidth="1"/>
    <col min="6150" max="6150" width="7.21875" style="654" customWidth="1"/>
    <col min="6151" max="6151" width="0.44140625" style="654" customWidth="1"/>
    <col min="6152" max="6189" width="10.44140625" style="654" customWidth="1"/>
    <col min="6190" max="6195" width="9.44140625" style="654" customWidth="1"/>
    <col min="6196" max="6196" width="10.44140625" style="654" customWidth="1"/>
    <col min="6197" max="6201" width="9.44140625" style="654" customWidth="1"/>
    <col min="6202" max="6400" width="8.44140625" style="654"/>
    <col min="6401" max="6403" width="2" style="654" customWidth="1"/>
    <col min="6404" max="6404" width="2.44140625" style="654" customWidth="1"/>
    <col min="6405" max="6405" width="45.44140625" style="654" customWidth="1"/>
    <col min="6406" max="6406" width="7.21875" style="654" customWidth="1"/>
    <col min="6407" max="6407" width="0.44140625" style="654" customWidth="1"/>
    <col min="6408" max="6445" width="10.44140625" style="654" customWidth="1"/>
    <col min="6446" max="6451" width="9.44140625" style="654" customWidth="1"/>
    <col min="6452" max="6452" width="10.44140625" style="654" customWidth="1"/>
    <col min="6453" max="6457" width="9.44140625" style="654" customWidth="1"/>
    <col min="6458" max="6656" width="8.44140625" style="654"/>
    <col min="6657" max="6659" width="2" style="654" customWidth="1"/>
    <col min="6660" max="6660" width="2.44140625" style="654" customWidth="1"/>
    <col min="6661" max="6661" width="45.44140625" style="654" customWidth="1"/>
    <col min="6662" max="6662" width="7.21875" style="654" customWidth="1"/>
    <col min="6663" max="6663" width="0.44140625" style="654" customWidth="1"/>
    <col min="6664" max="6701" width="10.44140625" style="654" customWidth="1"/>
    <col min="6702" max="6707" width="9.44140625" style="654" customWidth="1"/>
    <col min="6708" max="6708" width="10.44140625" style="654" customWidth="1"/>
    <col min="6709" max="6713" width="9.44140625" style="654" customWidth="1"/>
    <col min="6714" max="6912" width="8.44140625" style="654"/>
    <col min="6913" max="6915" width="2" style="654" customWidth="1"/>
    <col min="6916" max="6916" width="2.44140625" style="654" customWidth="1"/>
    <col min="6917" max="6917" width="45.44140625" style="654" customWidth="1"/>
    <col min="6918" max="6918" width="7.21875" style="654" customWidth="1"/>
    <col min="6919" max="6919" width="0.44140625" style="654" customWidth="1"/>
    <col min="6920" max="6957" width="10.44140625" style="654" customWidth="1"/>
    <col min="6958" max="6963" width="9.44140625" style="654" customWidth="1"/>
    <col min="6964" max="6964" width="10.44140625" style="654" customWidth="1"/>
    <col min="6965" max="6969" width="9.44140625" style="654" customWidth="1"/>
    <col min="6970" max="7168" width="8.44140625" style="654"/>
    <col min="7169" max="7171" width="2" style="654" customWidth="1"/>
    <col min="7172" max="7172" width="2.44140625" style="654" customWidth="1"/>
    <col min="7173" max="7173" width="45.44140625" style="654" customWidth="1"/>
    <col min="7174" max="7174" width="7.21875" style="654" customWidth="1"/>
    <col min="7175" max="7175" width="0.44140625" style="654" customWidth="1"/>
    <col min="7176" max="7213" width="10.44140625" style="654" customWidth="1"/>
    <col min="7214" max="7219" width="9.44140625" style="654" customWidth="1"/>
    <col min="7220" max="7220" width="10.44140625" style="654" customWidth="1"/>
    <col min="7221" max="7225" width="9.44140625" style="654" customWidth="1"/>
    <col min="7226" max="7424" width="8.44140625" style="654"/>
    <col min="7425" max="7427" width="2" style="654" customWidth="1"/>
    <col min="7428" max="7428" width="2.44140625" style="654" customWidth="1"/>
    <col min="7429" max="7429" width="45.44140625" style="654" customWidth="1"/>
    <col min="7430" max="7430" width="7.21875" style="654" customWidth="1"/>
    <col min="7431" max="7431" width="0.44140625" style="654" customWidth="1"/>
    <col min="7432" max="7469" width="10.44140625" style="654" customWidth="1"/>
    <col min="7470" max="7475" width="9.44140625" style="654" customWidth="1"/>
    <col min="7476" max="7476" width="10.44140625" style="654" customWidth="1"/>
    <col min="7477" max="7481" width="9.44140625" style="654" customWidth="1"/>
    <col min="7482" max="7680" width="8.44140625" style="654"/>
    <col min="7681" max="7683" width="2" style="654" customWidth="1"/>
    <col min="7684" max="7684" width="2.44140625" style="654" customWidth="1"/>
    <col min="7685" max="7685" width="45.44140625" style="654" customWidth="1"/>
    <col min="7686" max="7686" width="7.21875" style="654" customWidth="1"/>
    <col min="7687" max="7687" width="0.44140625" style="654" customWidth="1"/>
    <col min="7688" max="7725" width="10.44140625" style="654" customWidth="1"/>
    <col min="7726" max="7731" width="9.44140625" style="654" customWidth="1"/>
    <col min="7732" max="7732" width="10.44140625" style="654" customWidth="1"/>
    <col min="7733" max="7737" width="9.44140625" style="654" customWidth="1"/>
    <col min="7738" max="7936" width="8.44140625" style="654"/>
    <col min="7937" max="7939" width="2" style="654" customWidth="1"/>
    <col min="7940" max="7940" width="2.44140625" style="654" customWidth="1"/>
    <col min="7941" max="7941" width="45.44140625" style="654" customWidth="1"/>
    <col min="7942" max="7942" width="7.21875" style="654" customWidth="1"/>
    <col min="7943" max="7943" width="0.44140625" style="654" customWidth="1"/>
    <col min="7944" max="7981" width="10.44140625" style="654" customWidth="1"/>
    <col min="7982" max="7987" width="9.44140625" style="654" customWidth="1"/>
    <col min="7988" max="7988" width="10.44140625" style="654" customWidth="1"/>
    <col min="7989" max="7993" width="9.44140625" style="654" customWidth="1"/>
    <col min="7994" max="8192" width="8.44140625" style="654"/>
    <col min="8193" max="8195" width="2" style="654" customWidth="1"/>
    <col min="8196" max="8196" width="2.44140625" style="654" customWidth="1"/>
    <col min="8197" max="8197" width="45.44140625" style="654" customWidth="1"/>
    <col min="8198" max="8198" width="7.21875" style="654" customWidth="1"/>
    <col min="8199" max="8199" width="0.44140625" style="654" customWidth="1"/>
    <col min="8200" max="8237" width="10.44140625" style="654" customWidth="1"/>
    <col min="8238" max="8243" width="9.44140625" style="654" customWidth="1"/>
    <col min="8244" max="8244" width="10.44140625" style="654" customWidth="1"/>
    <col min="8245" max="8249" width="9.44140625" style="654" customWidth="1"/>
    <col min="8250" max="8448" width="8.44140625" style="654"/>
    <col min="8449" max="8451" width="2" style="654" customWidth="1"/>
    <col min="8452" max="8452" width="2.44140625" style="654" customWidth="1"/>
    <col min="8453" max="8453" width="45.44140625" style="654" customWidth="1"/>
    <col min="8454" max="8454" width="7.21875" style="654" customWidth="1"/>
    <col min="8455" max="8455" width="0.44140625" style="654" customWidth="1"/>
    <col min="8456" max="8493" width="10.44140625" style="654" customWidth="1"/>
    <col min="8494" max="8499" width="9.44140625" style="654" customWidth="1"/>
    <col min="8500" max="8500" width="10.44140625" style="654" customWidth="1"/>
    <col min="8501" max="8505" width="9.44140625" style="654" customWidth="1"/>
    <col min="8506" max="8704" width="8.44140625" style="654"/>
    <col min="8705" max="8707" width="2" style="654" customWidth="1"/>
    <col min="8708" max="8708" width="2.44140625" style="654" customWidth="1"/>
    <col min="8709" max="8709" width="45.44140625" style="654" customWidth="1"/>
    <col min="8710" max="8710" width="7.21875" style="654" customWidth="1"/>
    <col min="8711" max="8711" width="0.44140625" style="654" customWidth="1"/>
    <col min="8712" max="8749" width="10.44140625" style="654" customWidth="1"/>
    <col min="8750" max="8755" width="9.44140625" style="654" customWidth="1"/>
    <col min="8756" max="8756" width="10.44140625" style="654" customWidth="1"/>
    <col min="8757" max="8761" width="9.44140625" style="654" customWidth="1"/>
    <col min="8762" max="8960" width="8.44140625" style="654"/>
    <col min="8961" max="8963" width="2" style="654" customWidth="1"/>
    <col min="8964" max="8964" width="2.44140625" style="654" customWidth="1"/>
    <col min="8965" max="8965" width="45.44140625" style="654" customWidth="1"/>
    <col min="8966" max="8966" width="7.21875" style="654" customWidth="1"/>
    <col min="8967" max="8967" width="0.44140625" style="654" customWidth="1"/>
    <col min="8968" max="9005" width="10.44140625" style="654" customWidth="1"/>
    <col min="9006" max="9011" width="9.44140625" style="654" customWidth="1"/>
    <col min="9012" max="9012" width="10.44140625" style="654" customWidth="1"/>
    <col min="9013" max="9017" width="9.44140625" style="654" customWidth="1"/>
    <col min="9018" max="9216" width="8.44140625" style="654"/>
    <col min="9217" max="9219" width="2" style="654" customWidth="1"/>
    <col min="9220" max="9220" width="2.44140625" style="654" customWidth="1"/>
    <col min="9221" max="9221" width="45.44140625" style="654" customWidth="1"/>
    <col min="9222" max="9222" width="7.21875" style="654" customWidth="1"/>
    <col min="9223" max="9223" width="0.44140625" style="654" customWidth="1"/>
    <col min="9224" max="9261" width="10.44140625" style="654" customWidth="1"/>
    <col min="9262" max="9267" width="9.44140625" style="654" customWidth="1"/>
    <col min="9268" max="9268" width="10.44140625" style="654" customWidth="1"/>
    <col min="9269" max="9273" width="9.44140625" style="654" customWidth="1"/>
    <col min="9274" max="9472" width="8.44140625" style="654"/>
    <col min="9473" max="9475" width="2" style="654" customWidth="1"/>
    <col min="9476" max="9476" width="2.44140625" style="654" customWidth="1"/>
    <col min="9477" max="9477" width="45.44140625" style="654" customWidth="1"/>
    <col min="9478" max="9478" width="7.21875" style="654" customWidth="1"/>
    <col min="9479" max="9479" width="0.44140625" style="654" customWidth="1"/>
    <col min="9480" max="9517" width="10.44140625" style="654" customWidth="1"/>
    <col min="9518" max="9523" width="9.44140625" style="654" customWidth="1"/>
    <col min="9524" max="9524" width="10.44140625" style="654" customWidth="1"/>
    <col min="9525" max="9529" width="9.44140625" style="654" customWidth="1"/>
    <col min="9530" max="9728" width="8.44140625" style="654"/>
    <col min="9729" max="9731" width="2" style="654" customWidth="1"/>
    <col min="9732" max="9732" width="2.44140625" style="654" customWidth="1"/>
    <col min="9733" max="9733" width="45.44140625" style="654" customWidth="1"/>
    <col min="9734" max="9734" width="7.21875" style="654" customWidth="1"/>
    <col min="9735" max="9735" width="0.44140625" style="654" customWidth="1"/>
    <col min="9736" max="9773" width="10.44140625" style="654" customWidth="1"/>
    <col min="9774" max="9779" width="9.44140625" style="654" customWidth="1"/>
    <col min="9780" max="9780" width="10.44140625" style="654" customWidth="1"/>
    <col min="9781" max="9785" width="9.44140625" style="654" customWidth="1"/>
    <col min="9786" max="9984" width="8.44140625" style="654"/>
    <col min="9985" max="9987" width="2" style="654" customWidth="1"/>
    <col min="9988" max="9988" width="2.44140625" style="654" customWidth="1"/>
    <col min="9989" max="9989" width="45.44140625" style="654" customWidth="1"/>
    <col min="9990" max="9990" width="7.21875" style="654" customWidth="1"/>
    <col min="9991" max="9991" width="0.44140625" style="654" customWidth="1"/>
    <col min="9992" max="10029" width="10.44140625" style="654" customWidth="1"/>
    <col min="10030" max="10035" width="9.44140625" style="654" customWidth="1"/>
    <col min="10036" max="10036" width="10.44140625" style="654" customWidth="1"/>
    <col min="10037" max="10041" width="9.44140625" style="654" customWidth="1"/>
    <col min="10042" max="10240" width="8.44140625" style="654"/>
    <col min="10241" max="10243" width="2" style="654" customWidth="1"/>
    <col min="10244" max="10244" width="2.44140625" style="654" customWidth="1"/>
    <col min="10245" max="10245" width="45.44140625" style="654" customWidth="1"/>
    <col min="10246" max="10246" width="7.21875" style="654" customWidth="1"/>
    <col min="10247" max="10247" width="0.44140625" style="654" customWidth="1"/>
    <col min="10248" max="10285" width="10.44140625" style="654" customWidth="1"/>
    <col min="10286" max="10291" width="9.44140625" style="654" customWidth="1"/>
    <col min="10292" max="10292" width="10.44140625" style="654" customWidth="1"/>
    <col min="10293" max="10297" width="9.44140625" style="654" customWidth="1"/>
    <col min="10298" max="10496" width="8.44140625" style="654"/>
    <col min="10497" max="10499" width="2" style="654" customWidth="1"/>
    <col min="10500" max="10500" width="2.44140625" style="654" customWidth="1"/>
    <col min="10501" max="10501" width="45.44140625" style="654" customWidth="1"/>
    <col min="10502" max="10502" width="7.21875" style="654" customWidth="1"/>
    <col min="10503" max="10503" width="0.44140625" style="654" customWidth="1"/>
    <col min="10504" max="10541" width="10.44140625" style="654" customWidth="1"/>
    <col min="10542" max="10547" width="9.44140625" style="654" customWidth="1"/>
    <col min="10548" max="10548" width="10.44140625" style="654" customWidth="1"/>
    <col min="10549" max="10553" width="9.44140625" style="654" customWidth="1"/>
    <col min="10554" max="10752" width="8.44140625" style="654"/>
    <col min="10753" max="10755" width="2" style="654" customWidth="1"/>
    <col min="10756" max="10756" width="2.44140625" style="654" customWidth="1"/>
    <col min="10757" max="10757" width="45.44140625" style="654" customWidth="1"/>
    <col min="10758" max="10758" width="7.21875" style="654" customWidth="1"/>
    <col min="10759" max="10759" width="0.44140625" style="654" customWidth="1"/>
    <col min="10760" max="10797" width="10.44140625" style="654" customWidth="1"/>
    <col min="10798" max="10803" width="9.44140625" style="654" customWidth="1"/>
    <col min="10804" max="10804" width="10.44140625" style="654" customWidth="1"/>
    <col min="10805" max="10809" width="9.44140625" style="654" customWidth="1"/>
    <col min="10810" max="11008" width="8.44140625" style="654"/>
    <col min="11009" max="11011" width="2" style="654" customWidth="1"/>
    <col min="11012" max="11012" width="2.44140625" style="654" customWidth="1"/>
    <col min="11013" max="11013" width="45.44140625" style="654" customWidth="1"/>
    <col min="11014" max="11014" width="7.21875" style="654" customWidth="1"/>
    <col min="11015" max="11015" width="0.44140625" style="654" customWidth="1"/>
    <col min="11016" max="11053" width="10.44140625" style="654" customWidth="1"/>
    <col min="11054" max="11059" width="9.44140625" style="654" customWidth="1"/>
    <col min="11060" max="11060" width="10.44140625" style="654" customWidth="1"/>
    <col min="11061" max="11065" width="9.44140625" style="654" customWidth="1"/>
    <col min="11066" max="11264" width="8.44140625" style="654"/>
    <col min="11265" max="11267" width="2" style="654" customWidth="1"/>
    <col min="11268" max="11268" width="2.44140625" style="654" customWidth="1"/>
    <col min="11269" max="11269" width="45.44140625" style="654" customWidth="1"/>
    <col min="11270" max="11270" width="7.21875" style="654" customWidth="1"/>
    <col min="11271" max="11271" width="0.44140625" style="654" customWidth="1"/>
    <col min="11272" max="11309" width="10.44140625" style="654" customWidth="1"/>
    <col min="11310" max="11315" width="9.44140625" style="654" customWidth="1"/>
    <col min="11316" max="11316" width="10.44140625" style="654" customWidth="1"/>
    <col min="11317" max="11321" width="9.44140625" style="654" customWidth="1"/>
    <col min="11322" max="11520" width="8.44140625" style="654"/>
    <col min="11521" max="11523" width="2" style="654" customWidth="1"/>
    <col min="11524" max="11524" width="2.44140625" style="654" customWidth="1"/>
    <col min="11525" max="11525" width="45.44140625" style="654" customWidth="1"/>
    <col min="11526" max="11526" width="7.21875" style="654" customWidth="1"/>
    <col min="11527" max="11527" width="0.44140625" style="654" customWidth="1"/>
    <col min="11528" max="11565" width="10.44140625" style="654" customWidth="1"/>
    <col min="11566" max="11571" width="9.44140625" style="654" customWidth="1"/>
    <col min="11572" max="11572" width="10.44140625" style="654" customWidth="1"/>
    <col min="11573" max="11577" width="9.44140625" style="654" customWidth="1"/>
    <col min="11578" max="11776" width="8.44140625" style="654"/>
    <col min="11777" max="11779" width="2" style="654" customWidth="1"/>
    <col min="11780" max="11780" width="2.44140625" style="654" customWidth="1"/>
    <col min="11781" max="11781" width="45.44140625" style="654" customWidth="1"/>
    <col min="11782" max="11782" width="7.21875" style="654" customWidth="1"/>
    <col min="11783" max="11783" width="0.44140625" style="654" customWidth="1"/>
    <col min="11784" max="11821" width="10.44140625" style="654" customWidth="1"/>
    <col min="11822" max="11827" width="9.44140625" style="654" customWidth="1"/>
    <col min="11828" max="11828" width="10.44140625" style="654" customWidth="1"/>
    <col min="11829" max="11833" width="9.44140625" style="654" customWidth="1"/>
    <col min="11834" max="12032" width="8.44140625" style="654"/>
    <col min="12033" max="12035" width="2" style="654" customWidth="1"/>
    <col min="12036" max="12036" width="2.44140625" style="654" customWidth="1"/>
    <col min="12037" max="12037" width="45.44140625" style="654" customWidth="1"/>
    <col min="12038" max="12038" width="7.21875" style="654" customWidth="1"/>
    <col min="12039" max="12039" width="0.44140625" style="654" customWidth="1"/>
    <col min="12040" max="12077" width="10.44140625" style="654" customWidth="1"/>
    <col min="12078" max="12083" width="9.44140625" style="654" customWidth="1"/>
    <col min="12084" max="12084" width="10.44140625" style="654" customWidth="1"/>
    <col min="12085" max="12089" width="9.44140625" style="654" customWidth="1"/>
    <col min="12090" max="12288" width="8.44140625" style="654"/>
    <col min="12289" max="12291" width="2" style="654" customWidth="1"/>
    <col min="12292" max="12292" width="2.44140625" style="654" customWidth="1"/>
    <col min="12293" max="12293" width="45.44140625" style="654" customWidth="1"/>
    <col min="12294" max="12294" width="7.21875" style="654" customWidth="1"/>
    <col min="12295" max="12295" width="0.44140625" style="654" customWidth="1"/>
    <col min="12296" max="12333" width="10.44140625" style="654" customWidth="1"/>
    <col min="12334" max="12339" width="9.44140625" style="654" customWidth="1"/>
    <col min="12340" max="12340" width="10.44140625" style="654" customWidth="1"/>
    <col min="12341" max="12345" width="9.44140625" style="654" customWidth="1"/>
    <col min="12346" max="12544" width="8.44140625" style="654"/>
    <col min="12545" max="12547" width="2" style="654" customWidth="1"/>
    <col min="12548" max="12548" width="2.44140625" style="654" customWidth="1"/>
    <col min="12549" max="12549" width="45.44140625" style="654" customWidth="1"/>
    <col min="12550" max="12550" width="7.21875" style="654" customWidth="1"/>
    <col min="12551" max="12551" width="0.44140625" style="654" customWidth="1"/>
    <col min="12552" max="12589" width="10.44140625" style="654" customWidth="1"/>
    <col min="12590" max="12595" width="9.44140625" style="654" customWidth="1"/>
    <col min="12596" max="12596" width="10.44140625" style="654" customWidth="1"/>
    <col min="12597" max="12601" width="9.44140625" style="654" customWidth="1"/>
    <col min="12602" max="12800" width="8.44140625" style="654"/>
    <col min="12801" max="12803" width="2" style="654" customWidth="1"/>
    <col min="12804" max="12804" width="2.44140625" style="654" customWidth="1"/>
    <col min="12805" max="12805" width="45.44140625" style="654" customWidth="1"/>
    <col min="12806" max="12806" width="7.21875" style="654" customWidth="1"/>
    <col min="12807" max="12807" width="0.44140625" style="654" customWidth="1"/>
    <col min="12808" max="12845" width="10.44140625" style="654" customWidth="1"/>
    <col min="12846" max="12851" width="9.44140625" style="654" customWidth="1"/>
    <col min="12852" max="12852" width="10.44140625" style="654" customWidth="1"/>
    <col min="12853" max="12857" width="9.44140625" style="654" customWidth="1"/>
    <col min="12858" max="13056" width="8.44140625" style="654"/>
    <col min="13057" max="13059" width="2" style="654" customWidth="1"/>
    <col min="13060" max="13060" width="2.44140625" style="654" customWidth="1"/>
    <col min="13061" max="13061" width="45.44140625" style="654" customWidth="1"/>
    <col min="13062" max="13062" width="7.21875" style="654" customWidth="1"/>
    <col min="13063" max="13063" width="0.44140625" style="654" customWidth="1"/>
    <col min="13064" max="13101" width="10.44140625" style="654" customWidth="1"/>
    <col min="13102" max="13107" width="9.44140625" style="654" customWidth="1"/>
    <col min="13108" max="13108" width="10.44140625" style="654" customWidth="1"/>
    <col min="13109" max="13113" width="9.44140625" style="654" customWidth="1"/>
    <col min="13114" max="13312" width="8.44140625" style="654"/>
    <col min="13313" max="13315" width="2" style="654" customWidth="1"/>
    <col min="13316" max="13316" width="2.44140625" style="654" customWidth="1"/>
    <col min="13317" max="13317" width="45.44140625" style="654" customWidth="1"/>
    <col min="13318" max="13318" width="7.21875" style="654" customWidth="1"/>
    <col min="13319" max="13319" width="0.44140625" style="654" customWidth="1"/>
    <col min="13320" max="13357" width="10.44140625" style="654" customWidth="1"/>
    <col min="13358" max="13363" width="9.44140625" style="654" customWidth="1"/>
    <col min="13364" max="13364" width="10.44140625" style="654" customWidth="1"/>
    <col min="13365" max="13369" width="9.44140625" style="654" customWidth="1"/>
    <col min="13370" max="13568" width="8.44140625" style="654"/>
    <col min="13569" max="13571" width="2" style="654" customWidth="1"/>
    <col min="13572" max="13572" width="2.44140625" style="654" customWidth="1"/>
    <col min="13573" max="13573" width="45.44140625" style="654" customWidth="1"/>
    <col min="13574" max="13574" width="7.21875" style="654" customWidth="1"/>
    <col min="13575" max="13575" width="0.44140625" style="654" customWidth="1"/>
    <col min="13576" max="13613" width="10.44140625" style="654" customWidth="1"/>
    <col min="13614" max="13619" width="9.44140625" style="654" customWidth="1"/>
    <col min="13620" max="13620" width="10.44140625" style="654" customWidth="1"/>
    <col min="13621" max="13625" width="9.44140625" style="654" customWidth="1"/>
    <col min="13626" max="13824" width="8.44140625" style="654"/>
    <col min="13825" max="13827" width="2" style="654" customWidth="1"/>
    <col min="13828" max="13828" width="2.44140625" style="654" customWidth="1"/>
    <col min="13829" max="13829" width="45.44140625" style="654" customWidth="1"/>
    <col min="13830" max="13830" width="7.21875" style="654" customWidth="1"/>
    <col min="13831" max="13831" width="0.44140625" style="654" customWidth="1"/>
    <col min="13832" max="13869" width="10.44140625" style="654" customWidth="1"/>
    <col min="13870" max="13875" width="9.44140625" style="654" customWidth="1"/>
    <col min="13876" max="13876" width="10.44140625" style="654" customWidth="1"/>
    <col min="13877" max="13881" width="9.44140625" style="654" customWidth="1"/>
    <col min="13882" max="14080" width="8.44140625" style="654"/>
    <col min="14081" max="14083" width="2" style="654" customWidth="1"/>
    <col min="14084" max="14084" width="2.44140625" style="654" customWidth="1"/>
    <col min="14085" max="14085" width="45.44140625" style="654" customWidth="1"/>
    <col min="14086" max="14086" width="7.21875" style="654" customWidth="1"/>
    <col min="14087" max="14087" width="0.44140625" style="654" customWidth="1"/>
    <col min="14088" max="14125" width="10.44140625" style="654" customWidth="1"/>
    <col min="14126" max="14131" width="9.44140625" style="654" customWidth="1"/>
    <col min="14132" max="14132" width="10.44140625" style="654" customWidth="1"/>
    <col min="14133" max="14137" width="9.44140625" style="654" customWidth="1"/>
    <col min="14138" max="14336" width="8.44140625" style="654"/>
    <col min="14337" max="14339" width="2" style="654" customWidth="1"/>
    <col min="14340" max="14340" width="2.44140625" style="654" customWidth="1"/>
    <col min="14341" max="14341" width="45.44140625" style="654" customWidth="1"/>
    <col min="14342" max="14342" width="7.21875" style="654" customWidth="1"/>
    <col min="14343" max="14343" width="0.44140625" style="654" customWidth="1"/>
    <col min="14344" max="14381" width="10.44140625" style="654" customWidth="1"/>
    <col min="14382" max="14387" width="9.44140625" style="654" customWidth="1"/>
    <col min="14388" max="14388" width="10.44140625" style="654" customWidth="1"/>
    <col min="14389" max="14393" width="9.44140625" style="654" customWidth="1"/>
    <col min="14394" max="14592" width="8.44140625" style="654"/>
    <col min="14593" max="14595" width="2" style="654" customWidth="1"/>
    <col min="14596" max="14596" width="2.44140625" style="654" customWidth="1"/>
    <col min="14597" max="14597" width="45.44140625" style="654" customWidth="1"/>
    <col min="14598" max="14598" width="7.21875" style="654" customWidth="1"/>
    <col min="14599" max="14599" width="0.44140625" style="654" customWidth="1"/>
    <col min="14600" max="14637" width="10.44140625" style="654" customWidth="1"/>
    <col min="14638" max="14643" width="9.44140625" style="654" customWidth="1"/>
    <col min="14644" max="14644" width="10.44140625" style="654" customWidth="1"/>
    <col min="14645" max="14649" width="9.44140625" style="654" customWidth="1"/>
    <col min="14650" max="14848" width="8.44140625" style="654"/>
    <col min="14849" max="14851" width="2" style="654" customWidth="1"/>
    <col min="14852" max="14852" width="2.44140625" style="654" customWidth="1"/>
    <col min="14853" max="14853" width="45.44140625" style="654" customWidth="1"/>
    <col min="14854" max="14854" width="7.21875" style="654" customWidth="1"/>
    <col min="14855" max="14855" width="0.44140625" style="654" customWidth="1"/>
    <col min="14856" max="14893" width="10.44140625" style="654" customWidth="1"/>
    <col min="14894" max="14899" width="9.44140625" style="654" customWidth="1"/>
    <col min="14900" max="14900" width="10.44140625" style="654" customWidth="1"/>
    <col min="14901" max="14905" width="9.44140625" style="654" customWidth="1"/>
    <col min="14906" max="15104" width="8.44140625" style="654"/>
    <col min="15105" max="15107" width="2" style="654" customWidth="1"/>
    <col min="15108" max="15108" width="2.44140625" style="654" customWidth="1"/>
    <col min="15109" max="15109" width="45.44140625" style="654" customWidth="1"/>
    <col min="15110" max="15110" width="7.21875" style="654" customWidth="1"/>
    <col min="15111" max="15111" width="0.44140625" style="654" customWidth="1"/>
    <col min="15112" max="15149" width="10.44140625" style="654" customWidth="1"/>
    <col min="15150" max="15155" width="9.44140625" style="654" customWidth="1"/>
    <col min="15156" max="15156" width="10.44140625" style="654" customWidth="1"/>
    <col min="15157" max="15161" width="9.44140625" style="654" customWidth="1"/>
    <col min="15162" max="15360" width="8.44140625" style="654"/>
    <col min="15361" max="15363" width="2" style="654" customWidth="1"/>
    <col min="15364" max="15364" width="2.44140625" style="654" customWidth="1"/>
    <col min="15365" max="15365" width="45.44140625" style="654" customWidth="1"/>
    <col min="15366" max="15366" width="7.21875" style="654" customWidth="1"/>
    <col min="15367" max="15367" width="0.44140625" style="654" customWidth="1"/>
    <col min="15368" max="15405" width="10.44140625" style="654" customWidth="1"/>
    <col min="15406" max="15411" width="9.44140625" style="654" customWidth="1"/>
    <col min="15412" max="15412" width="10.44140625" style="654" customWidth="1"/>
    <col min="15413" max="15417" width="9.44140625" style="654" customWidth="1"/>
    <col min="15418" max="15616" width="8.44140625" style="654"/>
    <col min="15617" max="15619" width="2" style="654" customWidth="1"/>
    <col min="15620" max="15620" width="2.44140625" style="654" customWidth="1"/>
    <col min="15621" max="15621" width="45.44140625" style="654" customWidth="1"/>
    <col min="15622" max="15622" width="7.21875" style="654" customWidth="1"/>
    <col min="15623" max="15623" width="0.44140625" style="654" customWidth="1"/>
    <col min="15624" max="15661" width="10.44140625" style="654" customWidth="1"/>
    <col min="15662" max="15667" width="9.44140625" style="654" customWidth="1"/>
    <col min="15668" max="15668" width="10.44140625" style="654" customWidth="1"/>
    <col min="15669" max="15673" width="9.44140625" style="654" customWidth="1"/>
    <col min="15674" max="15872" width="8.44140625" style="654"/>
    <col min="15873" max="15875" width="2" style="654" customWidth="1"/>
    <col min="15876" max="15876" width="2.44140625" style="654" customWidth="1"/>
    <col min="15877" max="15877" width="45.44140625" style="654" customWidth="1"/>
    <col min="15878" max="15878" width="7.21875" style="654" customWidth="1"/>
    <col min="15879" max="15879" width="0.44140625" style="654" customWidth="1"/>
    <col min="15880" max="15917" width="10.44140625" style="654" customWidth="1"/>
    <col min="15918" max="15923" width="9.44140625" style="654" customWidth="1"/>
    <col min="15924" max="15924" width="10.44140625" style="654" customWidth="1"/>
    <col min="15925" max="15929" width="9.44140625" style="654" customWidth="1"/>
    <col min="15930" max="16128" width="8.44140625" style="654"/>
    <col min="16129" max="16131" width="2" style="654" customWidth="1"/>
    <col min="16132" max="16132" width="2.44140625" style="654" customWidth="1"/>
    <col min="16133" max="16133" width="45.44140625" style="654" customWidth="1"/>
    <col min="16134" max="16134" width="7.21875" style="654" customWidth="1"/>
    <col min="16135" max="16135" width="0.44140625" style="654" customWidth="1"/>
    <col min="16136" max="16173" width="10.44140625" style="654" customWidth="1"/>
    <col min="16174" max="16179" width="9.44140625" style="654" customWidth="1"/>
    <col min="16180" max="16180" width="10.44140625" style="654" customWidth="1"/>
    <col min="16181" max="16185" width="9.44140625" style="654" customWidth="1"/>
    <col min="16186" max="16384" width="8.44140625" style="654"/>
  </cols>
  <sheetData>
    <row r="1" spans="1:73">
      <c r="A1" s="751"/>
      <c r="B1" s="751"/>
      <c r="C1" s="751"/>
      <c r="D1" s="751"/>
      <c r="E1" s="750"/>
      <c r="F1" s="708"/>
      <c r="G1" s="708"/>
      <c r="H1" s="748" t="s">
        <v>1352</v>
      </c>
      <c r="I1" s="748">
        <v>2000</v>
      </c>
      <c r="J1" s="748">
        <v>2115</v>
      </c>
      <c r="K1" s="748">
        <v>2116</v>
      </c>
      <c r="L1" s="748">
        <v>2117</v>
      </c>
      <c r="M1" s="748">
        <v>2118</v>
      </c>
      <c r="N1" s="748">
        <v>2210</v>
      </c>
      <c r="O1" s="748">
        <v>2112</v>
      </c>
      <c r="P1" s="748">
        <v>2121</v>
      </c>
      <c r="Q1" s="748">
        <v>2122</v>
      </c>
      <c r="R1" s="748">
        <v>2130</v>
      </c>
      <c r="S1" s="748">
        <v>2230</v>
      </c>
      <c r="T1" s="748">
        <v>2310</v>
      </c>
      <c r="U1" s="748">
        <v>2330</v>
      </c>
      <c r="V1" s="748">
        <v>2410</v>
      </c>
      <c r="W1" s="748">
        <v>3000</v>
      </c>
      <c r="X1" s="748">
        <v>3105</v>
      </c>
      <c r="Y1" s="748">
        <v>3106</v>
      </c>
      <c r="Z1" s="748">
        <v>3191</v>
      </c>
      <c r="AA1" s="748">
        <v>3192</v>
      </c>
      <c r="AB1" s="748">
        <v>3193</v>
      </c>
      <c r="AC1" s="748">
        <v>3214</v>
      </c>
      <c r="AD1" s="748">
        <v>3215</v>
      </c>
      <c r="AE1" s="748">
        <v>3220</v>
      </c>
      <c r="AF1" s="748">
        <v>3234</v>
      </c>
      <c r="AG1" s="748">
        <v>3235</v>
      </c>
      <c r="AH1" s="748">
        <v>3246</v>
      </c>
      <c r="AI1" s="748">
        <v>3247</v>
      </c>
      <c r="AJ1" s="748">
        <v>3244</v>
      </c>
      <c r="AK1" s="748">
        <v>3250</v>
      </c>
      <c r="AL1" s="748">
        <v>3260</v>
      </c>
      <c r="AM1" s="748" t="s">
        <v>1351</v>
      </c>
      <c r="AN1" s="748">
        <v>3281</v>
      </c>
      <c r="AO1" s="748">
        <v>3282</v>
      </c>
      <c r="AP1" s="748">
        <v>3283</v>
      </c>
      <c r="AQ1" s="748">
        <v>3285</v>
      </c>
      <c r="AR1" s="748">
        <v>3286</v>
      </c>
      <c r="AS1" s="748">
        <v>3295</v>
      </c>
      <c r="AT1" s="748">
        <v>4000</v>
      </c>
      <c r="AU1" s="748">
        <v>4100</v>
      </c>
      <c r="AV1" s="748">
        <v>4210</v>
      </c>
      <c r="AW1" s="748">
        <v>4220</v>
      </c>
      <c r="AX1" s="748">
        <v>4230</v>
      </c>
      <c r="AY1" s="748">
        <v>4240</v>
      </c>
      <c r="AZ1" s="748">
        <v>5500</v>
      </c>
      <c r="BA1" s="748">
        <v>5510</v>
      </c>
      <c r="BB1" s="748">
        <v>5520</v>
      </c>
      <c r="BC1" s="748">
        <v>5535</v>
      </c>
      <c r="BD1" s="748">
        <v>5532</v>
      </c>
      <c r="BE1" s="748">
        <v>5534</v>
      </c>
      <c r="BF1" s="748">
        <v>5541</v>
      </c>
      <c r="BG1" s="748">
        <v>5544</v>
      </c>
      <c r="BH1" s="748">
        <v>5542</v>
      </c>
      <c r="BI1" s="748">
        <v>55431</v>
      </c>
      <c r="BJ1" s="748">
        <v>5546</v>
      </c>
      <c r="BK1" s="748">
        <v>5547</v>
      </c>
      <c r="BL1" s="748">
        <v>5549</v>
      </c>
      <c r="BM1" s="748">
        <v>5548</v>
      </c>
      <c r="BN1" s="748">
        <v>5550</v>
      </c>
      <c r="BO1" s="749">
        <v>7200</v>
      </c>
      <c r="BP1" s="748">
        <v>7100</v>
      </c>
      <c r="BQ1" s="748">
        <v>55432</v>
      </c>
      <c r="BR1" s="748">
        <v>5100</v>
      </c>
      <c r="BS1" s="748">
        <v>5200</v>
      </c>
      <c r="BT1" s="748">
        <v>6000</v>
      </c>
      <c r="BU1" s="747"/>
    </row>
    <row r="2" spans="1:73" ht="38.25" customHeight="1">
      <c r="A2" s="746" t="s">
        <v>1350</v>
      </c>
      <c r="B2" s="746"/>
      <c r="C2" s="746"/>
      <c r="D2" s="746"/>
      <c r="E2" s="745" t="s">
        <v>1349</v>
      </c>
      <c r="F2" s="744" t="s">
        <v>956</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202948.45705550778</v>
      </c>
      <c r="I4" s="723">
        <v>824.85430400305722</v>
      </c>
      <c r="J4" s="725">
        <v>0</v>
      </c>
      <c r="K4" s="725">
        <v>0</v>
      </c>
      <c r="L4" s="725">
        <v>824.85430400305722</v>
      </c>
      <c r="M4" s="725">
        <v>0</v>
      </c>
      <c r="N4" s="725">
        <v>0</v>
      </c>
      <c r="O4" s="725"/>
      <c r="P4" s="725"/>
      <c r="Q4" s="725"/>
      <c r="R4" s="725"/>
      <c r="S4" s="725"/>
      <c r="T4" s="725">
        <v>0</v>
      </c>
      <c r="U4" s="725"/>
      <c r="V4" s="725">
        <v>0</v>
      </c>
      <c r="W4" s="723">
        <v>87424.381389127724</v>
      </c>
      <c r="X4" s="725">
        <v>77825.045380720359</v>
      </c>
      <c r="Y4" s="725">
        <v>9500</v>
      </c>
      <c r="Z4" s="725"/>
      <c r="AA4" s="725">
        <v>99.312123817712802</v>
      </c>
      <c r="AB4" s="725"/>
      <c r="AC4" s="725"/>
      <c r="AD4" s="725"/>
      <c r="AE4" s="725"/>
      <c r="AF4" s="725"/>
      <c r="AG4" s="725"/>
      <c r="AH4" s="725"/>
      <c r="AI4" s="725"/>
      <c r="AJ4" s="725"/>
      <c r="AK4" s="725"/>
      <c r="AL4" s="725"/>
      <c r="AM4" s="725"/>
      <c r="AN4" s="725"/>
      <c r="AO4" s="725"/>
      <c r="AP4" s="725"/>
      <c r="AQ4" s="725"/>
      <c r="AR4" s="725"/>
      <c r="AS4" s="725"/>
      <c r="AT4" s="723">
        <v>100770.0630553167</v>
      </c>
      <c r="AU4" s="725">
        <v>100770.0630553167</v>
      </c>
      <c r="AV4" s="725"/>
      <c r="AW4" s="725"/>
      <c r="AX4" s="725"/>
      <c r="AY4" s="725"/>
      <c r="AZ4" s="723">
        <v>13742.261392949269</v>
      </c>
      <c r="BA4" s="725">
        <v>12187.446259673257</v>
      </c>
      <c r="BB4" s="725">
        <v>133.10881819050348</v>
      </c>
      <c r="BC4" s="725">
        <v>0</v>
      </c>
      <c r="BD4" s="725">
        <v>0</v>
      </c>
      <c r="BE4" s="725">
        <v>0</v>
      </c>
      <c r="BF4" s="725">
        <v>1150.8311837202637</v>
      </c>
      <c r="BG4" s="725"/>
      <c r="BH4" s="725">
        <v>28.351007929683767</v>
      </c>
      <c r="BI4" s="725">
        <v>179.87484475016717</v>
      </c>
      <c r="BJ4" s="725">
        <v>0</v>
      </c>
      <c r="BK4" s="725">
        <v>62.649278685392183</v>
      </c>
      <c r="BL4" s="725">
        <v>0</v>
      </c>
      <c r="BM4" s="725">
        <v>0</v>
      </c>
      <c r="BN4" s="725">
        <v>0</v>
      </c>
      <c r="BO4" s="723">
        <v>186.92079870067832</v>
      </c>
      <c r="BP4" s="725">
        <v>7.0459539505111302</v>
      </c>
      <c r="BQ4" s="725">
        <v>179.87484475016717</v>
      </c>
      <c r="BR4" s="724">
        <v>0</v>
      </c>
      <c r="BS4" s="724"/>
      <c r="BT4" s="723"/>
    </row>
    <row r="5" spans="1:73">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c r="A6" s="680" t="s">
        <v>968</v>
      </c>
      <c r="B6" s="679" t="s">
        <v>1288</v>
      </c>
      <c r="C6" s="679"/>
      <c r="D6" s="679"/>
      <c r="E6" s="679"/>
      <c r="F6" s="678" t="s">
        <v>1287</v>
      </c>
      <c r="G6" s="678"/>
      <c r="H6" s="677">
        <v>0</v>
      </c>
      <c r="I6" s="674">
        <v>0</v>
      </c>
      <c r="J6" s="676">
        <v>0</v>
      </c>
      <c r="K6" s="676">
        <v>0</v>
      </c>
      <c r="L6" s="676">
        <v>0</v>
      </c>
      <c r="M6" s="676">
        <v>0</v>
      </c>
      <c r="N6" s="676">
        <v>0</v>
      </c>
      <c r="O6" s="676">
        <v>0</v>
      </c>
      <c r="P6" s="676">
        <v>0</v>
      </c>
      <c r="Q6" s="676">
        <v>0</v>
      </c>
      <c r="R6" s="676">
        <v>0</v>
      </c>
      <c r="S6" s="676">
        <v>0</v>
      </c>
      <c r="T6" s="676">
        <v>0</v>
      </c>
      <c r="U6" s="676">
        <v>0</v>
      </c>
      <c r="V6" s="676">
        <v>0</v>
      </c>
      <c r="W6" s="674">
        <v>0</v>
      </c>
      <c r="X6" s="676"/>
      <c r="Y6" s="676"/>
      <c r="Z6" s="676"/>
      <c r="AA6" s="676">
        <v>0</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c r="A9" s="681"/>
      <c r="B9" s="680" t="s">
        <v>968</v>
      </c>
      <c r="C9" s="679" t="s">
        <v>1282</v>
      </c>
      <c r="D9" s="679"/>
      <c r="E9" s="679"/>
      <c r="F9" s="678" t="s">
        <v>1281</v>
      </c>
      <c r="G9" s="678"/>
      <c r="H9" s="677">
        <v>0</v>
      </c>
      <c r="I9" s="674">
        <v>0</v>
      </c>
      <c r="J9" s="676"/>
      <c r="K9" s="676"/>
      <c r="L9" s="676"/>
      <c r="M9" s="676"/>
      <c r="N9" s="676"/>
      <c r="O9" s="676">
        <v>0</v>
      </c>
      <c r="P9" s="676">
        <v>0</v>
      </c>
      <c r="Q9" s="676">
        <v>0</v>
      </c>
      <c r="R9" s="676">
        <v>0</v>
      </c>
      <c r="S9" s="676">
        <v>0</v>
      </c>
      <c r="T9" s="676"/>
      <c r="U9" s="676">
        <v>0</v>
      </c>
      <c r="V9" s="676">
        <v>0</v>
      </c>
      <c r="W9" s="674">
        <v>0</v>
      </c>
      <c r="X9" s="676"/>
      <c r="Y9" s="676"/>
      <c r="Z9" s="676"/>
      <c r="AA9" s="676">
        <v>0</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c r="A12" s="680" t="s">
        <v>968</v>
      </c>
      <c r="B12" s="679" t="s">
        <v>164</v>
      </c>
      <c r="C12" s="679"/>
      <c r="D12" s="679"/>
      <c r="E12" s="679"/>
      <c r="F12" s="678" t="s">
        <v>1276</v>
      </c>
      <c r="G12" s="678"/>
      <c r="H12" s="677">
        <v>6956.21954714818</v>
      </c>
      <c r="I12" s="674">
        <v>804.50463361039454</v>
      </c>
      <c r="J12" s="676">
        <v>0</v>
      </c>
      <c r="K12" s="676">
        <v>0</v>
      </c>
      <c r="L12" s="676">
        <v>485.23932358842075</v>
      </c>
      <c r="M12" s="676">
        <v>0</v>
      </c>
      <c r="N12" s="676">
        <v>0</v>
      </c>
      <c r="O12" s="676">
        <v>0</v>
      </c>
      <c r="P12" s="676">
        <v>319.24142543231108</v>
      </c>
      <c r="Q12" s="676">
        <v>0</v>
      </c>
      <c r="R12" s="676">
        <v>0</v>
      </c>
      <c r="S12" s="676">
        <v>0</v>
      </c>
      <c r="T12" s="676">
        <v>0</v>
      </c>
      <c r="U12" s="676">
        <v>0</v>
      </c>
      <c r="V12" s="676">
        <v>0</v>
      </c>
      <c r="W12" s="674">
        <v>5625.1791344224703</v>
      </c>
      <c r="X12" s="676">
        <v>1358.0538836342791</v>
      </c>
      <c r="Y12" s="676"/>
      <c r="Z12" s="676"/>
      <c r="AA12" s="676"/>
      <c r="AB12" s="676"/>
      <c r="AC12" s="676"/>
      <c r="AD12" s="676">
        <v>61.670010509219452</v>
      </c>
      <c r="AE12" s="676">
        <v>201.49039839495558</v>
      </c>
      <c r="AF12" s="676">
        <v>185.58326167956434</v>
      </c>
      <c r="AG12" s="676"/>
      <c r="AH12" s="676"/>
      <c r="AI12" s="676">
        <v>356.19088564058467</v>
      </c>
      <c r="AJ12" s="676">
        <v>10.294258144645074</v>
      </c>
      <c r="AK12" s="676">
        <v>53.477596254896341</v>
      </c>
      <c r="AL12" s="676">
        <v>1514.2829846183242</v>
      </c>
      <c r="AM12" s="676">
        <v>1148.3710709850004</v>
      </c>
      <c r="AN12" s="676">
        <v>13.542562338779019</v>
      </c>
      <c r="AO12" s="676">
        <v>37.116652335912867</v>
      </c>
      <c r="AP12" s="676">
        <v>358.62711378618513</v>
      </c>
      <c r="AQ12" s="676">
        <v>315.99312123817714</v>
      </c>
      <c r="AR12" s="676"/>
      <c r="AS12" s="676">
        <v>10.509219451609821</v>
      </c>
      <c r="AT12" s="674">
        <v>0</v>
      </c>
      <c r="AU12" s="676">
        <v>0</v>
      </c>
      <c r="AV12" s="676"/>
      <c r="AW12" s="676"/>
      <c r="AX12" s="676"/>
      <c r="AY12" s="676"/>
      <c r="AZ12" s="674">
        <v>166.28451323206266</v>
      </c>
      <c r="BA12" s="676"/>
      <c r="BB12" s="676"/>
      <c r="BC12" s="676"/>
      <c r="BD12" s="676">
        <v>0</v>
      </c>
      <c r="BE12" s="676"/>
      <c r="BF12" s="676">
        <v>33.677271424476928</v>
      </c>
      <c r="BG12" s="676">
        <v>0</v>
      </c>
      <c r="BH12" s="676">
        <v>0</v>
      </c>
      <c r="BI12" s="676">
        <v>0</v>
      </c>
      <c r="BJ12" s="676">
        <v>9.1477978408330944</v>
      </c>
      <c r="BK12" s="676">
        <v>120.5455240278972</v>
      </c>
      <c r="BL12" s="676">
        <v>0</v>
      </c>
      <c r="BM12" s="676">
        <v>2.8900353491927007</v>
      </c>
      <c r="BN12" s="676">
        <v>0</v>
      </c>
      <c r="BO12" s="674">
        <v>0</v>
      </c>
      <c r="BP12" s="676">
        <v>0</v>
      </c>
      <c r="BQ12" s="676">
        <v>0</v>
      </c>
      <c r="BR12" s="675"/>
      <c r="BS12" s="675">
        <v>0</v>
      </c>
      <c r="BT12" s="674">
        <v>360.27515047291485</v>
      </c>
    </row>
    <row r="13" spans="1:73">
      <c r="A13" s="680" t="s">
        <v>968</v>
      </c>
      <c r="B13" s="679" t="s">
        <v>1275</v>
      </c>
      <c r="C13" s="679"/>
      <c r="D13" s="679"/>
      <c r="E13" s="679"/>
      <c r="F13" s="678" t="s">
        <v>1274</v>
      </c>
      <c r="G13" s="678"/>
      <c r="H13" s="677">
        <v>-227.50071653768987</v>
      </c>
      <c r="I13" s="674">
        <v>44.903028565969237</v>
      </c>
      <c r="J13" s="676">
        <v>0</v>
      </c>
      <c r="K13" s="676">
        <v>0</v>
      </c>
      <c r="L13" s="676">
        <v>50.348715009076145</v>
      </c>
      <c r="M13" s="676">
        <v>0</v>
      </c>
      <c r="N13" s="676">
        <v>0</v>
      </c>
      <c r="O13" s="676">
        <v>0</v>
      </c>
      <c r="P13" s="676">
        <v>-5.445686443106907</v>
      </c>
      <c r="Q13" s="676">
        <v>0</v>
      </c>
      <c r="R13" s="676">
        <v>0</v>
      </c>
      <c r="S13" s="676">
        <v>0</v>
      </c>
      <c r="T13" s="676">
        <v>0</v>
      </c>
      <c r="U13" s="676">
        <v>0</v>
      </c>
      <c r="V13" s="676">
        <v>0</v>
      </c>
      <c r="W13" s="674">
        <v>-289.33791917454857</v>
      </c>
      <c r="X13" s="676">
        <v>-101.17512181140728</v>
      </c>
      <c r="Y13" s="676"/>
      <c r="Z13" s="676"/>
      <c r="AA13" s="676"/>
      <c r="AB13" s="676"/>
      <c r="AC13" s="676"/>
      <c r="AD13" s="676">
        <v>2.1973822489729624</v>
      </c>
      <c r="AE13" s="676">
        <v>-49.536638960542653</v>
      </c>
      <c r="AF13" s="676">
        <v>-23.072513614216106</v>
      </c>
      <c r="AG13" s="676"/>
      <c r="AH13" s="676"/>
      <c r="AI13" s="676">
        <v>19.561478933791918</v>
      </c>
      <c r="AJ13" s="676"/>
      <c r="AK13" s="676">
        <v>-48.222986529091429</v>
      </c>
      <c r="AL13" s="676">
        <v>-90.594248590809201</v>
      </c>
      <c r="AM13" s="676">
        <v>14.330753797649756</v>
      </c>
      <c r="AN13" s="676">
        <v>2.0779593006592147</v>
      </c>
      <c r="AO13" s="676">
        <v>1.0031527658354829</v>
      </c>
      <c r="AP13" s="676"/>
      <c r="AQ13" s="676">
        <v>-15.883252125728479</v>
      </c>
      <c r="AR13" s="676"/>
      <c r="AS13" s="676"/>
      <c r="AT13" s="674">
        <v>16.934174070889462</v>
      </c>
      <c r="AU13" s="676">
        <v>16.934174070889462</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c r="A14" s="680" t="s">
        <v>1081</v>
      </c>
      <c r="B14" s="679" t="s">
        <v>170</v>
      </c>
      <c r="C14" s="679"/>
      <c r="D14" s="679"/>
      <c r="E14" s="679"/>
      <c r="F14" s="678" t="s">
        <v>1273</v>
      </c>
      <c r="G14" s="678"/>
      <c r="H14" s="677">
        <v>179279.2347377472</v>
      </c>
      <c r="I14" s="674">
        <v>855.73707843699242</v>
      </c>
      <c r="J14" s="676">
        <v>0</v>
      </c>
      <c r="K14" s="676">
        <v>0</v>
      </c>
      <c r="L14" s="676">
        <v>854.37565682621573</v>
      </c>
      <c r="M14" s="676">
        <v>0</v>
      </c>
      <c r="N14" s="676">
        <v>0</v>
      </c>
      <c r="O14" s="676">
        <v>0</v>
      </c>
      <c r="P14" s="676">
        <v>1.3614216107767267</v>
      </c>
      <c r="Q14" s="676">
        <v>0</v>
      </c>
      <c r="R14" s="676">
        <v>0</v>
      </c>
      <c r="S14" s="676">
        <v>0</v>
      </c>
      <c r="T14" s="676">
        <v>0</v>
      </c>
      <c r="U14" s="676">
        <v>0</v>
      </c>
      <c r="V14" s="676">
        <v>0</v>
      </c>
      <c r="W14" s="674">
        <v>80259.792681761726</v>
      </c>
      <c r="X14" s="676">
        <v>64733.686825260338</v>
      </c>
      <c r="Y14" s="676"/>
      <c r="Z14" s="676"/>
      <c r="AA14" s="676"/>
      <c r="AB14" s="676"/>
      <c r="AC14" s="676"/>
      <c r="AD14" s="676">
        <v>405.20206362854685</v>
      </c>
      <c r="AE14" s="676">
        <v>5204.8103563580771</v>
      </c>
      <c r="AF14" s="676">
        <v>2551.0891372886213</v>
      </c>
      <c r="AG14" s="676"/>
      <c r="AH14" s="676"/>
      <c r="AI14" s="676">
        <v>100.88850673545429</v>
      </c>
      <c r="AJ14" s="676">
        <v>255.30237890513041</v>
      </c>
      <c r="AK14" s="676">
        <v>2585.6740231202825</v>
      </c>
      <c r="AL14" s="676">
        <v>2598.2612018725517</v>
      </c>
      <c r="AM14" s="676">
        <v>1584.981370020063</v>
      </c>
      <c r="AN14" s="676"/>
      <c r="AO14" s="676"/>
      <c r="AP14" s="676"/>
      <c r="AQ14" s="676">
        <v>19.227094678513421</v>
      </c>
      <c r="AR14" s="676"/>
      <c r="AS14" s="676">
        <v>220.69360848380623</v>
      </c>
      <c r="AT14" s="674">
        <v>96189.285373077291</v>
      </c>
      <c r="AU14" s="676">
        <v>96189.285373077291</v>
      </c>
      <c r="AV14" s="676"/>
      <c r="AW14" s="676"/>
      <c r="AX14" s="676"/>
      <c r="AY14" s="676"/>
      <c r="AZ14" s="674">
        <v>82.210757619184093</v>
      </c>
      <c r="BA14" s="676"/>
      <c r="BB14" s="676"/>
      <c r="BC14" s="676"/>
      <c r="BD14" s="676">
        <v>0</v>
      </c>
      <c r="BE14" s="676"/>
      <c r="BF14" s="676">
        <v>19.561478933791918</v>
      </c>
      <c r="BG14" s="676">
        <v>0</v>
      </c>
      <c r="BH14" s="676">
        <v>0</v>
      </c>
      <c r="BI14" s="676">
        <v>0</v>
      </c>
      <c r="BJ14" s="676">
        <v>0</v>
      </c>
      <c r="BK14" s="676">
        <v>62.649278685392183</v>
      </c>
      <c r="BL14" s="676">
        <v>0</v>
      </c>
      <c r="BM14" s="676">
        <v>0</v>
      </c>
      <c r="BN14" s="676">
        <v>0</v>
      </c>
      <c r="BO14" s="674">
        <v>0</v>
      </c>
      <c r="BP14" s="676">
        <v>0</v>
      </c>
      <c r="BQ14" s="676">
        <v>0</v>
      </c>
      <c r="BR14" s="675"/>
      <c r="BS14" s="675">
        <v>0</v>
      </c>
      <c r="BT14" s="674">
        <v>1892.1849622623483</v>
      </c>
    </row>
    <row r="15" spans="1:73">
      <c r="A15" s="680" t="s">
        <v>1081</v>
      </c>
      <c r="B15" s="679" t="s">
        <v>1272</v>
      </c>
      <c r="C15" s="679"/>
      <c r="D15" s="679"/>
      <c r="E15" s="679"/>
      <c r="F15" s="678" t="s">
        <v>1271</v>
      </c>
      <c r="G15" s="678"/>
      <c r="H15" s="677">
        <v>326.23961020349668</v>
      </c>
      <c r="I15" s="674">
        <v>0</v>
      </c>
      <c r="J15" s="676">
        <v>0</v>
      </c>
      <c r="K15" s="676">
        <v>0</v>
      </c>
      <c r="L15" s="676">
        <v>0</v>
      </c>
      <c r="M15" s="676">
        <v>0</v>
      </c>
      <c r="N15" s="676">
        <v>0</v>
      </c>
      <c r="O15" s="676">
        <v>0</v>
      </c>
      <c r="P15" s="676">
        <v>0</v>
      </c>
      <c r="Q15" s="676">
        <v>0</v>
      </c>
      <c r="R15" s="676">
        <v>0</v>
      </c>
      <c r="S15" s="676">
        <v>0</v>
      </c>
      <c r="T15" s="676">
        <v>0</v>
      </c>
      <c r="U15" s="676">
        <v>0</v>
      </c>
      <c r="V15" s="676">
        <v>0</v>
      </c>
      <c r="W15" s="674">
        <v>326.23961020349668</v>
      </c>
      <c r="X15" s="676"/>
      <c r="Y15" s="676"/>
      <c r="Z15" s="676"/>
      <c r="AA15" s="676"/>
      <c r="AB15" s="676"/>
      <c r="AC15" s="676"/>
      <c r="AD15" s="676"/>
      <c r="AE15" s="676"/>
      <c r="AF15" s="676"/>
      <c r="AG15" s="676"/>
      <c r="AH15" s="676"/>
      <c r="AI15" s="676"/>
      <c r="AJ15" s="676"/>
      <c r="AK15" s="676"/>
      <c r="AL15" s="676">
        <v>152.35979745867965</v>
      </c>
      <c r="AM15" s="676">
        <v>173.87981274481703</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c r="A17" s="709" t="s">
        <v>1268</v>
      </c>
      <c r="B17" s="709"/>
      <c r="C17" s="709"/>
      <c r="D17" s="709"/>
      <c r="E17" s="709"/>
      <c r="F17" s="708" t="s">
        <v>1267</v>
      </c>
      <c r="G17" s="708"/>
      <c r="H17" s="707">
        <v>30071.725422757234</v>
      </c>
      <c r="I17" s="704">
        <v>818.50100315276575</v>
      </c>
      <c r="J17" s="706">
        <v>0</v>
      </c>
      <c r="K17" s="706">
        <v>0</v>
      </c>
      <c r="L17" s="706">
        <v>506.04280118467562</v>
      </c>
      <c r="M17" s="706">
        <v>0</v>
      </c>
      <c r="N17" s="706">
        <v>0</v>
      </c>
      <c r="O17" s="706">
        <v>0</v>
      </c>
      <c r="P17" s="706">
        <v>312.45820196809018</v>
      </c>
      <c r="Q17" s="706">
        <v>0</v>
      </c>
      <c r="R17" s="706">
        <v>0</v>
      </c>
      <c r="S17" s="706">
        <v>0</v>
      </c>
      <c r="T17" s="706">
        <v>0</v>
      </c>
      <c r="U17" s="706">
        <v>0</v>
      </c>
      <c r="V17" s="706">
        <v>0</v>
      </c>
      <c r="W17" s="704">
        <v>12174.190312410432</v>
      </c>
      <c r="X17" s="706">
        <v>14348.237317282888</v>
      </c>
      <c r="Y17" s="706">
        <v>9500</v>
      </c>
      <c r="Z17" s="706"/>
      <c r="AA17" s="706">
        <v>99.312123817712802</v>
      </c>
      <c r="AB17" s="706"/>
      <c r="AC17" s="706"/>
      <c r="AD17" s="706">
        <v>-341.33467087035444</v>
      </c>
      <c r="AE17" s="706">
        <v>-5052.8565969236643</v>
      </c>
      <c r="AF17" s="706">
        <v>-2388.5545046336101</v>
      </c>
      <c r="AG17" s="706"/>
      <c r="AH17" s="706"/>
      <c r="AI17" s="706">
        <v>274.86385783892229</v>
      </c>
      <c r="AJ17" s="706">
        <v>-245.00812076048533</v>
      </c>
      <c r="AK17" s="706">
        <v>-2580.4432979841404</v>
      </c>
      <c r="AL17" s="706">
        <v>-1326.9322633037164</v>
      </c>
      <c r="AM17" s="706">
        <v>-596.15935798222984</v>
      </c>
      <c r="AN17" s="706">
        <v>15.620521639438234</v>
      </c>
      <c r="AO17" s="706">
        <v>38.119805101748348</v>
      </c>
      <c r="AP17" s="706">
        <v>358.62711378618513</v>
      </c>
      <c r="AQ17" s="706">
        <v>280.8827744339352</v>
      </c>
      <c r="AR17" s="706"/>
      <c r="AS17" s="706">
        <v>-210.18438903219641</v>
      </c>
      <c r="AT17" s="704">
        <v>4597.7118563103086</v>
      </c>
      <c r="AU17" s="706">
        <v>4597.7118563103086</v>
      </c>
      <c r="AV17" s="706">
        <v>0</v>
      </c>
      <c r="AW17" s="706">
        <v>0</v>
      </c>
      <c r="AX17" s="706">
        <v>0</v>
      </c>
      <c r="AY17" s="706">
        <v>0</v>
      </c>
      <c r="AZ17" s="704">
        <v>13826.311263972484</v>
      </c>
      <c r="BA17" s="706">
        <v>12187.446259673257</v>
      </c>
      <c r="BB17" s="706">
        <v>133.10881819050348</v>
      </c>
      <c r="BC17" s="706">
        <v>0</v>
      </c>
      <c r="BD17" s="706">
        <v>0</v>
      </c>
      <c r="BE17" s="706">
        <v>0</v>
      </c>
      <c r="BF17" s="706">
        <v>1164.9469762109486</v>
      </c>
      <c r="BG17" s="706">
        <v>0</v>
      </c>
      <c r="BH17" s="706">
        <v>28.351007929683767</v>
      </c>
      <c r="BI17" s="706">
        <v>179.87484475016717</v>
      </c>
      <c r="BJ17" s="706">
        <v>9.1477978408330944</v>
      </c>
      <c r="BK17" s="706">
        <v>120.5455240278972</v>
      </c>
      <c r="BL17" s="706">
        <v>0</v>
      </c>
      <c r="BM17" s="706">
        <v>2.8900353491927007</v>
      </c>
      <c r="BN17" s="706">
        <v>0</v>
      </c>
      <c r="BO17" s="704">
        <v>186.92079870067832</v>
      </c>
      <c r="BP17" s="706">
        <v>7.0459539505111302</v>
      </c>
      <c r="BQ17" s="706">
        <v>179.87484475016717</v>
      </c>
      <c r="BR17" s="705">
        <v>0</v>
      </c>
      <c r="BS17" s="705">
        <v>0</v>
      </c>
      <c r="BT17" s="704">
        <v>-1531.9098117894334</v>
      </c>
    </row>
    <row r="18" spans="1:72">
      <c r="A18" s="709" t="s">
        <v>1266</v>
      </c>
      <c r="B18" s="709"/>
      <c r="C18" s="709"/>
      <c r="D18" s="709"/>
      <c r="E18" s="709"/>
      <c r="F18" s="708" t="s">
        <v>1265</v>
      </c>
      <c r="G18" s="708"/>
      <c r="H18" s="707">
        <v>16709.754466418268</v>
      </c>
      <c r="I18" s="704">
        <v>104.16069551925098</v>
      </c>
      <c r="J18" s="706">
        <v>0</v>
      </c>
      <c r="K18" s="706">
        <v>0</v>
      </c>
      <c r="L18" s="706">
        <v>14.760676411579249</v>
      </c>
      <c r="M18" s="706">
        <v>0</v>
      </c>
      <c r="N18" s="706">
        <v>0</v>
      </c>
      <c r="O18" s="706">
        <v>0</v>
      </c>
      <c r="P18" s="706">
        <v>89.400019107671724</v>
      </c>
      <c r="Q18" s="706">
        <v>0</v>
      </c>
      <c r="R18" s="706">
        <v>0</v>
      </c>
      <c r="S18" s="706">
        <v>0</v>
      </c>
      <c r="T18" s="706">
        <v>0</v>
      </c>
      <c r="U18" s="706">
        <v>0</v>
      </c>
      <c r="V18" s="706">
        <v>0</v>
      </c>
      <c r="W18" s="704">
        <v>15560.356358077768</v>
      </c>
      <c r="X18" s="706">
        <v>14223.225374988057</v>
      </c>
      <c r="Y18" s="706"/>
      <c r="Z18" s="706">
        <v>1202.2785898538264</v>
      </c>
      <c r="AA18" s="706">
        <v>99.312123817712802</v>
      </c>
      <c r="AB18" s="706"/>
      <c r="AC18" s="706">
        <v>9.2911053788095916</v>
      </c>
      <c r="AD18" s="706"/>
      <c r="AE18" s="706">
        <v>7.7147224610681189</v>
      </c>
      <c r="AF18" s="706"/>
      <c r="AG18" s="706"/>
      <c r="AH18" s="706"/>
      <c r="AI18" s="706"/>
      <c r="AJ18" s="706"/>
      <c r="AK18" s="706"/>
      <c r="AL18" s="706">
        <v>18.534441578293684</v>
      </c>
      <c r="AM18" s="706">
        <v>0</v>
      </c>
      <c r="AN18" s="706"/>
      <c r="AO18" s="706"/>
      <c r="AP18" s="706"/>
      <c r="AQ18" s="706"/>
      <c r="AR18" s="706"/>
      <c r="AS18" s="706"/>
      <c r="AT18" s="704">
        <v>427.128116938951</v>
      </c>
      <c r="AU18" s="706">
        <v>411.07767268558325</v>
      </c>
      <c r="AV18" s="706">
        <v>0</v>
      </c>
      <c r="AW18" s="706">
        <v>16.050444253367726</v>
      </c>
      <c r="AX18" s="706">
        <v>0</v>
      </c>
      <c r="AY18" s="706">
        <v>0</v>
      </c>
      <c r="AZ18" s="704">
        <v>322.25088372981753</v>
      </c>
      <c r="BA18" s="706"/>
      <c r="BB18" s="706"/>
      <c r="BC18" s="706"/>
      <c r="BD18" s="706">
        <v>0</v>
      </c>
      <c r="BE18" s="706"/>
      <c r="BF18" s="706">
        <v>156.68290818763734</v>
      </c>
      <c r="BG18" s="706">
        <v>0</v>
      </c>
      <c r="BH18" s="706">
        <v>5.5412248017579051</v>
      </c>
      <c r="BI18" s="706">
        <v>160.02675074042227</v>
      </c>
      <c r="BJ18" s="706">
        <v>0</v>
      </c>
      <c r="BK18" s="706">
        <v>0</v>
      </c>
      <c r="BL18" s="706">
        <v>0</v>
      </c>
      <c r="BM18" s="706">
        <v>0</v>
      </c>
      <c r="BN18" s="706">
        <v>0</v>
      </c>
      <c r="BO18" s="704">
        <v>167.07270469093339</v>
      </c>
      <c r="BP18" s="706">
        <v>7.0459539505111302</v>
      </c>
      <c r="BQ18" s="706">
        <v>160.02675074042227</v>
      </c>
      <c r="BR18" s="705">
        <v>0</v>
      </c>
      <c r="BS18" s="705">
        <v>48.222986529091429</v>
      </c>
      <c r="BT18" s="704">
        <v>80.562720932454383</v>
      </c>
    </row>
    <row r="19" spans="1:72">
      <c r="A19" s="688" t="s">
        <v>968</v>
      </c>
      <c r="B19" s="687" t="s">
        <v>1222</v>
      </c>
      <c r="C19" s="687"/>
      <c r="D19" s="687"/>
      <c r="E19" s="687"/>
      <c r="F19" s="686" t="s">
        <v>1264</v>
      </c>
      <c r="G19" s="686"/>
      <c r="H19" s="685">
        <v>746.65615744721504</v>
      </c>
      <c r="I19" s="682">
        <v>14.760676411579249</v>
      </c>
      <c r="J19" s="684">
        <v>0</v>
      </c>
      <c r="K19" s="684">
        <v>0</v>
      </c>
      <c r="L19" s="684">
        <v>14.760676411579249</v>
      </c>
      <c r="M19" s="684">
        <v>0</v>
      </c>
      <c r="N19" s="684">
        <v>0</v>
      </c>
      <c r="O19" s="684">
        <v>0</v>
      </c>
      <c r="P19" s="684">
        <v>0</v>
      </c>
      <c r="Q19" s="684">
        <v>0</v>
      </c>
      <c r="R19" s="684">
        <v>0</v>
      </c>
      <c r="S19" s="684">
        <v>0</v>
      </c>
      <c r="T19" s="684">
        <v>0</v>
      </c>
      <c r="U19" s="684">
        <v>0</v>
      </c>
      <c r="V19" s="684">
        <v>0</v>
      </c>
      <c r="W19" s="682">
        <v>4.1081494219929295</v>
      </c>
      <c r="X19" s="684"/>
      <c r="Y19" s="684"/>
      <c r="Z19" s="684"/>
      <c r="AA19" s="684"/>
      <c r="AB19" s="684"/>
      <c r="AC19" s="684"/>
      <c r="AD19" s="684"/>
      <c r="AE19" s="684"/>
      <c r="AF19" s="684"/>
      <c r="AG19" s="684"/>
      <c r="AH19" s="684"/>
      <c r="AI19" s="684"/>
      <c r="AJ19" s="684"/>
      <c r="AK19" s="684"/>
      <c r="AL19" s="684">
        <v>4.1081494219929295</v>
      </c>
      <c r="AM19" s="684">
        <v>0</v>
      </c>
      <c r="AN19" s="684"/>
      <c r="AO19" s="684"/>
      <c r="AP19" s="684"/>
      <c r="AQ19" s="684"/>
      <c r="AR19" s="684"/>
      <c r="AS19" s="684"/>
      <c r="AT19" s="682">
        <v>411.41205694086176</v>
      </c>
      <c r="AU19" s="684">
        <v>395.69599694277252</v>
      </c>
      <c r="AV19" s="684">
        <v>0</v>
      </c>
      <c r="AW19" s="684">
        <v>15.716059998089232</v>
      </c>
      <c r="AX19" s="684">
        <v>0</v>
      </c>
      <c r="AY19" s="684">
        <v>0</v>
      </c>
      <c r="AZ19" s="682">
        <v>147.63064870545523</v>
      </c>
      <c r="BA19" s="684"/>
      <c r="BB19" s="684"/>
      <c r="BC19" s="684"/>
      <c r="BD19" s="684">
        <v>0</v>
      </c>
      <c r="BE19" s="684"/>
      <c r="BF19" s="684">
        <v>32.244196044711948</v>
      </c>
      <c r="BG19" s="684"/>
      <c r="BH19" s="684">
        <v>1.9346517626827171</v>
      </c>
      <c r="BI19" s="684">
        <v>113.45180089806057</v>
      </c>
      <c r="BJ19" s="684">
        <v>0</v>
      </c>
      <c r="BK19" s="684">
        <v>0</v>
      </c>
      <c r="BL19" s="684">
        <v>0</v>
      </c>
      <c r="BM19" s="684">
        <v>0</v>
      </c>
      <c r="BN19" s="684">
        <v>0</v>
      </c>
      <c r="BO19" s="682">
        <v>120.4977548485717</v>
      </c>
      <c r="BP19" s="684">
        <v>7.0459539505111302</v>
      </c>
      <c r="BQ19" s="684">
        <v>113.45180089806057</v>
      </c>
      <c r="BR19" s="683"/>
      <c r="BS19" s="683">
        <v>48.222986529091429</v>
      </c>
      <c r="BT19" s="682"/>
    </row>
    <row r="20" spans="1:72">
      <c r="A20" s="681"/>
      <c r="B20" s="680" t="s">
        <v>968</v>
      </c>
      <c r="C20" s="679" t="s">
        <v>1220</v>
      </c>
      <c r="D20" s="679"/>
      <c r="E20" s="679"/>
      <c r="F20" s="678" t="s">
        <v>1263</v>
      </c>
      <c r="G20" s="678"/>
      <c r="H20" s="677">
        <v>259.31498996847233</v>
      </c>
      <c r="I20" s="674">
        <v>14.760676411579249</v>
      </c>
      <c r="J20" s="676">
        <v>0</v>
      </c>
      <c r="K20" s="676">
        <v>0</v>
      </c>
      <c r="L20" s="676">
        <v>14.760676411579249</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15.716059998089232</v>
      </c>
      <c r="AU20" s="676">
        <v>0</v>
      </c>
      <c r="AV20" s="676">
        <v>0</v>
      </c>
      <c r="AW20" s="676">
        <v>15.716059998089232</v>
      </c>
      <c r="AX20" s="676">
        <v>0</v>
      </c>
      <c r="AY20" s="676">
        <v>0</v>
      </c>
      <c r="AZ20" s="674">
        <v>115.38645266074329</v>
      </c>
      <c r="BA20" s="676"/>
      <c r="BB20" s="676"/>
      <c r="BC20" s="676"/>
      <c r="BD20" s="676">
        <v>0</v>
      </c>
      <c r="BE20" s="676"/>
      <c r="BF20" s="676">
        <v>0</v>
      </c>
      <c r="BG20" s="676"/>
      <c r="BH20" s="676">
        <v>1.9346517626827171</v>
      </c>
      <c r="BI20" s="676">
        <v>113.45180089806057</v>
      </c>
      <c r="BJ20" s="676">
        <v>0</v>
      </c>
      <c r="BK20" s="676">
        <v>0</v>
      </c>
      <c r="BL20" s="676">
        <v>0</v>
      </c>
      <c r="BM20" s="676">
        <v>0</v>
      </c>
      <c r="BN20" s="676">
        <v>0</v>
      </c>
      <c r="BO20" s="674">
        <v>113.45180089806057</v>
      </c>
      <c r="BP20" s="676">
        <v>0</v>
      </c>
      <c r="BQ20" s="676">
        <v>113.45180089806057</v>
      </c>
      <c r="BR20" s="675"/>
      <c r="BS20" s="675"/>
      <c r="BT20" s="674"/>
    </row>
    <row r="21" spans="1:72">
      <c r="A21" s="681"/>
      <c r="B21" s="680"/>
      <c r="C21" s="680" t="s">
        <v>968</v>
      </c>
      <c r="D21" s="679" t="s">
        <v>1262</v>
      </c>
      <c r="E21" s="679"/>
      <c r="F21" s="678" t="s">
        <v>1261</v>
      </c>
      <c r="G21" s="678"/>
      <c r="H21" s="677">
        <v>17.02971242954046</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15.716059998089232</v>
      </c>
      <c r="AU21" s="676">
        <v>0</v>
      </c>
      <c r="AV21" s="676">
        <v>0</v>
      </c>
      <c r="AW21" s="676">
        <v>15.716059998089232</v>
      </c>
      <c r="AX21" s="676">
        <v>0</v>
      </c>
      <c r="AY21" s="676">
        <v>0</v>
      </c>
      <c r="AZ21" s="674">
        <v>1.3136524314512277</v>
      </c>
      <c r="BA21" s="676"/>
      <c r="BB21" s="676"/>
      <c r="BC21" s="676"/>
      <c r="BD21" s="676">
        <v>0</v>
      </c>
      <c r="BE21" s="676"/>
      <c r="BF21" s="676">
        <v>0</v>
      </c>
      <c r="BG21" s="676"/>
      <c r="BH21" s="676">
        <v>1.3136524314512277</v>
      </c>
      <c r="BI21" s="676">
        <v>0</v>
      </c>
      <c r="BJ21" s="676">
        <v>0</v>
      </c>
      <c r="BK21" s="676">
        <v>0</v>
      </c>
      <c r="BL21" s="676">
        <v>0</v>
      </c>
      <c r="BM21" s="676">
        <v>0</v>
      </c>
      <c r="BN21" s="676">
        <v>0</v>
      </c>
      <c r="BO21" s="674">
        <v>0</v>
      </c>
      <c r="BP21" s="676">
        <v>0</v>
      </c>
      <c r="BQ21" s="676">
        <v>0</v>
      </c>
      <c r="BR21" s="675"/>
      <c r="BS21" s="675"/>
      <c r="BT21" s="674"/>
    </row>
    <row r="22" spans="1:72">
      <c r="A22" s="681"/>
      <c r="B22" s="680"/>
      <c r="C22" s="680" t="s">
        <v>968</v>
      </c>
      <c r="D22" s="679" t="s">
        <v>1260</v>
      </c>
      <c r="E22" s="679"/>
      <c r="F22" s="678" t="s">
        <v>1259</v>
      </c>
      <c r="G22" s="678"/>
      <c r="H22" s="677">
        <v>242.28527753893187</v>
      </c>
      <c r="I22" s="674">
        <v>14.760676411579249</v>
      </c>
      <c r="J22" s="676">
        <v>0</v>
      </c>
      <c r="K22" s="676">
        <v>0</v>
      </c>
      <c r="L22" s="676">
        <v>14.760676411579249</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114.07280022929206</v>
      </c>
      <c r="BA22" s="676"/>
      <c r="BB22" s="676"/>
      <c r="BC22" s="676"/>
      <c r="BD22" s="676">
        <v>0</v>
      </c>
      <c r="BE22" s="676"/>
      <c r="BF22" s="676">
        <v>0</v>
      </c>
      <c r="BG22" s="676"/>
      <c r="BH22" s="676">
        <v>0.62099933123148943</v>
      </c>
      <c r="BI22" s="676">
        <v>113.45180089806057</v>
      </c>
      <c r="BJ22" s="676">
        <v>0</v>
      </c>
      <c r="BK22" s="676">
        <v>0</v>
      </c>
      <c r="BL22" s="676">
        <v>0</v>
      </c>
      <c r="BM22" s="676">
        <v>0</v>
      </c>
      <c r="BN22" s="676">
        <v>0</v>
      </c>
      <c r="BO22" s="674">
        <v>113.45180089806057</v>
      </c>
      <c r="BP22" s="676">
        <v>0</v>
      </c>
      <c r="BQ22" s="676">
        <v>113.45180089806057</v>
      </c>
      <c r="BR22" s="675"/>
      <c r="BS22" s="675"/>
      <c r="BT22" s="674"/>
    </row>
    <row r="23" spans="1:72">
      <c r="A23" s="681"/>
      <c r="B23" s="680" t="s">
        <v>968</v>
      </c>
      <c r="C23" s="679" t="s">
        <v>1190</v>
      </c>
      <c r="D23" s="679"/>
      <c r="E23" s="679"/>
      <c r="F23" s="678" t="s">
        <v>1258</v>
      </c>
      <c r="G23" s="678"/>
      <c r="H23" s="677">
        <v>439.11818094965128</v>
      </c>
      <c r="I23" s="674">
        <v>0</v>
      </c>
      <c r="J23" s="676">
        <v>0</v>
      </c>
      <c r="K23" s="676">
        <v>0</v>
      </c>
      <c r="L23" s="676">
        <v>0</v>
      </c>
      <c r="M23" s="676">
        <v>0</v>
      </c>
      <c r="N23" s="676">
        <v>0</v>
      </c>
      <c r="O23" s="676">
        <v>0</v>
      </c>
      <c r="P23" s="676">
        <v>0</v>
      </c>
      <c r="Q23" s="676">
        <v>0</v>
      </c>
      <c r="R23" s="676">
        <v>0</v>
      </c>
      <c r="S23" s="676">
        <v>0</v>
      </c>
      <c r="T23" s="676">
        <v>0</v>
      </c>
      <c r="U23" s="676">
        <v>0</v>
      </c>
      <c r="V23" s="676">
        <v>0</v>
      </c>
      <c r="W23" s="674">
        <v>4.1081494219929295</v>
      </c>
      <c r="X23" s="676"/>
      <c r="Y23" s="676"/>
      <c r="Z23" s="676"/>
      <c r="AA23" s="676"/>
      <c r="AB23" s="676"/>
      <c r="AC23" s="676"/>
      <c r="AD23" s="676"/>
      <c r="AE23" s="676"/>
      <c r="AF23" s="676"/>
      <c r="AG23" s="676"/>
      <c r="AH23" s="676"/>
      <c r="AI23" s="676"/>
      <c r="AJ23" s="676"/>
      <c r="AK23" s="676"/>
      <c r="AL23" s="676">
        <v>4.1081494219929295</v>
      </c>
      <c r="AM23" s="676">
        <v>0</v>
      </c>
      <c r="AN23" s="676"/>
      <c r="AO23" s="676"/>
      <c r="AP23" s="676"/>
      <c r="AQ23" s="676"/>
      <c r="AR23" s="676"/>
      <c r="AS23" s="676"/>
      <c r="AT23" s="674">
        <v>395.69599694277252</v>
      </c>
      <c r="AU23" s="676">
        <v>395.69599694277252</v>
      </c>
      <c r="AV23" s="676">
        <v>0</v>
      </c>
      <c r="AW23" s="676">
        <v>0</v>
      </c>
      <c r="AX23" s="676">
        <v>0</v>
      </c>
      <c r="AY23" s="676">
        <v>0</v>
      </c>
      <c r="AZ23" s="674">
        <v>32.244196044711948</v>
      </c>
      <c r="BA23" s="676"/>
      <c r="BB23" s="676"/>
      <c r="BC23" s="676"/>
      <c r="BD23" s="676">
        <v>0</v>
      </c>
      <c r="BE23" s="676"/>
      <c r="BF23" s="676">
        <v>32.244196044711948</v>
      </c>
      <c r="BG23" s="676"/>
      <c r="BH23" s="676">
        <v>0</v>
      </c>
      <c r="BI23" s="676">
        <v>0</v>
      </c>
      <c r="BJ23" s="676">
        <v>0</v>
      </c>
      <c r="BK23" s="676">
        <v>0</v>
      </c>
      <c r="BL23" s="676">
        <v>0</v>
      </c>
      <c r="BM23" s="676">
        <v>0</v>
      </c>
      <c r="BN23" s="676">
        <v>0</v>
      </c>
      <c r="BO23" s="674">
        <v>7.0459539505111302</v>
      </c>
      <c r="BP23" s="676">
        <v>7.0459539505111302</v>
      </c>
      <c r="BQ23" s="676">
        <v>0</v>
      </c>
      <c r="BR23" s="675"/>
      <c r="BS23" s="675"/>
      <c r="BT23" s="674"/>
    </row>
    <row r="24" spans="1:72">
      <c r="A24" s="681"/>
      <c r="B24" s="680"/>
      <c r="C24" s="680" t="s">
        <v>968</v>
      </c>
      <c r="D24" s="679" t="s">
        <v>1257</v>
      </c>
      <c r="E24" s="679"/>
      <c r="F24" s="678" t="s">
        <v>1256</v>
      </c>
      <c r="G24" s="678"/>
      <c r="H24" s="677">
        <v>439.11818094965128</v>
      </c>
      <c r="I24" s="674">
        <v>0</v>
      </c>
      <c r="J24" s="676">
        <v>0</v>
      </c>
      <c r="K24" s="676">
        <v>0</v>
      </c>
      <c r="L24" s="676">
        <v>0</v>
      </c>
      <c r="M24" s="676">
        <v>0</v>
      </c>
      <c r="N24" s="676">
        <v>0</v>
      </c>
      <c r="O24" s="676">
        <v>0</v>
      </c>
      <c r="P24" s="676">
        <v>0</v>
      </c>
      <c r="Q24" s="676">
        <v>0</v>
      </c>
      <c r="R24" s="676">
        <v>0</v>
      </c>
      <c r="S24" s="676">
        <v>0</v>
      </c>
      <c r="T24" s="676">
        <v>0</v>
      </c>
      <c r="U24" s="676">
        <v>0</v>
      </c>
      <c r="V24" s="676">
        <v>0</v>
      </c>
      <c r="W24" s="674">
        <v>4.1081494219929295</v>
      </c>
      <c r="X24" s="676"/>
      <c r="Y24" s="676"/>
      <c r="Z24" s="676"/>
      <c r="AA24" s="676"/>
      <c r="AB24" s="676"/>
      <c r="AC24" s="676"/>
      <c r="AD24" s="676"/>
      <c r="AE24" s="676"/>
      <c r="AF24" s="676"/>
      <c r="AG24" s="676"/>
      <c r="AH24" s="676"/>
      <c r="AI24" s="676"/>
      <c r="AJ24" s="676"/>
      <c r="AK24" s="676"/>
      <c r="AL24" s="676">
        <v>4.1081494219929295</v>
      </c>
      <c r="AM24" s="676">
        <v>0</v>
      </c>
      <c r="AN24" s="676"/>
      <c r="AO24" s="676"/>
      <c r="AP24" s="676"/>
      <c r="AQ24" s="676"/>
      <c r="AR24" s="676"/>
      <c r="AS24" s="676"/>
      <c r="AT24" s="674">
        <v>395.69599694277252</v>
      </c>
      <c r="AU24" s="676">
        <v>395.69599694277252</v>
      </c>
      <c r="AV24" s="676">
        <v>0</v>
      </c>
      <c r="AW24" s="676">
        <v>0</v>
      </c>
      <c r="AX24" s="676">
        <v>0</v>
      </c>
      <c r="AY24" s="676">
        <v>0</v>
      </c>
      <c r="AZ24" s="674">
        <v>32.244196044711948</v>
      </c>
      <c r="BA24" s="676"/>
      <c r="BB24" s="676"/>
      <c r="BC24" s="676"/>
      <c r="BD24" s="676">
        <v>0</v>
      </c>
      <c r="BE24" s="676"/>
      <c r="BF24" s="676">
        <v>32.244196044711948</v>
      </c>
      <c r="BG24" s="676"/>
      <c r="BH24" s="676">
        <v>0</v>
      </c>
      <c r="BI24" s="676">
        <v>0</v>
      </c>
      <c r="BJ24" s="676">
        <v>0</v>
      </c>
      <c r="BK24" s="676">
        <v>0</v>
      </c>
      <c r="BL24" s="676">
        <v>0</v>
      </c>
      <c r="BM24" s="676">
        <v>0</v>
      </c>
      <c r="BN24" s="676">
        <v>0</v>
      </c>
      <c r="BO24" s="674">
        <v>7.0459539505111302</v>
      </c>
      <c r="BP24" s="676">
        <v>7.0459539505111302</v>
      </c>
      <c r="BQ24" s="676">
        <v>0</v>
      </c>
      <c r="BR24" s="675"/>
      <c r="BS24" s="675"/>
      <c r="BT24" s="674"/>
    </row>
    <row r="25" spans="1:72">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c r="A26" s="681"/>
      <c r="B26" s="680" t="s">
        <v>968</v>
      </c>
      <c r="C26" s="679" t="s">
        <v>1253</v>
      </c>
      <c r="D26" s="679"/>
      <c r="E26" s="679"/>
      <c r="F26" s="678" t="s">
        <v>1252</v>
      </c>
      <c r="G26" s="678"/>
      <c r="H26" s="677">
        <v>48.222986529091429</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48.222986529091429</v>
      </c>
      <c r="BT26" s="674"/>
    </row>
    <row r="27" spans="1:72">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c r="A29" s="680" t="s">
        <v>968</v>
      </c>
      <c r="B29" s="679" t="s">
        <v>1138</v>
      </c>
      <c r="C29" s="679"/>
      <c r="D29" s="679"/>
      <c r="E29" s="679"/>
      <c r="F29" s="678" t="s">
        <v>1248</v>
      </c>
      <c r="G29" s="678"/>
      <c r="H29" s="677">
        <v>89.400019107671724</v>
      </c>
      <c r="I29" s="674">
        <v>89.400019107671724</v>
      </c>
      <c r="J29" s="676"/>
      <c r="K29" s="676"/>
      <c r="L29" s="676"/>
      <c r="M29" s="676"/>
      <c r="N29" s="676"/>
      <c r="O29" s="676"/>
      <c r="P29" s="676">
        <v>89.400019107671724</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c r="A31" s="680" t="s">
        <v>968</v>
      </c>
      <c r="B31" s="679" t="s">
        <v>287</v>
      </c>
      <c r="C31" s="679"/>
      <c r="D31" s="679"/>
      <c r="E31" s="679"/>
      <c r="F31" s="678" t="s">
        <v>1246</v>
      </c>
      <c r="G31" s="678"/>
      <c r="H31" s="677">
        <v>15524.839973249258</v>
      </c>
      <c r="I31" s="674"/>
      <c r="J31" s="676"/>
      <c r="K31" s="676"/>
      <c r="L31" s="676"/>
      <c r="M31" s="676"/>
      <c r="N31" s="676"/>
      <c r="O31" s="676"/>
      <c r="P31" s="676"/>
      <c r="Q31" s="676"/>
      <c r="R31" s="676"/>
      <c r="S31" s="676"/>
      <c r="T31" s="676"/>
      <c r="U31" s="676"/>
      <c r="V31" s="676"/>
      <c r="W31" s="674">
        <v>15524.839973249258</v>
      </c>
      <c r="X31" s="676">
        <v>14223.225374988057</v>
      </c>
      <c r="Y31" s="676"/>
      <c r="Z31" s="676">
        <v>1202.2785898538264</v>
      </c>
      <c r="AA31" s="676">
        <v>99.312123817712802</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c r="A32" s="680" t="s">
        <v>968</v>
      </c>
      <c r="B32" s="679" t="s">
        <v>1245</v>
      </c>
      <c r="C32" s="679"/>
      <c r="D32" s="679"/>
      <c r="E32" s="679"/>
      <c r="F32" s="678" t="s">
        <v>1244</v>
      </c>
      <c r="G32" s="678"/>
      <c r="H32" s="677">
        <v>348.88220120378332</v>
      </c>
      <c r="I32" s="674">
        <v>0</v>
      </c>
      <c r="J32" s="676">
        <v>0</v>
      </c>
      <c r="K32" s="676">
        <v>0</v>
      </c>
      <c r="L32" s="676">
        <v>0</v>
      </c>
      <c r="M32" s="676">
        <v>0</v>
      </c>
      <c r="N32" s="676">
        <v>0</v>
      </c>
      <c r="O32" s="676">
        <v>0</v>
      </c>
      <c r="P32" s="676">
        <v>0</v>
      </c>
      <c r="Q32" s="676">
        <v>0</v>
      </c>
      <c r="R32" s="676">
        <v>0</v>
      </c>
      <c r="S32" s="676">
        <v>0</v>
      </c>
      <c r="T32" s="676">
        <v>0</v>
      </c>
      <c r="U32" s="676">
        <v>0</v>
      </c>
      <c r="V32" s="676">
        <v>0</v>
      </c>
      <c r="W32" s="674">
        <v>31.408235406515715</v>
      </c>
      <c r="X32" s="676"/>
      <c r="Y32" s="676"/>
      <c r="Z32" s="676"/>
      <c r="AA32" s="676"/>
      <c r="AB32" s="676"/>
      <c r="AC32" s="676">
        <v>9.2911053788095916</v>
      </c>
      <c r="AD32" s="676"/>
      <c r="AE32" s="676">
        <v>7.7147224610681189</v>
      </c>
      <c r="AF32" s="676"/>
      <c r="AG32" s="676"/>
      <c r="AH32" s="676"/>
      <c r="AI32" s="676"/>
      <c r="AJ32" s="676"/>
      <c r="AK32" s="676"/>
      <c r="AL32" s="676">
        <v>14.402407566638004</v>
      </c>
      <c r="AM32" s="676">
        <v>0</v>
      </c>
      <c r="AN32" s="676"/>
      <c r="AO32" s="676"/>
      <c r="AP32" s="676"/>
      <c r="AQ32" s="676"/>
      <c r="AR32" s="676"/>
      <c r="AS32" s="676"/>
      <c r="AT32" s="674">
        <v>15.716059998089232</v>
      </c>
      <c r="AU32" s="676">
        <v>15.381675742810737</v>
      </c>
      <c r="AV32" s="676">
        <v>0</v>
      </c>
      <c r="AW32" s="676">
        <v>0.3343842552784943</v>
      </c>
      <c r="AX32" s="676">
        <v>0</v>
      </c>
      <c r="AY32" s="676">
        <v>0</v>
      </c>
      <c r="AZ32" s="674">
        <v>174.62023502436227</v>
      </c>
      <c r="BA32" s="676"/>
      <c r="BB32" s="676"/>
      <c r="BC32" s="676"/>
      <c r="BD32" s="676">
        <v>0</v>
      </c>
      <c r="BE32" s="676"/>
      <c r="BF32" s="676">
        <v>124.43871214292538</v>
      </c>
      <c r="BG32" s="676"/>
      <c r="BH32" s="676">
        <v>3.6065730390751884</v>
      </c>
      <c r="BI32" s="676">
        <v>46.574949842361704</v>
      </c>
      <c r="BJ32" s="676">
        <v>0</v>
      </c>
      <c r="BK32" s="676">
        <v>0</v>
      </c>
      <c r="BL32" s="676">
        <v>0</v>
      </c>
      <c r="BM32" s="676">
        <v>0</v>
      </c>
      <c r="BN32" s="676">
        <v>0</v>
      </c>
      <c r="BO32" s="674">
        <v>46.574949842361704</v>
      </c>
      <c r="BP32" s="676">
        <v>0</v>
      </c>
      <c r="BQ32" s="676">
        <v>46.574949842361704</v>
      </c>
      <c r="BR32" s="675"/>
      <c r="BS32" s="675"/>
      <c r="BT32" s="674">
        <v>80.562720932454383</v>
      </c>
    </row>
    <row r="33" spans="1:72">
      <c r="A33" s="681"/>
      <c r="B33" s="680" t="s">
        <v>968</v>
      </c>
      <c r="C33" s="679" t="s">
        <v>1243</v>
      </c>
      <c r="D33" s="679"/>
      <c r="E33" s="679"/>
      <c r="F33" s="678" t="s">
        <v>1242</v>
      </c>
      <c r="G33" s="678"/>
      <c r="H33" s="677">
        <v>268.29559568166616</v>
      </c>
      <c r="I33" s="674">
        <v>0</v>
      </c>
      <c r="J33" s="676">
        <v>0</v>
      </c>
      <c r="K33" s="676">
        <v>0</v>
      </c>
      <c r="L33" s="676">
        <v>0</v>
      </c>
      <c r="M33" s="676">
        <v>0</v>
      </c>
      <c r="N33" s="676">
        <v>0</v>
      </c>
      <c r="O33" s="676">
        <v>0</v>
      </c>
      <c r="P33" s="676">
        <v>0</v>
      </c>
      <c r="Q33" s="676">
        <v>0</v>
      </c>
      <c r="R33" s="676">
        <v>0</v>
      </c>
      <c r="S33" s="676">
        <v>0</v>
      </c>
      <c r="T33" s="676">
        <v>0</v>
      </c>
      <c r="U33" s="676">
        <v>0</v>
      </c>
      <c r="V33" s="676">
        <v>0</v>
      </c>
      <c r="W33" s="674">
        <v>31.408235406515715</v>
      </c>
      <c r="X33" s="676"/>
      <c r="Y33" s="676"/>
      <c r="Z33" s="676"/>
      <c r="AA33" s="676"/>
      <c r="AB33" s="676"/>
      <c r="AC33" s="676">
        <v>9.2911053788095916</v>
      </c>
      <c r="AD33" s="676"/>
      <c r="AE33" s="676">
        <v>7.7147224610681189</v>
      </c>
      <c r="AF33" s="676"/>
      <c r="AG33" s="676"/>
      <c r="AH33" s="676"/>
      <c r="AI33" s="676"/>
      <c r="AJ33" s="676"/>
      <c r="AK33" s="676"/>
      <c r="AL33" s="676">
        <v>14.402407566638004</v>
      </c>
      <c r="AM33" s="676">
        <v>0</v>
      </c>
      <c r="AN33" s="676"/>
      <c r="AO33" s="676"/>
      <c r="AP33" s="676"/>
      <c r="AQ33" s="676"/>
      <c r="AR33" s="676"/>
      <c r="AS33" s="676"/>
      <c r="AT33" s="674">
        <v>15.716059998089232</v>
      </c>
      <c r="AU33" s="676">
        <v>15.381675742810737</v>
      </c>
      <c r="AV33" s="676">
        <v>0</v>
      </c>
      <c r="AW33" s="676">
        <v>0.3343842552784943</v>
      </c>
      <c r="AX33" s="676">
        <v>0</v>
      </c>
      <c r="AY33" s="676">
        <v>0</v>
      </c>
      <c r="AZ33" s="674">
        <v>174.62023502436227</v>
      </c>
      <c r="BA33" s="676"/>
      <c r="BB33" s="676"/>
      <c r="BC33" s="676"/>
      <c r="BD33" s="676">
        <v>0</v>
      </c>
      <c r="BE33" s="676"/>
      <c r="BF33" s="676">
        <v>124.43871214292538</v>
      </c>
      <c r="BG33" s="676"/>
      <c r="BH33" s="676">
        <v>3.6065730390751884</v>
      </c>
      <c r="BI33" s="676">
        <v>46.574949842361704</v>
      </c>
      <c r="BJ33" s="676">
        <v>0</v>
      </c>
      <c r="BK33" s="676">
        <v>0</v>
      </c>
      <c r="BL33" s="676">
        <v>0</v>
      </c>
      <c r="BM33" s="676">
        <v>0</v>
      </c>
      <c r="BN33" s="676">
        <v>0</v>
      </c>
      <c r="BO33" s="674">
        <v>46.574949842361704</v>
      </c>
      <c r="BP33" s="676">
        <v>0</v>
      </c>
      <c r="BQ33" s="676">
        <v>46.574949842361704</v>
      </c>
      <c r="BR33" s="675"/>
      <c r="BS33" s="675"/>
      <c r="BT33" s="674"/>
    </row>
    <row r="34" spans="1:72">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c r="A35" s="681"/>
      <c r="B35" s="680" t="s">
        <v>968</v>
      </c>
      <c r="C35" s="679" t="s">
        <v>1239</v>
      </c>
      <c r="D35" s="679"/>
      <c r="E35" s="679"/>
      <c r="F35" s="678" t="s">
        <v>1238</v>
      </c>
      <c r="G35" s="678"/>
      <c r="H35" s="677">
        <v>14.521830514951752</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14.521830514951752</v>
      </c>
    </row>
    <row r="36" spans="1:72">
      <c r="A36" s="681"/>
      <c r="B36" s="680" t="s">
        <v>968</v>
      </c>
      <c r="C36" s="679" t="s">
        <v>1237</v>
      </c>
      <c r="D36" s="679"/>
      <c r="E36" s="679"/>
      <c r="F36" s="678" t="s">
        <v>1236</v>
      </c>
      <c r="G36" s="678"/>
      <c r="H36" s="677">
        <v>66.040890417502624</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66.040890417502624</v>
      </c>
    </row>
    <row r="37" spans="1:72">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c r="A44" s="722" t="s">
        <v>1224</v>
      </c>
      <c r="B44" s="722"/>
      <c r="C44" s="722"/>
      <c r="D44" s="722"/>
      <c r="E44" s="722"/>
      <c r="F44" s="721" t="s">
        <v>1223</v>
      </c>
      <c r="G44" s="721"/>
      <c r="H44" s="720">
        <v>16401.953759434411</v>
      </c>
      <c r="I44" s="717">
        <v>0</v>
      </c>
      <c r="J44" s="719"/>
      <c r="K44" s="719"/>
      <c r="L44" s="719"/>
      <c r="M44" s="719"/>
      <c r="N44" s="719"/>
      <c r="O44" s="719">
        <v>0</v>
      </c>
      <c r="P44" s="719">
        <v>0</v>
      </c>
      <c r="Q44" s="719">
        <v>0</v>
      </c>
      <c r="R44" s="719">
        <v>0</v>
      </c>
      <c r="S44" s="719">
        <v>0</v>
      </c>
      <c r="T44" s="719"/>
      <c r="U44" s="719">
        <v>0</v>
      </c>
      <c r="V44" s="719"/>
      <c r="W44" s="717">
        <v>15502.86615075953</v>
      </c>
      <c r="X44" s="719"/>
      <c r="Y44" s="719"/>
      <c r="Z44" s="719"/>
      <c r="AA44" s="719"/>
      <c r="AB44" s="719"/>
      <c r="AC44" s="719">
        <v>421.37193083022834</v>
      </c>
      <c r="AD44" s="719"/>
      <c r="AE44" s="719">
        <v>475.66160313365816</v>
      </c>
      <c r="AF44" s="719">
        <v>3861.7559950320051</v>
      </c>
      <c r="AG44" s="719"/>
      <c r="AH44" s="719"/>
      <c r="AI44" s="719">
        <v>515.73994458775201</v>
      </c>
      <c r="AJ44" s="719">
        <v>229.55479124868634</v>
      </c>
      <c r="AK44" s="719">
        <v>2006.9026464125345</v>
      </c>
      <c r="AL44" s="719">
        <v>6342.2900544568638</v>
      </c>
      <c r="AM44" s="719">
        <v>1520.015286137384</v>
      </c>
      <c r="AN44" s="719"/>
      <c r="AO44" s="719"/>
      <c r="AP44" s="719"/>
      <c r="AQ44" s="719">
        <v>129.57389892041655</v>
      </c>
      <c r="AR44" s="719"/>
      <c r="AS44" s="719"/>
      <c r="AT44" s="717">
        <v>89.400019107671724</v>
      </c>
      <c r="AU44" s="719"/>
      <c r="AV44" s="719">
        <v>0</v>
      </c>
      <c r="AW44" s="719">
        <v>89.400019107671724</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521.13786185153333</v>
      </c>
      <c r="BT44" s="717">
        <v>288.57361230534059</v>
      </c>
    </row>
    <row r="45" spans="1:72">
      <c r="A45" s="688" t="s">
        <v>968</v>
      </c>
      <c r="B45" s="687" t="s">
        <v>1222</v>
      </c>
      <c r="C45" s="687"/>
      <c r="D45" s="687"/>
      <c r="E45" s="687"/>
      <c r="F45" s="686" t="s">
        <v>1221</v>
      </c>
      <c r="G45" s="686"/>
      <c r="H45" s="685">
        <v>492.38081589758286</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203.80720359224227</v>
      </c>
      <c r="BT45" s="682">
        <v>288.57361230534059</v>
      </c>
    </row>
    <row r="46" spans="1:72">
      <c r="A46" s="681"/>
      <c r="B46" s="680" t="s">
        <v>968</v>
      </c>
      <c r="C46" s="679" t="s">
        <v>1220</v>
      </c>
      <c r="D46" s="679"/>
      <c r="E46" s="679"/>
      <c r="F46" s="678" t="s">
        <v>1219</v>
      </c>
      <c r="G46" s="678"/>
      <c r="H46" s="677">
        <v>243.09735358746536</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203.80720359224227</v>
      </c>
      <c r="BT46" s="674">
        <v>39.290149995223082</v>
      </c>
    </row>
    <row r="47" spans="1:72">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c r="A48" s="681"/>
      <c r="B48" s="679"/>
      <c r="C48" s="680" t="s">
        <v>968</v>
      </c>
      <c r="D48" s="679" t="s">
        <v>1216</v>
      </c>
      <c r="E48" s="679"/>
      <c r="F48" s="678" t="s">
        <v>1215</v>
      </c>
      <c r="G48" s="678"/>
      <c r="H48" s="677">
        <v>12.037833190025795</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12.037833190025795</v>
      </c>
    </row>
    <row r="49" spans="1:72">
      <c r="A49" s="681"/>
      <c r="B49" s="679"/>
      <c r="C49" s="680" t="s">
        <v>968</v>
      </c>
      <c r="D49" s="679" t="s">
        <v>1214</v>
      </c>
      <c r="E49" s="679"/>
      <c r="F49" s="678" t="s">
        <v>1213</v>
      </c>
      <c r="G49" s="678"/>
      <c r="H49" s="677">
        <v>0</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0</v>
      </c>
    </row>
    <row r="50" spans="1:72">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c r="A52" s="681"/>
      <c r="B52" s="679"/>
      <c r="C52" s="680" t="s">
        <v>968</v>
      </c>
      <c r="D52" s="679" t="s">
        <v>1208</v>
      </c>
      <c r="E52" s="679"/>
      <c r="F52" s="678" t="s">
        <v>1207</v>
      </c>
      <c r="G52" s="678"/>
      <c r="H52" s="677">
        <v>27.252316805197285</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27.252316805197285</v>
      </c>
    </row>
    <row r="53" spans="1:72">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c r="A56" s="681"/>
      <c r="B56" s="679"/>
      <c r="C56" s="680" t="s">
        <v>968</v>
      </c>
      <c r="D56" s="679" t="s">
        <v>1200</v>
      </c>
      <c r="E56" s="679"/>
      <c r="F56" s="678" t="s">
        <v>1199</v>
      </c>
      <c r="G56" s="678"/>
      <c r="H56" s="677">
        <v>202.54132034011656</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202.54132034011656</v>
      </c>
      <c r="BT56" s="674"/>
    </row>
    <row r="57" spans="1:72">
      <c r="A57" s="681"/>
      <c r="B57" s="679"/>
      <c r="C57" s="680" t="s">
        <v>968</v>
      </c>
      <c r="D57" s="679" t="s">
        <v>1198</v>
      </c>
      <c r="E57" s="679"/>
      <c r="F57" s="678" t="s">
        <v>1197</v>
      </c>
      <c r="G57" s="678"/>
      <c r="H57" s="677">
        <v>0.85984522785898532</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0.85984522785898532</v>
      </c>
      <c r="BT57" s="674"/>
    </row>
    <row r="58" spans="1:72">
      <c r="A58" s="681"/>
      <c r="B58" s="679"/>
      <c r="C58" s="680" t="s">
        <v>968</v>
      </c>
      <c r="D58" s="679" t="s">
        <v>1196</v>
      </c>
      <c r="E58" s="679"/>
      <c r="F58" s="678" t="s">
        <v>1195</v>
      </c>
      <c r="G58" s="678"/>
      <c r="H58" s="677">
        <v>0.40603802426674307</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0.40603802426674307</v>
      </c>
      <c r="BT58" s="674"/>
    </row>
    <row r="59" spans="1:72">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c r="A61" s="681"/>
      <c r="B61" s="680" t="s">
        <v>968</v>
      </c>
      <c r="C61" s="679" t="s">
        <v>1190</v>
      </c>
      <c r="D61" s="679"/>
      <c r="E61" s="679"/>
      <c r="F61" s="678" t="s">
        <v>1189</v>
      </c>
      <c r="G61" s="678"/>
      <c r="H61" s="677">
        <v>249.25957772045476</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249.25957772045476</v>
      </c>
    </row>
    <row r="62" spans="1:72">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c r="A63" s="681"/>
      <c r="B63" s="679"/>
      <c r="C63" s="680" t="s">
        <v>968</v>
      </c>
      <c r="D63" s="679" t="s">
        <v>1186</v>
      </c>
      <c r="E63" s="679"/>
      <c r="F63" s="678" t="s">
        <v>1185</v>
      </c>
      <c r="G63" s="678"/>
      <c r="H63" s="677">
        <v>249.0923855928155</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249.0923855928155</v>
      </c>
    </row>
    <row r="64" spans="1:72">
      <c r="A64" s="681"/>
      <c r="B64" s="679"/>
      <c r="C64" s="680" t="s">
        <v>968</v>
      </c>
      <c r="D64" s="679" t="s">
        <v>1184</v>
      </c>
      <c r="E64" s="679"/>
      <c r="F64" s="678" t="s">
        <v>1183</v>
      </c>
      <c r="G64" s="678"/>
      <c r="H64" s="677">
        <v>0.16719212763924715</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0.16719212763924715</v>
      </c>
    </row>
    <row r="65" spans="1:72">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c r="A87" s="680" t="s">
        <v>968</v>
      </c>
      <c r="B87" s="679" t="s">
        <v>1138</v>
      </c>
      <c r="C87" s="679"/>
      <c r="D87" s="679"/>
      <c r="E87" s="679"/>
      <c r="F87" s="678" t="s">
        <v>1137</v>
      </c>
      <c r="G87" s="678"/>
      <c r="H87" s="677">
        <v>89.400019107671724</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89.400019107671724</v>
      </c>
      <c r="AU87" s="676"/>
      <c r="AV87" s="676"/>
      <c r="AW87" s="676">
        <v>89.400019107671724</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c r="A89" s="680" t="s">
        <v>968</v>
      </c>
      <c r="B89" s="679" t="s">
        <v>287</v>
      </c>
      <c r="C89" s="679"/>
      <c r="D89" s="679"/>
      <c r="E89" s="679"/>
      <c r="F89" s="678" t="s">
        <v>1135</v>
      </c>
      <c r="G89" s="678"/>
      <c r="H89" s="677">
        <v>15502.86615075953</v>
      </c>
      <c r="I89" s="674"/>
      <c r="J89" s="676"/>
      <c r="K89" s="676"/>
      <c r="L89" s="676"/>
      <c r="M89" s="676"/>
      <c r="N89" s="676"/>
      <c r="O89" s="676"/>
      <c r="P89" s="676"/>
      <c r="Q89" s="676"/>
      <c r="R89" s="676"/>
      <c r="S89" s="676"/>
      <c r="T89" s="676"/>
      <c r="U89" s="676"/>
      <c r="V89" s="676"/>
      <c r="W89" s="674">
        <v>15502.86615075953</v>
      </c>
      <c r="X89" s="676"/>
      <c r="Y89" s="676"/>
      <c r="Z89" s="676"/>
      <c r="AA89" s="676"/>
      <c r="AB89" s="676"/>
      <c r="AC89" s="676">
        <v>421.37193083022834</v>
      </c>
      <c r="AD89" s="676"/>
      <c r="AE89" s="676">
        <v>475.66160313365816</v>
      </c>
      <c r="AF89" s="676">
        <v>3861.7559950320051</v>
      </c>
      <c r="AG89" s="676"/>
      <c r="AH89" s="676"/>
      <c r="AI89" s="676">
        <v>515.73994458775201</v>
      </c>
      <c r="AJ89" s="676">
        <v>229.55479124868634</v>
      </c>
      <c r="AK89" s="676">
        <v>2006.9026464125345</v>
      </c>
      <c r="AL89" s="676">
        <v>6342.2900544568638</v>
      </c>
      <c r="AM89" s="676">
        <v>1520.015286137384</v>
      </c>
      <c r="AN89" s="676"/>
      <c r="AO89" s="676"/>
      <c r="AP89" s="676"/>
      <c r="AQ89" s="676">
        <v>129.57389892041655</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c r="A93" s="680" t="s">
        <v>968</v>
      </c>
      <c r="B93" s="679" t="s">
        <v>1129</v>
      </c>
      <c r="C93" s="679"/>
      <c r="D93" s="679"/>
      <c r="E93" s="679"/>
      <c r="F93" s="678" t="s">
        <v>1128</v>
      </c>
      <c r="G93" s="678"/>
      <c r="H93" s="677">
        <v>317.33065825929111</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317.33065825929111</v>
      </c>
      <c r="BT93" s="674"/>
    </row>
    <row r="94" spans="1:72">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c r="A96" s="681"/>
      <c r="B96" s="680" t="s">
        <v>968</v>
      </c>
      <c r="C96" s="679" t="s">
        <v>1123</v>
      </c>
      <c r="D96" s="679"/>
      <c r="E96" s="679"/>
      <c r="F96" s="678" t="s">
        <v>1122</v>
      </c>
      <c r="G96" s="678"/>
      <c r="H96" s="677">
        <v>186.13260724180756</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186.13260724180756</v>
      </c>
      <c r="BT96" s="674"/>
    </row>
    <row r="97" spans="1:72">
      <c r="A97" s="681"/>
      <c r="B97" s="680" t="s">
        <v>968</v>
      </c>
      <c r="C97" s="679" t="s">
        <v>1121</v>
      </c>
      <c r="D97" s="679"/>
      <c r="E97" s="679"/>
      <c r="F97" s="678" t="s">
        <v>1120</v>
      </c>
      <c r="G97" s="678"/>
      <c r="H97" s="677">
        <v>36.901691028948122</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36.901691028948122</v>
      </c>
      <c r="BT97" s="674"/>
    </row>
    <row r="98" spans="1:72">
      <c r="A98" s="681"/>
      <c r="B98" s="680" t="s">
        <v>968</v>
      </c>
      <c r="C98" s="679" t="s">
        <v>1119</v>
      </c>
      <c r="D98" s="679"/>
      <c r="E98" s="679"/>
      <c r="F98" s="678" t="s">
        <v>1118</v>
      </c>
      <c r="G98" s="678"/>
      <c r="H98" s="677">
        <v>65.754275341549629</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65.754275341549629</v>
      </c>
      <c r="BT98" s="674"/>
    </row>
    <row r="99" spans="1:72">
      <c r="A99" s="681"/>
      <c r="B99" s="680" t="s">
        <v>968</v>
      </c>
      <c r="C99" s="679" t="s">
        <v>1117</v>
      </c>
      <c r="D99" s="679"/>
      <c r="E99" s="679"/>
      <c r="F99" s="678" t="s">
        <v>1116</v>
      </c>
      <c r="G99" s="678"/>
      <c r="H99" s="677">
        <v>17.411865864144453</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17.411865864144453</v>
      </c>
      <c r="BT99" s="674"/>
    </row>
    <row r="100" spans="1:72">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c r="A106" s="681"/>
      <c r="B106" s="680" t="s">
        <v>968</v>
      </c>
      <c r="C106" s="679" t="s">
        <v>1103</v>
      </c>
      <c r="D106" s="679"/>
      <c r="E106" s="679"/>
      <c r="F106" s="678" t="s">
        <v>1102</v>
      </c>
      <c r="G106" s="678"/>
      <c r="H106" s="677">
        <v>0.50157638291774143</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0.50157638291774143</v>
      </c>
      <c r="BT106" s="674"/>
    </row>
    <row r="107" spans="1:72">
      <c r="A107" s="681"/>
      <c r="B107" s="680" t="s">
        <v>968</v>
      </c>
      <c r="C107" s="679" t="s">
        <v>1101</v>
      </c>
      <c r="D107" s="679"/>
      <c r="E107" s="679"/>
      <c r="F107" s="678" t="s">
        <v>1100</v>
      </c>
      <c r="G107" s="678"/>
      <c r="H107" s="677">
        <v>10.628642399923569</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10.628642399923569</v>
      </c>
      <c r="BT107" s="674"/>
    </row>
    <row r="108" spans="1:72">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c r="A109" s="709" t="s">
        <v>1097</v>
      </c>
      <c r="B109" s="709"/>
      <c r="C109" s="709"/>
      <c r="D109" s="709"/>
      <c r="E109" s="709"/>
      <c r="F109" s="708" t="s">
        <v>1096</v>
      </c>
      <c r="G109" s="708"/>
      <c r="H109" s="707">
        <v>434.62787809305433</v>
      </c>
      <c r="I109" s="704"/>
      <c r="J109" s="706"/>
      <c r="K109" s="706"/>
      <c r="L109" s="706"/>
      <c r="M109" s="706"/>
      <c r="N109" s="706"/>
      <c r="O109" s="706"/>
      <c r="P109" s="706"/>
      <c r="Q109" s="706"/>
      <c r="R109" s="706"/>
      <c r="S109" s="706"/>
      <c r="T109" s="706"/>
      <c r="U109" s="706"/>
      <c r="V109" s="706"/>
      <c r="W109" s="704">
        <v>434.62787809305433</v>
      </c>
      <c r="X109" s="706">
        <v>0</v>
      </c>
      <c r="Y109" s="706">
        <v>-9500</v>
      </c>
      <c r="Z109" s="706">
        <v>1245.7246584503678</v>
      </c>
      <c r="AA109" s="706"/>
      <c r="AB109" s="706"/>
      <c r="AC109" s="706">
        <v>0</v>
      </c>
      <c r="AD109" s="706">
        <v>1486.4574376612209</v>
      </c>
      <c r="AE109" s="706">
        <v>5805.9854781694848</v>
      </c>
      <c r="AF109" s="706">
        <v>0</v>
      </c>
      <c r="AG109" s="706">
        <v>0</v>
      </c>
      <c r="AH109" s="706">
        <v>0</v>
      </c>
      <c r="AI109" s="706">
        <v>0</v>
      </c>
      <c r="AJ109" s="706">
        <v>0</v>
      </c>
      <c r="AK109" s="706">
        <v>2536.40011464603</v>
      </c>
      <c r="AL109" s="706">
        <v>-1.0270373554982324</v>
      </c>
      <c r="AM109" s="706">
        <v>-1137.8618515333906</v>
      </c>
      <c r="AN109" s="706">
        <v>-1.0509219451609821</v>
      </c>
      <c r="AO109" s="706">
        <v>0</v>
      </c>
      <c r="AP109" s="706">
        <v>0</v>
      </c>
      <c r="AQ109" s="706">
        <v>0</v>
      </c>
      <c r="AR109" s="706">
        <v>0</v>
      </c>
      <c r="AS109" s="706">
        <v>0</v>
      </c>
      <c r="AT109" s="704"/>
      <c r="AU109" s="706"/>
      <c r="AV109" s="706"/>
      <c r="AW109" s="706"/>
      <c r="AX109" s="706"/>
      <c r="AY109" s="706"/>
      <c r="AZ109" s="704">
        <v>-12320.555077863763</v>
      </c>
      <c r="BA109" s="706">
        <v>-12187.446259673257</v>
      </c>
      <c r="BB109" s="706">
        <v>-133.10881819050348</v>
      </c>
      <c r="BC109" s="706">
        <v>0</v>
      </c>
      <c r="BD109" s="706"/>
      <c r="BE109" s="706">
        <v>0</v>
      </c>
      <c r="BF109" s="706"/>
      <c r="BG109" s="706"/>
      <c r="BH109" s="706"/>
      <c r="BI109" s="706"/>
      <c r="BJ109" s="706">
        <v>0</v>
      </c>
      <c r="BK109" s="706">
        <v>0</v>
      </c>
      <c r="BL109" s="706">
        <v>0</v>
      </c>
      <c r="BM109" s="706"/>
      <c r="BN109" s="706"/>
      <c r="BO109" s="704"/>
      <c r="BP109" s="706"/>
      <c r="BQ109" s="706"/>
      <c r="BR109" s="705"/>
      <c r="BS109" s="705"/>
      <c r="BT109" s="704">
        <v>12320.555077863763</v>
      </c>
    </row>
    <row r="110" spans="1:72">
      <c r="A110" s="688" t="s">
        <v>968</v>
      </c>
      <c r="B110" s="687" t="s">
        <v>1095</v>
      </c>
      <c r="C110" s="687"/>
      <c r="D110" s="687"/>
      <c r="E110" s="687"/>
      <c r="F110" s="686" t="s">
        <v>1094</v>
      </c>
      <c r="G110" s="686"/>
      <c r="H110" s="685">
        <v>372.88621381484666</v>
      </c>
      <c r="I110" s="682"/>
      <c r="J110" s="684"/>
      <c r="K110" s="684"/>
      <c r="L110" s="684"/>
      <c r="M110" s="684"/>
      <c r="N110" s="684"/>
      <c r="O110" s="684"/>
      <c r="P110" s="684"/>
      <c r="Q110" s="684"/>
      <c r="R110" s="684"/>
      <c r="S110" s="684"/>
      <c r="T110" s="684"/>
      <c r="U110" s="684"/>
      <c r="V110" s="684"/>
      <c r="W110" s="682">
        <v>372.88621381484666</v>
      </c>
      <c r="X110" s="684"/>
      <c r="Y110" s="684">
        <v>-9500</v>
      </c>
      <c r="Z110" s="684"/>
      <c r="AA110" s="684"/>
      <c r="AB110" s="684"/>
      <c r="AC110" s="684"/>
      <c r="AD110" s="684">
        <v>1504.0842648323301</v>
      </c>
      <c r="AE110" s="684">
        <v>5832.4257189261489</v>
      </c>
      <c r="AF110" s="684"/>
      <c r="AG110" s="684"/>
      <c r="AH110" s="684"/>
      <c r="AI110" s="684"/>
      <c r="AJ110" s="684"/>
      <c r="AK110" s="684">
        <v>2536.40011464603</v>
      </c>
      <c r="AL110" s="684"/>
      <c r="AM110" s="684">
        <v>0</v>
      </c>
      <c r="AN110" s="684"/>
      <c r="AO110" s="684"/>
      <c r="AP110" s="684"/>
      <c r="AQ110" s="684"/>
      <c r="AR110" s="684"/>
      <c r="AS110" s="684"/>
      <c r="AT110" s="682"/>
      <c r="AU110" s="684"/>
      <c r="AV110" s="684"/>
      <c r="AW110" s="684"/>
      <c r="AX110" s="684"/>
      <c r="AY110" s="684"/>
      <c r="AZ110" s="682">
        <v>-12320.555077863763</v>
      </c>
      <c r="BA110" s="684">
        <v>-12187.446259673257</v>
      </c>
      <c r="BB110" s="684">
        <v>-133.10881819050348</v>
      </c>
      <c r="BC110" s="684">
        <v>0</v>
      </c>
      <c r="BD110" s="684"/>
      <c r="BE110" s="684">
        <v>0</v>
      </c>
      <c r="BF110" s="684"/>
      <c r="BG110" s="684"/>
      <c r="BH110" s="684"/>
      <c r="BI110" s="684"/>
      <c r="BJ110" s="684"/>
      <c r="BK110" s="684"/>
      <c r="BL110" s="684"/>
      <c r="BM110" s="684"/>
      <c r="BN110" s="684"/>
      <c r="BO110" s="682"/>
      <c r="BP110" s="684"/>
      <c r="BQ110" s="684"/>
      <c r="BR110" s="683"/>
      <c r="BS110" s="683"/>
      <c r="BT110" s="682">
        <v>12320.555077863763</v>
      </c>
    </row>
    <row r="111" spans="1:72">
      <c r="A111" s="680" t="s">
        <v>968</v>
      </c>
      <c r="B111" s="679" t="s">
        <v>1093</v>
      </c>
      <c r="C111" s="679"/>
      <c r="D111" s="679"/>
      <c r="E111" s="679"/>
      <c r="F111" s="678" t="s">
        <v>1092</v>
      </c>
      <c r="G111" s="678"/>
      <c r="H111" s="677">
        <v>65.372121906945637</v>
      </c>
      <c r="I111" s="674"/>
      <c r="J111" s="676"/>
      <c r="K111" s="676"/>
      <c r="L111" s="676"/>
      <c r="M111" s="676"/>
      <c r="N111" s="676"/>
      <c r="O111" s="676"/>
      <c r="P111" s="676"/>
      <c r="Q111" s="676"/>
      <c r="R111" s="676"/>
      <c r="S111" s="676"/>
      <c r="T111" s="676"/>
      <c r="U111" s="676"/>
      <c r="V111" s="676"/>
      <c r="W111" s="674">
        <v>65.372121906945637</v>
      </c>
      <c r="X111" s="676"/>
      <c r="Y111" s="676"/>
      <c r="Z111" s="676">
        <v>1202.2785898538264</v>
      </c>
      <c r="AA111" s="676"/>
      <c r="AB111" s="676"/>
      <c r="AC111" s="676"/>
      <c r="AD111" s="676"/>
      <c r="AE111" s="676"/>
      <c r="AF111" s="676"/>
      <c r="AG111" s="676"/>
      <c r="AH111" s="676"/>
      <c r="AI111" s="676"/>
      <c r="AJ111" s="676"/>
      <c r="AK111" s="676"/>
      <c r="AL111" s="676"/>
      <c r="AM111" s="676">
        <v>-1136.9064679468806</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c r="A112" s="672" t="s">
        <v>968</v>
      </c>
      <c r="B112" s="671" t="s">
        <v>1091</v>
      </c>
      <c r="C112" s="671"/>
      <c r="D112" s="671"/>
      <c r="E112" s="671"/>
      <c r="F112" s="670" t="s">
        <v>1090</v>
      </c>
      <c r="G112" s="670"/>
      <c r="H112" s="669">
        <v>-3.630457628737938</v>
      </c>
      <c r="I112" s="666"/>
      <c r="J112" s="668"/>
      <c r="K112" s="668"/>
      <c r="L112" s="668"/>
      <c r="M112" s="668"/>
      <c r="N112" s="668"/>
      <c r="O112" s="668"/>
      <c r="P112" s="668"/>
      <c r="Q112" s="668"/>
      <c r="R112" s="668"/>
      <c r="S112" s="668"/>
      <c r="T112" s="668"/>
      <c r="U112" s="668"/>
      <c r="V112" s="668"/>
      <c r="W112" s="666">
        <v>-3.630457628737938</v>
      </c>
      <c r="X112" s="668">
        <v>0</v>
      </c>
      <c r="Y112" s="668">
        <v>0</v>
      </c>
      <c r="Z112" s="668">
        <v>43.446068596541508</v>
      </c>
      <c r="AA112" s="668"/>
      <c r="AB112" s="668"/>
      <c r="AC112" s="668">
        <v>0</v>
      </c>
      <c r="AD112" s="668">
        <v>-17.626827171109198</v>
      </c>
      <c r="AE112" s="668">
        <v>-26.416356167001048</v>
      </c>
      <c r="AF112" s="668">
        <v>0</v>
      </c>
      <c r="AG112" s="668">
        <v>0</v>
      </c>
      <c r="AH112" s="668">
        <v>0</v>
      </c>
      <c r="AI112" s="668">
        <v>0</v>
      </c>
      <c r="AJ112" s="668">
        <v>0</v>
      </c>
      <c r="AK112" s="668">
        <v>0</v>
      </c>
      <c r="AL112" s="668">
        <v>-1.0270373554982324</v>
      </c>
      <c r="AM112" s="668">
        <v>-0.95538358650998367</v>
      </c>
      <c r="AN112" s="668">
        <v>-1.0509219451609821</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c r="A113" s="709" t="s">
        <v>1089</v>
      </c>
      <c r="B113" s="709"/>
      <c r="C113" s="709"/>
      <c r="D113" s="709"/>
      <c r="E113" s="709"/>
      <c r="F113" s="708" t="s">
        <v>1088</v>
      </c>
      <c r="G113" s="708"/>
      <c r="H113" s="707">
        <v>5157.303907518869</v>
      </c>
      <c r="I113" s="704">
        <v>0</v>
      </c>
      <c r="J113" s="706">
        <v>0</v>
      </c>
      <c r="K113" s="706">
        <v>0</v>
      </c>
      <c r="L113" s="706">
        <v>0</v>
      </c>
      <c r="M113" s="706">
        <v>0</v>
      </c>
      <c r="N113" s="706">
        <v>0</v>
      </c>
      <c r="O113" s="706">
        <v>0</v>
      </c>
      <c r="P113" s="706">
        <v>0</v>
      </c>
      <c r="Q113" s="706">
        <v>0</v>
      </c>
      <c r="R113" s="706">
        <v>0</v>
      </c>
      <c r="S113" s="706">
        <v>0</v>
      </c>
      <c r="T113" s="706">
        <v>0</v>
      </c>
      <c r="U113" s="706">
        <v>0</v>
      </c>
      <c r="V113" s="706">
        <v>0</v>
      </c>
      <c r="W113" s="704">
        <v>848.90608579344598</v>
      </c>
      <c r="X113" s="706"/>
      <c r="Y113" s="706"/>
      <c r="Z113" s="706"/>
      <c r="AA113" s="706"/>
      <c r="AB113" s="706"/>
      <c r="AC113" s="706">
        <v>393.49861469379954</v>
      </c>
      <c r="AD113" s="706"/>
      <c r="AE113" s="706"/>
      <c r="AF113" s="706"/>
      <c r="AG113" s="706"/>
      <c r="AH113" s="706"/>
      <c r="AI113" s="706"/>
      <c r="AJ113" s="706"/>
      <c r="AK113" s="706"/>
      <c r="AL113" s="706">
        <v>221.31460781503773</v>
      </c>
      <c r="AM113" s="706">
        <v>0</v>
      </c>
      <c r="AN113" s="706"/>
      <c r="AO113" s="706"/>
      <c r="AP113" s="706"/>
      <c r="AQ113" s="706">
        <v>234.068978694946</v>
      </c>
      <c r="AR113" s="706"/>
      <c r="AS113" s="706"/>
      <c r="AT113" s="704">
        <v>3605.689309257667</v>
      </c>
      <c r="AU113" s="706">
        <v>3605.689309257667</v>
      </c>
      <c r="AV113" s="706">
        <v>0</v>
      </c>
      <c r="AW113" s="706">
        <v>0</v>
      </c>
      <c r="AX113" s="706">
        <v>0</v>
      </c>
      <c r="AY113" s="706">
        <v>0</v>
      </c>
      <c r="AZ113" s="704">
        <v>0</v>
      </c>
      <c r="BA113" s="706"/>
      <c r="BB113" s="706"/>
      <c r="BC113" s="706"/>
      <c r="BD113" s="706">
        <v>0</v>
      </c>
      <c r="BE113" s="706"/>
      <c r="BF113" s="706">
        <v>0</v>
      </c>
      <c r="BG113" s="706">
        <v>0</v>
      </c>
      <c r="BH113" s="706">
        <v>0</v>
      </c>
      <c r="BI113" s="706">
        <v>0</v>
      </c>
      <c r="BJ113" s="706">
        <v>0</v>
      </c>
      <c r="BK113" s="706">
        <v>0</v>
      </c>
      <c r="BL113" s="706">
        <v>0</v>
      </c>
      <c r="BM113" s="706">
        <v>0</v>
      </c>
      <c r="BN113" s="706">
        <v>0</v>
      </c>
      <c r="BO113" s="704">
        <v>0</v>
      </c>
      <c r="BP113" s="706">
        <v>0</v>
      </c>
      <c r="BQ113" s="706">
        <v>0</v>
      </c>
      <c r="BR113" s="705"/>
      <c r="BS113" s="705">
        <v>6.2338779019776434</v>
      </c>
      <c r="BT113" s="704">
        <v>696.47463456577816</v>
      </c>
    </row>
    <row r="114" spans="1:72">
      <c r="A114" s="688" t="s">
        <v>968</v>
      </c>
      <c r="B114" s="687" t="s">
        <v>1087</v>
      </c>
      <c r="C114" s="687"/>
      <c r="D114" s="687"/>
      <c r="E114" s="687"/>
      <c r="F114" s="686" t="s">
        <v>1086</v>
      </c>
      <c r="G114" s="686"/>
      <c r="H114" s="685">
        <v>50.205407471099647</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2.0540747109964648</v>
      </c>
      <c r="X114" s="684"/>
      <c r="Y114" s="684"/>
      <c r="Z114" s="684"/>
      <c r="AA114" s="684"/>
      <c r="AB114" s="684"/>
      <c r="AC114" s="684"/>
      <c r="AD114" s="684"/>
      <c r="AE114" s="684"/>
      <c r="AF114" s="684"/>
      <c r="AG114" s="684"/>
      <c r="AH114" s="684"/>
      <c r="AI114" s="684"/>
      <c r="AJ114" s="684"/>
      <c r="AK114" s="684"/>
      <c r="AL114" s="684">
        <v>2.0540747109964648</v>
      </c>
      <c r="AM114" s="684">
        <v>0</v>
      </c>
      <c r="AN114" s="684"/>
      <c r="AO114" s="684"/>
      <c r="AP114" s="684"/>
      <c r="AQ114" s="684"/>
      <c r="AR114" s="684"/>
      <c r="AS114" s="684"/>
      <c r="AT114" s="682">
        <v>0</v>
      </c>
      <c r="AU114" s="684">
        <v>0</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v>
      </c>
      <c r="BT114" s="682">
        <v>48.15133276010318</v>
      </c>
    </row>
    <row r="115" spans="1:72">
      <c r="A115" s="680" t="s">
        <v>968</v>
      </c>
      <c r="B115" s="679" t="s">
        <v>1085</v>
      </c>
      <c r="C115" s="679"/>
      <c r="D115" s="679"/>
      <c r="E115" s="679"/>
      <c r="F115" s="678" t="s">
        <v>1084</v>
      </c>
      <c r="G115" s="678"/>
      <c r="H115" s="677">
        <v>39.88726473679182</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39.88726473679182</v>
      </c>
    </row>
    <row r="116" spans="1:72">
      <c r="A116" s="680"/>
      <c r="B116" s="680" t="s">
        <v>968</v>
      </c>
      <c r="C116" s="679" t="s">
        <v>1083</v>
      </c>
      <c r="D116" s="679"/>
      <c r="E116" s="679"/>
      <c r="F116" s="678" t="s">
        <v>1082</v>
      </c>
      <c r="G116" s="678"/>
      <c r="H116" s="677">
        <v>132.08178083500525</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132.08178083500525</v>
      </c>
    </row>
    <row r="117" spans="1:72">
      <c r="A117" s="680"/>
      <c r="B117" s="680" t="s">
        <v>1081</v>
      </c>
      <c r="C117" s="679" t="s">
        <v>1080</v>
      </c>
      <c r="D117" s="679"/>
      <c r="E117" s="679"/>
      <c r="F117" s="678" t="s">
        <v>1079</v>
      </c>
      <c r="G117" s="678"/>
      <c r="H117" s="677">
        <v>92.170631508550684</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92.170631508550684</v>
      </c>
    </row>
    <row r="118" spans="1:72">
      <c r="A118" s="680"/>
      <c r="B118" s="680"/>
      <c r="C118" s="680" t="s">
        <v>968</v>
      </c>
      <c r="D118" s="679" t="s">
        <v>1078</v>
      </c>
      <c r="E118" s="679"/>
      <c r="F118" s="678" t="s">
        <v>1077</v>
      </c>
      <c r="G118" s="678"/>
      <c r="H118" s="677">
        <v>90.283748925193464</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90.283748925193464</v>
      </c>
    </row>
    <row r="119" spans="1:72">
      <c r="A119" s="680"/>
      <c r="B119" s="680"/>
      <c r="C119" s="680" t="s">
        <v>968</v>
      </c>
      <c r="D119" s="679" t="s">
        <v>1076</v>
      </c>
      <c r="E119" s="679"/>
      <c r="F119" s="678" t="s">
        <v>1075</v>
      </c>
      <c r="G119" s="678"/>
      <c r="H119" s="677">
        <v>1.8868825833572178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1.8868825833572178</v>
      </c>
    </row>
    <row r="120" spans="1:72">
      <c r="A120" s="680" t="s">
        <v>968</v>
      </c>
      <c r="B120" s="679" t="s">
        <v>1074</v>
      </c>
      <c r="C120" s="679"/>
      <c r="D120" s="679"/>
      <c r="E120" s="679"/>
      <c r="F120" s="678" t="s">
        <v>1073</v>
      </c>
      <c r="G120" s="678"/>
      <c r="H120" s="677">
        <v>4374.5820196809018</v>
      </c>
      <c r="I120" s="674"/>
      <c r="J120" s="676"/>
      <c r="K120" s="676"/>
      <c r="L120" s="676"/>
      <c r="M120" s="676"/>
      <c r="N120" s="676"/>
      <c r="O120" s="676"/>
      <c r="P120" s="676"/>
      <c r="Q120" s="676"/>
      <c r="R120" s="676"/>
      <c r="S120" s="676"/>
      <c r="T120" s="676"/>
      <c r="U120" s="676"/>
      <c r="V120" s="676"/>
      <c r="W120" s="674">
        <v>214.1253463265501</v>
      </c>
      <c r="X120" s="676"/>
      <c r="Y120" s="676"/>
      <c r="Z120" s="676"/>
      <c r="AA120" s="676"/>
      <c r="AB120" s="676"/>
      <c r="AC120" s="676"/>
      <c r="AD120" s="676"/>
      <c r="AE120" s="676"/>
      <c r="AF120" s="676"/>
      <c r="AG120" s="676"/>
      <c r="AH120" s="676"/>
      <c r="AI120" s="676"/>
      <c r="AJ120" s="676"/>
      <c r="AK120" s="676"/>
      <c r="AL120" s="676">
        <v>214.1253463265501</v>
      </c>
      <c r="AM120" s="676">
        <v>0</v>
      </c>
      <c r="AN120" s="676"/>
      <c r="AO120" s="676"/>
      <c r="AP120" s="676"/>
      <c r="AQ120" s="676"/>
      <c r="AR120" s="676"/>
      <c r="AS120" s="676"/>
      <c r="AT120" s="674">
        <v>3605.689309257667</v>
      </c>
      <c r="AU120" s="676">
        <v>3605.689309257667</v>
      </c>
      <c r="AV120" s="676"/>
      <c r="AW120" s="676"/>
      <c r="AX120" s="676"/>
      <c r="AY120" s="676"/>
      <c r="AZ120" s="674"/>
      <c r="BA120" s="676"/>
      <c r="BB120" s="676"/>
      <c r="BC120" s="676"/>
      <c r="BD120" s="676"/>
      <c r="BE120" s="676"/>
      <c r="BF120" s="676"/>
      <c r="BG120" s="676"/>
      <c r="BH120" s="676"/>
      <c r="BI120" s="676"/>
      <c r="BJ120" s="676"/>
      <c r="BK120" s="676"/>
      <c r="BL120" s="676"/>
      <c r="BM120" s="676"/>
      <c r="BN120" s="676"/>
      <c r="BO120" s="674"/>
      <c r="BP120" s="676"/>
      <c r="BQ120" s="676"/>
      <c r="BR120" s="675"/>
      <c r="BS120" s="675">
        <v>0</v>
      </c>
      <c r="BT120" s="674">
        <v>554.76736409668479</v>
      </c>
    </row>
    <row r="121" spans="1:72">
      <c r="A121" s="680" t="s">
        <v>968</v>
      </c>
      <c r="B121" s="679" t="s">
        <v>1072</v>
      </c>
      <c r="C121" s="679"/>
      <c r="D121" s="679"/>
      <c r="E121" s="679"/>
      <c r="F121" s="678" t="s">
        <v>1071</v>
      </c>
      <c r="G121" s="678"/>
      <c r="H121" s="677">
        <v>679.99426769848094</v>
      </c>
      <c r="I121" s="674">
        <v>0</v>
      </c>
      <c r="J121" s="676">
        <v>0</v>
      </c>
      <c r="K121" s="676">
        <v>0</v>
      </c>
      <c r="L121" s="676">
        <v>0</v>
      </c>
      <c r="M121" s="676">
        <v>0</v>
      </c>
      <c r="N121" s="676">
        <v>0</v>
      </c>
      <c r="O121" s="676">
        <v>0</v>
      </c>
      <c r="P121" s="676">
        <v>0</v>
      </c>
      <c r="Q121" s="676">
        <v>0</v>
      </c>
      <c r="R121" s="676">
        <v>0</v>
      </c>
      <c r="S121" s="676">
        <v>0</v>
      </c>
      <c r="T121" s="676">
        <v>0</v>
      </c>
      <c r="U121" s="676">
        <v>0</v>
      </c>
      <c r="V121" s="676">
        <v>0</v>
      </c>
      <c r="W121" s="674">
        <v>627.56759338874554</v>
      </c>
      <c r="X121" s="676"/>
      <c r="Y121" s="676"/>
      <c r="Z121" s="676"/>
      <c r="AA121" s="676"/>
      <c r="AB121" s="676"/>
      <c r="AC121" s="676">
        <v>393.49861469379954</v>
      </c>
      <c r="AD121" s="676"/>
      <c r="AE121" s="676"/>
      <c r="AF121" s="676"/>
      <c r="AG121" s="676"/>
      <c r="AH121" s="676"/>
      <c r="AI121" s="676"/>
      <c r="AJ121" s="676"/>
      <c r="AK121" s="676"/>
      <c r="AL121" s="676"/>
      <c r="AM121" s="676">
        <v>0</v>
      </c>
      <c r="AN121" s="676"/>
      <c r="AO121" s="676"/>
      <c r="AP121" s="676"/>
      <c r="AQ121" s="676">
        <v>234.068978694946</v>
      </c>
      <c r="AR121" s="676"/>
      <c r="AS121" s="676"/>
      <c r="AT121" s="674">
        <v>0</v>
      </c>
      <c r="AU121" s="676">
        <v>0</v>
      </c>
      <c r="AV121" s="676">
        <v>0</v>
      </c>
      <c r="AW121" s="676">
        <v>0</v>
      </c>
      <c r="AX121" s="676">
        <v>0</v>
      </c>
      <c r="AY121" s="676">
        <v>0</v>
      </c>
      <c r="AZ121" s="674">
        <v>0</v>
      </c>
      <c r="BA121" s="676"/>
      <c r="BB121" s="676"/>
      <c r="BC121" s="676"/>
      <c r="BD121" s="676">
        <v>0</v>
      </c>
      <c r="BE121" s="676"/>
      <c r="BF121" s="676">
        <v>0</v>
      </c>
      <c r="BG121" s="676">
        <v>0</v>
      </c>
      <c r="BH121" s="676">
        <v>0</v>
      </c>
      <c r="BI121" s="676">
        <v>0</v>
      </c>
      <c r="BJ121" s="676">
        <v>0</v>
      </c>
      <c r="BK121" s="676">
        <v>0</v>
      </c>
      <c r="BL121" s="676">
        <v>0</v>
      </c>
      <c r="BM121" s="676">
        <v>0</v>
      </c>
      <c r="BN121" s="676">
        <v>0</v>
      </c>
      <c r="BO121" s="674">
        <v>0</v>
      </c>
      <c r="BP121" s="676">
        <v>0</v>
      </c>
      <c r="BQ121" s="676">
        <v>0</v>
      </c>
      <c r="BR121" s="675"/>
      <c r="BS121" s="675">
        <v>6.2338779019776434</v>
      </c>
      <c r="BT121" s="674">
        <v>46.168911818094962</v>
      </c>
    </row>
    <row r="122" spans="1:72">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c r="A123" s="680" t="s">
        <v>968</v>
      </c>
      <c r="B123" s="679" t="s">
        <v>1068</v>
      </c>
      <c r="C123" s="679"/>
      <c r="D123" s="679"/>
      <c r="E123" s="679"/>
      <c r="F123" s="678" t="s">
        <v>1067</v>
      </c>
      <c r="G123" s="678"/>
      <c r="H123" s="677">
        <v>8.5029139199388553</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5.1590713671539117</v>
      </c>
      <c r="X123" s="676"/>
      <c r="Y123" s="676"/>
      <c r="Z123" s="676"/>
      <c r="AA123" s="676"/>
      <c r="AB123" s="676"/>
      <c r="AC123" s="676"/>
      <c r="AD123" s="676"/>
      <c r="AE123" s="676"/>
      <c r="AF123" s="676"/>
      <c r="AG123" s="676"/>
      <c r="AH123" s="676"/>
      <c r="AI123" s="676"/>
      <c r="AJ123" s="676"/>
      <c r="AK123" s="676"/>
      <c r="AL123" s="676">
        <v>5.1590713671539117</v>
      </c>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3.3438425527849431</v>
      </c>
    </row>
    <row r="124" spans="1:72">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c r="A133" s="680" t="s">
        <v>968</v>
      </c>
      <c r="B133" s="679" t="s">
        <v>1048</v>
      </c>
      <c r="C133" s="679"/>
      <c r="D133" s="679"/>
      <c r="E133" s="679"/>
      <c r="F133" s="678" t="s">
        <v>1047</v>
      </c>
      <c r="G133" s="678"/>
      <c r="H133" s="677">
        <v>4.13203401165568</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4.13203401165568</v>
      </c>
    </row>
    <row r="134" spans="1:72">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c r="A135" s="709" t="s">
        <v>1044</v>
      </c>
      <c r="B135" s="709"/>
      <c r="C135" s="709"/>
      <c r="D135" s="709"/>
      <c r="E135" s="709"/>
      <c r="F135" s="708" t="s">
        <v>1043</v>
      </c>
      <c r="G135" s="708"/>
      <c r="H135" s="707">
        <v>876.63609439189827</v>
      </c>
      <c r="I135" s="704">
        <v>0</v>
      </c>
      <c r="J135" s="706">
        <v>0</v>
      </c>
      <c r="K135" s="706">
        <v>0</v>
      </c>
      <c r="L135" s="706">
        <v>0</v>
      </c>
      <c r="M135" s="706">
        <v>0</v>
      </c>
      <c r="N135" s="706">
        <v>0</v>
      </c>
      <c r="O135" s="706">
        <v>0</v>
      </c>
      <c r="P135" s="706">
        <v>0</v>
      </c>
      <c r="Q135" s="706">
        <v>0</v>
      </c>
      <c r="R135" s="706">
        <v>0</v>
      </c>
      <c r="S135" s="706">
        <v>0</v>
      </c>
      <c r="T135" s="706">
        <v>0</v>
      </c>
      <c r="U135" s="706">
        <v>0</v>
      </c>
      <c r="V135" s="706">
        <v>0</v>
      </c>
      <c r="W135" s="704">
        <v>0</v>
      </c>
      <c r="X135" s="706"/>
      <c r="Y135" s="706"/>
      <c r="Z135" s="706"/>
      <c r="AA135" s="706"/>
      <c r="AB135" s="706"/>
      <c r="AC135" s="706"/>
      <c r="AD135" s="706"/>
      <c r="AE135" s="706"/>
      <c r="AF135" s="706"/>
      <c r="AG135" s="706"/>
      <c r="AH135" s="706"/>
      <c r="AI135" s="706"/>
      <c r="AJ135" s="706"/>
      <c r="AK135" s="706"/>
      <c r="AL135" s="706"/>
      <c r="AM135" s="706">
        <v>0</v>
      </c>
      <c r="AN135" s="706"/>
      <c r="AO135" s="706"/>
      <c r="AP135" s="706"/>
      <c r="AQ135" s="706"/>
      <c r="AR135" s="706"/>
      <c r="AS135" s="706"/>
      <c r="AT135" s="704">
        <v>4.9918792395146649</v>
      </c>
      <c r="AU135" s="706">
        <v>0</v>
      </c>
      <c r="AV135" s="706">
        <v>0</v>
      </c>
      <c r="AW135" s="706">
        <v>4.9918792395146649</v>
      </c>
      <c r="AX135" s="706">
        <v>0</v>
      </c>
      <c r="AY135" s="706">
        <v>0</v>
      </c>
      <c r="AZ135" s="704">
        <v>0.59711474156873978</v>
      </c>
      <c r="BA135" s="706"/>
      <c r="BB135" s="706"/>
      <c r="BC135" s="706"/>
      <c r="BD135" s="706">
        <v>0</v>
      </c>
      <c r="BE135" s="706"/>
      <c r="BF135" s="706">
        <v>0</v>
      </c>
      <c r="BG135" s="706">
        <v>0</v>
      </c>
      <c r="BH135" s="706">
        <v>0.59711474156873978</v>
      </c>
      <c r="BI135" s="706">
        <v>0</v>
      </c>
      <c r="BJ135" s="706">
        <v>0</v>
      </c>
      <c r="BK135" s="706">
        <v>0</v>
      </c>
      <c r="BL135" s="706">
        <v>0</v>
      </c>
      <c r="BM135" s="706">
        <v>0</v>
      </c>
      <c r="BN135" s="706">
        <v>0</v>
      </c>
      <c r="BO135" s="704">
        <v>0</v>
      </c>
      <c r="BP135" s="706">
        <v>0</v>
      </c>
      <c r="BQ135" s="706">
        <v>0</v>
      </c>
      <c r="BR135" s="705"/>
      <c r="BS135" s="705">
        <v>88.75513518677748</v>
      </c>
      <c r="BT135" s="704">
        <v>782.29196522403743</v>
      </c>
    </row>
    <row r="136" spans="1:72">
      <c r="A136" s="709" t="s">
        <v>1042</v>
      </c>
      <c r="B136" s="709"/>
      <c r="C136" s="709"/>
      <c r="D136" s="709"/>
      <c r="E136" s="709"/>
      <c r="F136" s="708" t="s">
        <v>1041</v>
      </c>
      <c r="G136" s="708"/>
      <c r="H136" s="707">
        <v>24164.636476545333</v>
      </c>
      <c r="I136" s="704">
        <v>714.34030763351484</v>
      </c>
      <c r="J136" s="706">
        <v>0</v>
      </c>
      <c r="K136" s="706">
        <v>0</v>
      </c>
      <c r="L136" s="706">
        <v>491.28212477309637</v>
      </c>
      <c r="M136" s="706">
        <v>0</v>
      </c>
      <c r="N136" s="706">
        <v>0</v>
      </c>
      <c r="O136" s="706">
        <v>0</v>
      </c>
      <c r="P136" s="706">
        <v>223.05818286041844</v>
      </c>
      <c r="Q136" s="706">
        <v>0</v>
      </c>
      <c r="R136" s="706">
        <v>0</v>
      </c>
      <c r="S136" s="706">
        <v>0</v>
      </c>
      <c r="T136" s="706">
        <v>0</v>
      </c>
      <c r="U136" s="706">
        <v>0</v>
      </c>
      <c r="V136" s="706">
        <v>0</v>
      </c>
      <c r="W136" s="704">
        <v>11702.421897391801</v>
      </c>
      <c r="X136" s="706">
        <v>124.98805770516861</v>
      </c>
      <c r="Y136" s="706">
        <v>0</v>
      </c>
      <c r="Z136" s="706">
        <v>43.446068596541508</v>
      </c>
      <c r="AA136" s="706">
        <v>0</v>
      </c>
      <c r="AB136" s="706"/>
      <c r="AC136" s="706">
        <v>18.582210757619183</v>
      </c>
      <c r="AD136" s="706">
        <v>1145.1227667908665</v>
      </c>
      <c r="AE136" s="706">
        <v>1221.099646508073</v>
      </c>
      <c r="AF136" s="706">
        <v>1473.201490398395</v>
      </c>
      <c r="AG136" s="706">
        <v>0</v>
      </c>
      <c r="AH136" s="706">
        <v>0</v>
      </c>
      <c r="AI136" s="706">
        <v>790.60380242667429</v>
      </c>
      <c r="AJ136" s="706">
        <v>-15.429444922136238</v>
      </c>
      <c r="AK136" s="706">
        <v>1962.8594630744242</v>
      </c>
      <c r="AL136" s="706">
        <v>4774.4817044043184</v>
      </c>
      <c r="AM136" s="706">
        <v>-214.00592337823636</v>
      </c>
      <c r="AN136" s="706">
        <v>14.569599694277251</v>
      </c>
      <c r="AO136" s="706">
        <v>38.119805101748348</v>
      </c>
      <c r="AP136" s="706">
        <v>358.62711378618513</v>
      </c>
      <c r="AQ136" s="706">
        <v>176.38769465940575</v>
      </c>
      <c r="AR136" s="706">
        <v>0</v>
      </c>
      <c r="AS136" s="706">
        <v>-210.18438903219641</v>
      </c>
      <c r="AT136" s="704">
        <v>649.30256998184768</v>
      </c>
      <c r="AU136" s="706">
        <v>580.94487436705833</v>
      </c>
      <c r="AV136" s="706">
        <v>0</v>
      </c>
      <c r="AW136" s="706">
        <v>68.357695614789336</v>
      </c>
      <c r="AX136" s="706">
        <v>0</v>
      </c>
      <c r="AY136" s="706">
        <v>0</v>
      </c>
      <c r="AZ136" s="704">
        <v>1182.932072226999</v>
      </c>
      <c r="BA136" s="706">
        <v>0</v>
      </c>
      <c r="BB136" s="706">
        <v>0</v>
      </c>
      <c r="BC136" s="706">
        <v>0</v>
      </c>
      <c r="BD136" s="706">
        <v>0</v>
      </c>
      <c r="BE136" s="706">
        <v>0</v>
      </c>
      <c r="BF136" s="706">
        <v>1008.2640680233113</v>
      </c>
      <c r="BG136" s="706">
        <v>0</v>
      </c>
      <c r="BH136" s="706">
        <v>22.212668386357123</v>
      </c>
      <c r="BI136" s="706">
        <v>19.848094009744912</v>
      </c>
      <c r="BJ136" s="706">
        <v>9.1477978408330944</v>
      </c>
      <c r="BK136" s="706">
        <v>120.5455240278972</v>
      </c>
      <c r="BL136" s="706">
        <v>0</v>
      </c>
      <c r="BM136" s="706">
        <v>2.8900353491927007</v>
      </c>
      <c r="BN136" s="706">
        <v>0</v>
      </c>
      <c r="BO136" s="704">
        <v>19.848094009744912</v>
      </c>
      <c r="BP136" s="706">
        <v>0</v>
      </c>
      <c r="BQ136" s="706">
        <v>19.848094009744912</v>
      </c>
      <c r="BR136" s="705">
        <v>0</v>
      </c>
      <c r="BS136" s="705">
        <v>377.92586223368681</v>
      </c>
      <c r="BT136" s="704">
        <v>9517.8895576573996</v>
      </c>
    </row>
    <row r="137" spans="1:72">
      <c r="A137" s="665" t="s">
        <v>1040</v>
      </c>
      <c r="B137" s="665"/>
      <c r="C137" s="665"/>
      <c r="D137" s="665"/>
      <c r="E137" s="665"/>
      <c r="F137" s="664" t="s">
        <v>1039</v>
      </c>
      <c r="G137" s="664"/>
      <c r="H137" s="663">
        <v>2270.2302474443486</v>
      </c>
      <c r="I137" s="660">
        <v>57.036400114646028</v>
      </c>
      <c r="J137" s="662">
        <v>0</v>
      </c>
      <c r="K137" s="662">
        <v>0</v>
      </c>
      <c r="L137" s="662">
        <v>57.036400114646028</v>
      </c>
      <c r="M137" s="662">
        <v>0</v>
      </c>
      <c r="N137" s="662">
        <v>0</v>
      </c>
      <c r="O137" s="662">
        <v>0</v>
      </c>
      <c r="P137" s="662">
        <v>0</v>
      </c>
      <c r="Q137" s="662">
        <v>0</v>
      </c>
      <c r="R137" s="662">
        <v>0</v>
      </c>
      <c r="S137" s="662">
        <v>0</v>
      </c>
      <c r="T137" s="662">
        <v>0</v>
      </c>
      <c r="U137" s="662">
        <v>0</v>
      </c>
      <c r="V137" s="662">
        <v>0</v>
      </c>
      <c r="W137" s="660">
        <v>1821.5104614502723</v>
      </c>
      <c r="X137" s="662">
        <v>0</v>
      </c>
      <c r="Y137" s="662">
        <v>0</v>
      </c>
      <c r="Z137" s="662"/>
      <c r="AA137" s="662"/>
      <c r="AB137" s="662"/>
      <c r="AC137" s="662">
        <v>0</v>
      </c>
      <c r="AD137" s="662">
        <v>235.62147702302474</v>
      </c>
      <c r="AE137" s="662">
        <v>737.7233209133467</v>
      </c>
      <c r="AF137" s="662">
        <v>0</v>
      </c>
      <c r="AG137" s="662">
        <v>0</v>
      </c>
      <c r="AH137" s="662">
        <v>0</v>
      </c>
      <c r="AI137" s="662">
        <v>0</v>
      </c>
      <c r="AJ137" s="662">
        <v>0</v>
      </c>
      <c r="AK137" s="662">
        <v>0</v>
      </c>
      <c r="AL137" s="662">
        <v>0</v>
      </c>
      <c r="AM137" s="662">
        <v>0</v>
      </c>
      <c r="AN137" s="662">
        <v>13.542562338779019</v>
      </c>
      <c r="AO137" s="662">
        <v>37.116652335912867</v>
      </c>
      <c r="AP137" s="662">
        <v>358.62711378618513</v>
      </c>
      <c r="AQ137" s="662">
        <v>405.44090952517433</v>
      </c>
      <c r="AR137" s="662">
        <v>0</v>
      </c>
      <c r="AS137" s="662">
        <v>33.438425527849432</v>
      </c>
      <c r="AT137" s="660">
        <v>391.65950128976783</v>
      </c>
      <c r="AU137" s="662">
        <v>391.65950128976783</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c r="A140" s="680" t="s">
        <v>968</v>
      </c>
      <c r="B140" s="679" t="s">
        <v>1034</v>
      </c>
      <c r="C140" s="679"/>
      <c r="D140" s="679"/>
      <c r="E140" s="679"/>
      <c r="F140" s="678" t="s">
        <v>1033</v>
      </c>
      <c r="G140" s="678"/>
      <c r="H140" s="677">
        <v>2213.1699627400399</v>
      </c>
      <c r="I140" s="674"/>
      <c r="J140" s="676"/>
      <c r="K140" s="676"/>
      <c r="L140" s="676"/>
      <c r="M140" s="676"/>
      <c r="N140" s="676"/>
      <c r="O140" s="676"/>
      <c r="P140" s="676"/>
      <c r="Q140" s="676"/>
      <c r="R140" s="676"/>
      <c r="S140" s="676"/>
      <c r="T140" s="676"/>
      <c r="U140" s="676"/>
      <c r="V140" s="676"/>
      <c r="W140" s="674">
        <v>1821.5104614502723</v>
      </c>
      <c r="X140" s="676">
        <v>0</v>
      </c>
      <c r="Y140" s="676">
        <v>0</v>
      </c>
      <c r="Z140" s="676"/>
      <c r="AA140" s="676"/>
      <c r="AB140" s="676"/>
      <c r="AC140" s="676">
        <v>0</v>
      </c>
      <c r="AD140" s="676">
        <v>235.62147702302474</v>
      </c>
      <c r="AE140" s="676">
        <v>737.7233209133467</v>
      </c>
      <c r="AF140" s="676">
        <v>0</v>
      </c>
      <c r="AG140" s="676">
        <v>0</v>
      </c>
      <c r="AH140" s="676">
        <v>0</v>
      </c>
      <c r="AI140" s="676">
        <v>0</v>
      </c>
      <c r="AJ140" s="676">
        <v>0</v>
      </c>
      <c r="AK140" s="676">
        <v>0</v>
      </c>
      <c r="AL140" s="676">
        <v>0</v>
      </c>
      <c r="AM140" s="676">
        <v>0</v>
      </c>
      <c r="AN140" s="676">
        <v>13.542562338779019</v>
      </c>
      <c r="AO140" s="676">
        <v>37.116652335912867</v>
      </c>
      <c r="AP140" s="676">
        <v>358.62711378618513</v>
      </c>
      <c r="AQ140" s="676">
        <v>405.44090952517433</v>
      </c>
      <c r="AR140" s="676">
        <v>0</v>
      </c>
      <c r="AS140" s="676">
        <v>33.438425527849432</v>
      </c>
      <c r="AT140" s="674">
        <v>391.65950128976783</v>
      </c>
      <c r="AU140" s="676">
        <v>391.65950128976783</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1362.4964173115504</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970.83691602178271</v>
      </c>
      <c r="X141" s="699"/>
      <c r="Y141" s="699"/>
      <c r="Z141" s="699"/>
      <c r="AA141" s="699"/>
      <c r="AB141" s="699"/>
      <c r="AC141" s="699"/>
      <c r="AD141" s="699">
        <v>235.62147702302474</v>
      </c>
      <c r="AE141" s="699">
        <v>705.78962453425049</v>
      </c>
      <c r="AF141" s="699"/>
      <c r="AG141" s="699"/>
      <c r="AH141" s="699"/>
      <c r="AI141" s="699"/>
      <c r="AJ141" s="699"/>
      <c r="AK141" s="699"/>
      <c r="AL141" s="699"/>
      <c r="AM141" s="699">
        <v>0</v>
      </c>
      <c r="AN141" s="699">
        <v>13.542562338779019</v>
      </c>
      <c r="AO141" s="699"/>
      <c r="AP141" s="699"/>
      <c r="AQ141" s="699">
        <v>15.883252125728479</v>
      </c>
      <c r="AR141" s="699"/>
      <c r="AS141" s="699"/>
      <c r="AT141" s="697">
        <v>391.65950128976783</v>
      </c>
      <c r="AU141" s="699">
        <v>391.65950128976783</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c r="A144" s="695" t="s">
        <v>968</v>
      </c>
      <c r="B144" s="694" t="s">
        <v>1026</v>
      </c>
      <c r="C144" s="694"/>
      <c r="D144" s="694"/>
      <c r="E144" s="694"/>
      <c r="F144" s="693" t="s">
        <v>1025</v>
      </c>
      <c r="G144" s="693"/>
      <c r="H144" s="692">
        <v>57.036400114646028</v>
      </c>
      <c r="I144" s="689">
        <v>57.036400114646028</v>
      </c>
      <c r="J144" s="691">
        <v>0</v>
      </c>
      <c r="K144" s="691">
        <v>0</v>
      </c>
      <c r="L144" s="691">
        <v>57.036400114646028</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c r="A145" s="665" t="s">
        <v>1024</v>
      </c>
      <c r="B145" s="665"/>
      <c r="C145" s="665"/>
      <c r="D145" s="665"/>
      <c r="E145" s="665"/>
      <c r="F145" s="664" t="s">
        <v>1023</v>
      </c>
      <c r="G145" s="664"/>
      <c r="H145" s="663">
        <v>18792.108531575428</v>
      </c>
      <c r="I145" s="660">
        <v>602.91869685678796</v>
      </c>
      <c r="J145" s="662">
        <v>0</v>
      </c>
      <c r="K145" s="662">
        <v>0</v>
      </c>
      <c r="L145" s="662">
        <v>428.20292347377472</v>
      </c>
      <c r="M145" s="662">
        <v>0</v>
      </c>
      <c r="N145" s="662">
        <v>0</v>
      </c>
      <c r="O145" s="662">
        <v>0</v>
      </c>
      <c r="P145" s="662">
        <v>174.71577338301327</v>
      </c>
      <c r="Q145" s="662">
        <v>0</v>
      </c>
      <c r="R145" s="662">
        <v>0</v>
      </c>
      <c r="S145" s="662">
        <v>0</v>
      </c>
      <c r="T145" s="662">
        <v>0</v>
      </c>
      <c r="U145" s="662">
        <v>0</v>
      </c>
      <c r="V145" s="662">
        <v>0</v>
      </c>
      <c r="W145" s="660">
        <v>6686.9207987006776</v>
      </c>
      <c r="X145" s="662"/>
      <c r="Y145" s="662"/>
      <c r="Z145" s="662"/>
      <c r="AA145" s="662"/>
      <c r="AB145" s="662"/>
      <c r="AC145" s="662"/>
      <c r="AD145" s="662">
        <v>234.52278589853825</v>
      </c>
      <c r="AE145" s="662">
        <v>204.81035635807777</v>
      </c>
      <c r="AF145" s="662">
        <v>1036.997229387599</v>
      </c>
      <c r="AG145" s="662">
        <v>2.1018438903219643</v>
      </c>
      <c r="AH145" s="662"/>
      <c r="AI145" s="662">
        <v>832.80787236075275</v>
      </c>
      <c r="AJ145" s="662">
        <v>34.990923855928152</v>
      </c>
      <c r="AK145" s="662"/>
      <c r="AL145" s="662">
        <v>4230.9400974491255</v>
      </c>
      <c r="AM145" s="662">
        <v>88.850673545428492</v>
      </c>
      <c r="AN145" s="662"/>
      <c r="AO145" s="662"/>
      <c r="AP145" s="662"/>
      <c r="AQ145" s="662">
        <v>20.899015954905895</v>
      </c>
      <c r="AR145" s="662"/>
      <c r="AS145" s="662"/>
      <c r="AT145" s="660">
        <v>412.82124773096399</v>
      </c>
      <c r="AU145" s="662">
        <v>344.46355211617464</v>
      </c>
      <c r="AV145" s="662">
        <v>0</v>
      </c>
      <c r="AW145" s="662">
        <v>68.357695614789336</v>
      </c>
      <c r="AX145" s="662">
        <v>0</v>
      </c>
      <c r="AY145" s="662">
        <v>0</v>
      </c>
      <c r="AZ145" s="660">
        <v>1166.4994745390275</v>
      </c>
      <c r="BA145" s="662"/>
      <c r="BB145" s="662"/>
      <c r="BC145" s="662"/>
      <c r="BD145" s="662">
        <v>0</v>
      </c>
      <c r="BE145" s="662"/>
      <c r="BF145" s="662">
        <v>999.02073182382719</v>
      </c>
      <c r="BG145" s="662">
        <v>0</v>
      </c>
      <c r="BH145" s="662">
        <v>15.357791153147987</v>
      </c>
      <c r="BI145" s="662">
        <v>19.848094009744912</v>
      </c>
      <c r="BJ145" s="662">
        <v>8.9567211235310982</v>
      </c>
      <c r="BK145" s="662">
        <v>120.42610107958345</v>
      </c>
      <c r="BL145" s="662">
        <v>0</v>
      </c>
      <c r="BM145" s="662">
        <v>2.8900353491927007</v>
      </c>
      <c r="BN145" s="662">
        <v>0</v>
      </c>
      <c r="BO145" s="660">
        <v>19.848094009744912</v>
      </c>
      <c r="BP145" s="662">
        <v>0</v>
      </c>
      <c r="BQ145" s="662">
        <v>19.848094009744912</v>
      </c>
      <c r="BR145" s="661"/>
      <c r="BS145" s="661">
        <v>377.92586223368681</v>
      </c>
      <c r="BT145" s="660">
        <v>9525.1982420942004</v>
      </c>
    </row>
    <row r="146" spans="1:72">
      <c r="A146" s="688" t="s">
        <v>968</v>
      </c>
      <c r="B146" s="687" t="s">
        <v>1022</v>
      </c>
      <c r="C146" s="687"/>
      <c r="D146" s="687"/>
      <c r="E146" s="687"/>
      <c r="F146" s="686" t="s">
        <v>1021</v>
      </c>
      <c r="G146" s="686"/>
      <c r="H146" s="685">
        <v>5898.9920703162315</v>
      </c>
      <c r="I146" s="682">
        <v>602.91869685678796</v>
      </c>
      <c r="J146" s="684">
        <v>0</v>
      </c>
      <c r="K146" s="684">
        <v>0</v>
      </c>
      <c r="L146" s="684">
        <v>428.20292347377472</v>
      </c>
      <c r="M146" s="684">
        <v>0</v>
      </c>
      <c r="N146" s="684">
        <v>0</v>
      </c>
      <c r="O146" s="684">
        <v>0</v>
      </c>
      <c r="P146" s="684">
        <v>174.71577338301327</v>
      </c>
      <c r="Q146" s="684">
        <v>0</v>
      </c>
      <c r="R146" s="684">
        <v>0</v>
      </c>
      <c r="S146" s="684">
        <v>0</v>
      </c>
      <c r="T146" s="684">
        <v>0</v>
      </c>
      <c r="U146" s="684">
        <v>0</v>
      </c>
      <c r="V146" s="684">
        <v>0</v>
      </c>
      <c r="W146" s="682">
        <v>863.30849336008407</v>
      </c>
      <c r="X146" s="684"/>
      <c r="Y146" s="684"/>
      <c r="Z146" s="684"/>
      <c r="AA146" s="684"/>
      <c r="AB146" s="684"/>
      <c r="AC146" s="684"/>
      <c r="AD146" s="684">
        <v>234.52278589853825</v>
      </c>
      <c r="AE146" s="684">
        <v>175.07404222795452</v>
      </c>
      <c r="AF146" s="684"/>
      <c r="AG146" s="684"/>
      <c r="AH146" s="684"/>
      <c r="AI146" s="684"/>
      <c r="AJ146" s="684">
        <v>1.0270373554982324</v>
      </c>
      <c r="AK146" s="684"/>
      <c r="AL146" s="684">
        <v>391.18180949651281</v>
      </c>
      <c r="AM146" s="684">
        <v>43.947644979459248</v>
      </c>
      <c r="AN146" s="684"/>
      <c r="AO146" s="684"/>
      <c r="AP146" s="684"/>
      <c r="AQ146" s="684">
        <v>17.55517340212095</v>
      </c>
      <c r="AR146" s="684"/>
      <c r="AS146" s="684"/>
      <c r="AT146" s="682">
        <v>293.1594535205885</v>
      </c>
      <c r="AU146" s="684">
        <v>224.80175790579918</v>
      </c>
      <c r="AV146" s="684">
        <v>0</v>
      </c>
      <c r="AW146" s="684">
        <v>68.357695614789336</v>
      </c>
      <c r="AX146" s="684">
        <v>0</v>
      </c>
      <c r="AY146" s="684">
        <v>0</v>
      </c>
      <c r="AZ146" s="682">
        <v>340.73755612878568</v>
      </c>
      <c r="BA146" s="684"/>
      <c r="BB146" s="684"/>
      <c r="BC146" s="684"/>
      <c r="BD146" s="684">
        <v>0</v>
      </c>
      <c r="BE146" s="684"/>
      <c r="BF146" s="684">
        <v>316.4708130314321</v>
      </c>
      <c r="BG146" s="684">
        <v>0</v>
      </c>
      <c r="BH146" s="684">
        <v>4.4186490876086744</v>
      </c>
      <c r="BI146" s="684">
        <v>19.848094009744912</v>
      </c>
      <c r="BJ146" s="684">
        <v>0</v>
      </c>
      <c r="BK146" s="684">
        <v>0</v>
      </c>
      <c r="BL146" s="684">
        <v>0</v>
      </c>
      <c r="BM146" s="684">
        <v>0</v>
      </c>
      <c r="BN146" s="684">
        <v>0</v>
      </c>
      <c r="BO146" s="682">
        <v>19.848094009744912</v>
      </c>
      <c r="BP146" s="684">
        <v>0</v>
      </c>
      <c r="BQ146" s="684">
        <v>19.848094009744912</v>
      </c>
      <c r="BR146" s="683"/>
      <c r="BS146" s="683">
        <v>39.624534250501576</v>
      </c>
      <c r="BT146" s="682">
        <v>3739.3713576000764</v>
      </c>
    </row>
    <row r="147" spans="1:72">
      <c r="A147" s="681"/>
      <c r="B147" s="680" t="s">
        <v>968</v>
      </c>
      <c r="C147" s="679" t="s">
        <v>1020</v>
      </c>
      <c r="D147" s="679"/>
      <c r="E147" s="679"/>
      <c r="F147" s="678" t="s">
        <v>1019</v>
      </c>
      <c r="G147" s="678"/>
      <c r="H147" s="677">
        <v>793.51772236552972</v>
      </c>
      <c r="I147" s="674">
        <v>294.04318333811023</v>
      </c>
      <c r="J147" s="676">
        <v>0</v>
      </c>
      <c r="K147" s="676">
        <v>0</v>
      </c>
      <c r="L147" s="676">
        <v>176.50711760771949</v>
      </c>
      <c r="M147" s="676">
        <v>0</v>
      </c>
      <c r="N147" s="676">
        <v>0</v>
      </c>
      <c r="O147" s="676">
        <v>0</v>
      </c>
      <c r="P147" s="676">
        <v>117.53606573039075</v>
      </c>
      <c r="Q147" s="676">
        <v>0</v>
      </c>
      <c r="R147" s="676">
        <v>0</v>
      </c>
      <c r="S147" s="676">
        <v>0</v>
      </c>
      <c r="T147" s="676">
        <v>0</v>
      </c>
      <c r="U147" s="676">
        <v>0</v>
      </c>
      <c r="V147" s="676">
        <v>0</v>
      </c>
      <c r="W147" s="674">
        <v>13.590331518104518</v>
      </c>
      <c r="X147" s="676"/>
      <c r="Y147" s="676"/>
      <c r="Z147" s="676"/>
      <c r="AA147" s="676"/>
      <c r="AB147" s="676"/>
      <c r="AC147" s="676"/>
      <c r="AD147" s="676"/>
      <c r="AE147" s="676">
        <v>2.1973822489729624</v>
      </c>
      <c r="AF147" s="676"/>
      <c r="AG147" s="676"/>
      <c r="AH147" s="676"/>
      <c r="AI147" s="676"/>
      <c r="AJ147" s="676"/>
      <c r="AK147" s="676"/>
      <c r="AL147" s="676">
        <v>7.2131460781503769</v>
      </c>
      <c r="AM147" s="676">
        <v>0</v>
      </c>
      <c r="AN147" s="676"/>
      <c r="AO147" s="676"/>
      <c r="AP147" s="676"/>
      <c r="AQ147" s="676">
        <v>4.179803190981179</v>
      </c>
      <c r="AR147" s="676"/>
      <c r="AS147" s="676"/>
      <c r="AT147" s="674">
        <v>48.915639629311165</v>
      </c>
      <c r="AU147" s="676">
        <v>0.95538358650998367</v>
      </c>
      <c r="AV147" s="676">
        <v>0</v>
      </c>
      <c r="AW147" s="676">
        <v>47.960256042801184</v>
      </c>
      <c r="AX147" s="676">
        <v>0</v>
      </c>
      <c r="AY147" s="676">
        <v>0</v>
      </c>
      <c r="AZ147" s="674">
        <v>2.698958631890704</v>
      </c>
      <c r="BA147" s="676"/>
      <c r="BB147" s="676"/>
      <c r="BC147" s="676"/>
      <c r="BD147" s="676">
        <v>0</v>
      </c>
      <c r="BE147" s="676"/>
      <c r="BF147" s="676">
        <v>2.698958631890704</v>
      </c>
      <c r="BG147" s="676">
        <v>0</v>
      </c>
      <c r="BH147" s="676">
        <v>0</v>
      </c>
      <c r="BI147" s="676">
        <v>0</v>
      </c>
      <c r="BJ147" s="676">
        <v>0</v>
      </c>
      <c r="BK147" s="676">
        <v>0</v>
      </c>
      <c r="BL147" s="676">
        <v>0</v>
      </c>
      <c r="BM147" s="676">
        <v>0</v>
      </c>
      <c r="BN147" s="676">
        <v>0</v>
      </c>
      <c r="BO147" s="674">
        <v>0</v>
      </c>
      <c r="BP147" s="676">
        <v>0</v>
      </c>
      <c r="BQ147" s="676">
        <v>0</v>
      </c>
      <c r="BR147" s="675"/>
      <c r="BS147" s="675">
        <v>0.21496130696474633</v>
      </c>
      <c r="BT147" s="674">
        <v>434.05464794114835</v>
      </c>
    </row>
    <row r="148" spans="1:72">
      <c r="A148" s="681"/>
      <c r="B148" s="680" t="s">
        <v>968</v>
      </c>
      <c r="C148" s="679" t="s">
        <v>1018</v>
      </c>
      <c r="D148" s="679"/>
      <c r="E148" s="679"/>
      <c r="F148" s="678" t="s">
        <v>1017</v>
      </c>
      <c r="G148" s="678"/>
      <c r="H148" s="677">
        <v>1355.1638482850865</v>
      </c>
      <c r="I148" s="674">
        <v>222.81933696379096</v>
      </c>
      <c r="J148" s="676">
        <v>0</v>
      </c>
      <c r="K148" s="676">
        <v>0</v>
      </c>
      <c r="L148" s="676">
        <v>175.16958058660552</v>
      </c>
      <c r="M148" s="676">
        <v>0</v>
      </c>
      <c r="N148" s="676">
        <v>0</v>
      </c>
      <c r="O148" s="676">
        <v>0</v>
      </c>
      <c r="P148" s="676">
        <v>47.64975637718544</v>
      </c>
      <c r="Q148" s="676">
        <v>0</v>
      </c>
      <c r="R148" s="676">
        <v>0</v>
      </c>
      <c r="S148" s="676">
        <v>0</v>
      </c>
      <c r="T148" s="676">
        <v>0</v>
      </c>
      <c r="U148" s="676">
        <v>0</v>
      </c>
      <c r="V148" s="676">
        <v>0</v>
      </c>
      <c r="W148" s="674">
        <v>359.74968950033434</v>
      </c>
      <c r="X148" s="676"/>
      <c r="Y148" s="676"/>
      <c r="Z148" s="676"/>
      <c r="AA148" s="676"/>
      <c r="AB148" s="676"/>
      <c r="AC148" s="676"/>
      <c r="AD148" s="676">
        <v>234.52278589853825</v>
      </c>
      <c r="AE148" s="676">
        <v>63.867392758192409</v>
      </c>
      <c r="AF148" s="676"/>
      <c r="AG148" s="676"/>
      <c r="AH148" s="676"/>
      <c r="AI148" s="676"/>
      <c r="AJ148" s="676"/>
      <c r="AK148" s="676"/>
      <c r="AL148" s="676">
        <v>49.417216012228906</v>
      </c>
      <c r="AM148" s="676">
        <v>8.5984522785898534</v>
      </c>
      <c r="AN148" s="676"/>
      <c r="AO148" s="676"/>
      <c r="AP148" s="676"/>
      <c r="AQ148" s="676">
        <v>3.3438425527849431</v>
      </c>
      <c r="AR148" s="676"/>
      <c r="AS148" s="676"/>
      <c r="AT148" s="674">
        <v>100.86462214579153</v>
      </c>
      <c r="AU148" s="676">
        <v>85.363523454667046</v>
      </c>
      <c r="AV148" s="676">
        <v>0</v>
      </c>
      <c r="AW148" s="676">
        <v>15.501098691124486</v>
      </c>
      <c r="AX148" s="676">
        <v>0</v>
      </c>
      <c r="AY148" s="676">
        <v>0</v>
      </c>
      <c r="AZ148" s="674">
        <v>35.182000573230148</v>
      </c>
      <c r="BA148" s="676"/>
      <c r="BB148" s="676"/>
      <c r="BC148" s="676"/>
      <c r="BD148" s="676">
        <v>0</v>
      </c>
      <c r="BE148" s="676"/>
      <c r="BF148" s="676">
        <v>32.244196044711948</v>
      </c>
      <c r="BG148" s="676">
        <v>0</v>
      </c>
      <c r="BH148" s="676">
        <v>0</v>
      </c>
      <c r="BI148" s="676">
        <v>2.9378045285181997</v>
      </c>
      <c r="BJ148" s="676">
        <v>0</v>
      </c>
      <c r="BK148" s="676">
        <v>0</v>
      </c>
      <c r="BL148" s="676">
        <v>0</v>
      </c>
      <c r="BM148" s="676">
        <v>0</v>
      </c>
      <c r="BN148" s="676">
        <v>0</v>
      </c>
      <c r="BO148" s="674">
        <v>2.9378045285181997</v>
      </c>
      <c r="BP148" s="676">
        <v>0</v>
      </c>
      <c r="BQ148" s="676">
        <v>2.9378045285181997</v>
      </c>
      <c r="BR148" s="675"/>
      <c r="BS148" s="675">
        <v>10.055412248017578</v>
      </c>
      <c r="BT148" s="674">
        <v>623.55498232540367</v>
      </c>
    </row>
    <row r="149" spans="1:72">
      <c r="A149" s="681"/>
      <c r="B149" s="680" t="s">
        <v>968</v>
      </c>
      <c r="C149" s="679" t="s">
        <v>1016</v>
      </c>
      <c r="D149" s="679"/>
      <c r="E149" s="679"/>
      <c r="F149" s="678" t="s">
        <v>1015</v>
      </c>
      <c r="G149" s="678"/>
      <c r="H149" s="677">
        <v>1695.9730581828603</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23.526320817808347</v>
      </c>
      <c r="X149" s="676"/>
      <c r="Y149" s="676"/>
      <c r="Z149" s="676"/>
      <c r="AA149" s="676"/>
      <c r="AB149" s="676"/>
      <c r="AC149" s="676"/>
      <c r="AD149" s="676"/>
      <c r="AE149" s="676">
        <v>16.52813604662272</v>
      </c>
      <c r="AF149" s="676"/>
      <c r="AG149" s="676"/>
      <c r="AH149" s="676"/>
      <c r="AI149" s="676"/>
      <c r="AJ149" s="676"/>
      <c r="AK149" s="676"/>
      <c r="AL149" s="676">
        <v>6.1861087226521443</v>
      </c>
      <c r="AM149" s="676">
        <v>0</v>
      </c>
      <c r="AN149" s="676"/>
      <c r="AO149" s="676"/>
      <c r="AP149" s="676"/>
      <c r="AQ149" s="676">
        <v>0.83596063819623578</v>
      </c>
      <c r="AR149" s="676"/>
      <c r="AS149" s="676"/>
      <c r="AT149" s="674">
        <v>34.704308779975158</v>
      </c>
      <c r="AU149" s="676">
        <v>34.704308779975158</v>
      </c>
      <c r="AV149" s="676">
        <v>0</v>
      </c>
      <c r="AW149" s="676">
        <v>0</v>
      </c>
      <c r="AX149" s="676">
        <v>0</v>
      </c>
      <c r="AY149" s="676">
        <v>0</v>
      </c>
      <c r="AZ149" s="674">
        <v>0</v>
      </c>
      <c r="BA149" s="676"/>
      <c r="BB149" s="676"/>
      <c r="BC149" s="676"/>
      <c r="BD149" s="676">
        <v>0</v>
      </c>
      <c r="BE149" s="676"/>
      <c r="BF149" s="676">
        <v>0</v>
      </c>
      <c r="BG149" s="676">
        <v>0</v>
      </c>
      <c r="BH149" s="676">
        <v>0</v>
      </c>
      <c r="BI149" s="676">
        <v>0</v>
      </c>
      <c r="BJ149" s="676">
        <v>0</v>
      </c>
      <c r="BK149" s="676">
        <v>0</v>
      </c>
      <c r="BL149" s="676">
        <v>0</v>
      </c>
      <c r="BM149" s="676">
        <v>0</v>
      </c>
      <c r="BN149" s="676">
        <v>0</v>
      </c>
      <c r="BO149" s="674">
        <v>0</v>
      </c>
      <c r="BP149" s="676">
        <v>0</v>
      </c>
      <c r="BQ149" s="676">
        <v>0</v>
      </c>
      <c r="BR149" s="675"/>
      <c r="BS149" s="675">
        <v>1.5524983280787235</v>
      </c>
      <c r="BT149" s="674">
        <v>1636.1899302569982</v>
      </c>
    </row>
    <row r="150" spans="1:72">
      <c r="A150" s="681"/>
      <c r="B150" s="680" t="s">
        <v>968</v>
      </c>
      <c r="C150" s="679" t="s">
        <v>1014</v>
      </c>
      <c r="D150" s="679"/>
      <c r="E150" s="679"/>
      <c r="F150" s="678" t="s">
        <v>1013</v>
      </c>
      <c r="G150" s="678"/>
      <c r="H150" s="677">
        <v>308.99493646699148</v>
      </c>
      <c r="I150" s="674">
        <v>86.032291965224033</v>
      </c>
      <c r="J150" s="676">
        <v>0</v>
      </c>
      <c r="K150" s="676">
        <v>0</v>
      </c>
      <c r="L150" s="676">
        <v>76.502340689786948</v>
      </c>
      <c r="M150" s="676">
        <v>0</v>
      </c>
      <c r="N150" s="676">
        <v>0</v>
      </c>
      <c r="O150" s="676">
        <v>0</v>
      </c>
      <c r="P150" s="676">
        <v>9.529951275437087</v>
      </c>
      <c r="Q150" s="676">
        <v>0</v>
      </c>
      <c r="R150" s="676">
        <v>0</v>
      </c>
      <c r="S150" s="676">
        <v>0</v>
      </c>
      <c r="T150" s="676">
        <v>0</v>
      </c>
      <c r="U150" s="676">
        <v>0</v>
      </c>
      <c r="V150" s="676">
        <v>0</v>
      </c>
      <c r="W150" s="674">
        <v>58.636667622050247</v>
      </c>
      <c r="X150" s="676"/>
      <c r="Y150" s="676"/>
      <c r="Z150" s="676"/>
      <c r="AA150" s="676"/>
      <c r="AB150" s="676"/>
      <c r="AC150" s="676"/>
      <c r="AD150" s="676"/>
      <c r="AE150" s="676">
        <v>31.933696379096205</v>
      </c>
      <c r="AF150" s="676"/>
      <c r="AG150" s="676"/>
      <c r="AH150" s="676"/>
      <c r="AI150" s="676"/>
      <c r="AJ150" s="676"/>
      <c r="AK150" s="676"/>
      <c r="AL150" s="676">
        <v>17.507404222795451</v>
      </c>
      <c r="AM150" s="676">
        <v>0</v>
      </c>
      <c r="AN150" s="676"/>
      <c r="AO150" s="676"/>
      <c r="AP150" s="676"/>
      <c r="AQ150" s="676">
        <v>9.1955670201585935</v>
      </c>
      <c r="AR150" s="676"/>
      <c r="AS150" s="676"/>
      <c r="AT150" s="674">
        <v>48.796216680997418</v>
      </c>
      <c r="AU150" s="676">
        <v>43.899875800133749</v>
      </c>
      <c r="AV150" s="676">
        <v>0</v>
      </c>
      <c r="AW150" s="676">
        <v>4.8963408808636668</v>
      </c>
      <c r="AX150" s="676">
        <v>0</v>
      </c>
      <c r="AY150" s="676">
        <v>0</v>
      </c>
      <c r="AZ150" s="674">
        <v>27.252316805197285</v>
      </c>
      <c r="BA150" s="676"/>
      <c r="BB150" s="676"/>
      <c r="BC150" s="676"/>
      <c r="BD150" s="676">
        <v>0</v>
      </c>
      <c r="BE150" s="676"/>
      <c r="BF150" s="676">
        <v>11.225757141492309</v>
      </c>
      <c r="BG150" s="676">
        <v>0</v>
      </c>
      <c r="BH150" s="676">
        <v>0</v>
      </c>
      <c r="BI150" s="676">
        <v>16.026559663704976</v>
      </c>
      <c r="BJ150" s="676">
        <v>0</v>
      </c>
      <c r="BK150" s="676">
        <v>0</v>
      </c>
      <c r="BL150" s="676">
        <v>0</v>
      </c>
      <c r="BM150" s="676">
        <v>0</v>
      </c>
      <c r="BN150" s="676">
        <v>0</v>
      </c>
      <c r="BO150" s="674">
        <v>16.026559663704976</v>
      </c>
      <c r="BP150" s="676">
        <v>0</v>
      </c>
      <c r="BQ150" s="676">
        <v>16.026559663704976</v>
      </c>
      <c r="BR150" s="675"/>
      <c r="BS150" s="675">
        <v>0.38215343460399348</v>
      </c>
      <c r="BT150" s="674">
        <v>71.892614884876281</v>
      </c>
    </row>
    <row r="151" spans="1:72">
      <c r="A151" s="681"/>
      <c r="B151" s="680" t="s">
        <v>968</v>
      </c>
      <c r="C151" s="679" t="s">
        <v>1012</v>
      </c>
      <c r="D151" s="679"/>
      <c r="E151" s="679"/>
      <c r="F151" s="678" t="s">
        <v>1011</v>
      </c>
      <c r="G151" s="678"/>
      <c r="H151" s="677">
        <v>58.947167287665998</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10.58087322059807</v>
      </c>
      <c r="X151" s="676"/>
      <c r="Y151" s="676"/>
      <c r="Z151" s="676"/>
      <c r="AA151" s="676"/>
      <c r="AB151" s="676"/>
      <c r="AC151" s="676"/>
      <c r="AD151" s="676"/>
      <c r="AE151" s="676">
        <v>4.3947644979459248</v>
      </c>
      <c r="AF151" s="676"/>
      <c r="AG151" s="676"/>
      <c r="AH151" s="676"/>
      <c r="AI151" s="676"/>
      <c r="AJ151" s="676"/>
      <c r="AK151" s="676"/>
      <c r="AL151" s="676">
        <v>6.1861087226521443</v>
      </c>
      <c r="AM151" s="676">
        <v>0</v>
      </c>
      <c r="AN151" s="676"/>
      <c r="AO151" s="676"/>
      <c r="AP151" s="676"/>
      <c r="AQ151" s="676"/>
      <c r="AR151" s="676"/>
      <c r="AS151" s="676"/>
      <c r="AT151" s="674">
        <v>2.0779593006592147</v>
      </c>
      <c r="AU151" s="676">
        <v>2.0779593006592147</v>
      </c>
      <c r="AV151" s="676">
        <v>0</v>
      </c>
      <c r="AW151" s="676">
        <v>0</v>
      </c>
      <c r="AX151" s="676">
        <v>0</v>
      </c>
      <c r="AY151" s="676">
        <v>0</v>
      </c>
      <c r="AZ151" s="674">
        <v>0.11942294831374796</v>
      </c>
      <c r="BA151" s="676"/>
      <c r="BB151" s="676"/>
      <c r="BC151" s="676"/>
      <c r="BD151" s="676">
        <v>0</v>
      </c>
      <c r="BE151" s="676"/>
      <c r="BF151" s="676">
        <v>0.11942294831374796</v>
      </c>
      <c r="BG151" s="676">
        <v>0</v>
      </c>
      <c r="BH151" s="676">
        <v>0</v>
      </c>
      <c r="BI151" s="676">
        <v>0</v>
      </c>
      <c r="BJ151" s="676">
        <v>0</v>
      </c>
      <c r="BK151" s="676">
        <v>0</v>
      </c>
      <c r="BL151" s="676">
        <v>0</v>
      </c>
      <c r="BM151" s="676">
        <v>0</v>
      </c>
      <c r="BN151" s="676">
        <v>0</v>
      </c>
      <c r="BO151" s="674">
        <v>0</v>
      </c>
      <c r="BP151" s="676">
        <v>0</v>
      </c>
      <c r="BQ151" s="676">
        <v>0</v>
      </c>
      <c r="BR151" s="675"/>
      <c r="BS151" s="675">
        <v>3.3438425527849431</v>
      </c>
      <c r="BT151" s="674">
        <v>42.82506926531002</v>
      </c>
    </row>
    <row r="152" spans="1:72">
      <c r="A152" s="681"/>
      <c r="B152" s="680" t="s">
        <v>968</v>
      </c>
      <c r="C152" s="679" t="s">
        <v>1010</v>
      </c>
      <c r="D152" s="679"/>
      <c r="E152" s="679"/>
      <c r="F152" s="678" t="s">
        <v>1009</v>
      </c>
      <c r="G152" s="678"/>
      <c r="H152" s="677">
        <v>118.41979554791249</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14.61736887360275</v>
      </c>
      <c r="X152" s="676"/>
      <c r="Y152" s="676"/>
      <c r="Z152" s="676"/>
      <c r="AA152" s="676"/>
      <c r="AB152" s="676"/>
      <c r="AC152" s="676"/>
      <c r="AD152" s="676"/>
      <c r="AE152" s="676">
        <v>3.2960733734594436</v>
      </c>
      <c r="AF152" s="676"/>
      <c r="AG152" s="676"/>
      <c r="AH152" s="676"/>
      <c r="AI152" s="676"/>
      <c r="AJ152" s="676"/>
      <c r="AK152" s="676"/>
      <c r="AL152" s="676">
        <v>11.321295500143307</v>
      </c>
      <c r="AM152" s="676">
        <v>0</v>
      </c>
      <c r="AN152" s="676"/>
      <c r="AO152" s="676"/>
      <c r="AP152" s="676"/>
      <c r="AQ152" s="676"/>
      <c r="AR152" s="676"/>
      <c r="AS152" s="676"/>
      <c r="AT152" s="674">
        <v>4.4186490876086744</v>
      </c>
      <c r="AU152" s="676">
        <v>4.4186490876086744</v>
      </c>
      <c r="AV152" s="676">
        <v>0</v>
      </c>
      <c r="AW152" s="676">
        <v>0</v>
      </c>
      <c r="AX152" s="676">
        <v>0</v>
      </c>
      <c r="AY152" s="676">
        <v>0</v>
      </c>
      <c r="AZ152" s="674">
        <v>7.1653768988248781E-2</v>
      </c>
      <c r="BA152" s="676"/>
      <c r="BB152" s="676"/>
      <c r="BC152" s="676"/>
      <c r="BD152" s="676">
        <v>0</v>
      </c>
      <c r="BE152" s="676"/>
      <c r="BF152" s="676">
        <v>7.1653768988248781E-2</v>
      </c>
      <c r="BG152" s="676">
        <v>0</v>
      </c>
      <c r="BH152" s="676">
        <v>0</v>
      </c>
      <c r="BI152" s="676">
        <v>0</v>
      </c>
      <c r="BJ152" s="676">
        <v>0</v>
      </c>
      <c r="BK152" s="676">
        <v>0</v>
      </c>
      <c r="BL152" s="676">
        <v>0</v>
      </c>
      <c r="BM152" s="676">
        <v>0</v>
      </c>
      <c r="BN152" s="676">
        <v>0</v>
      </c>
      <c r="BO152" s="674">
        <v>0</v>
      </c>
      <c r="BP152" s="676">
        <v>0</v>
      </c>
      <c r="BQ152" s="676">
        <v>0</v>
      </c>
      <c r="BR152" s="675"/>
      <c r="BS152" s="675">
        <v>3.9409572943536828</v>
      </c>
      <c r="BT152" s="674">
        <v>95.347281933696379</v>
      </c>
    </row>
    <row r="153" spans="1:72">
      <c r="A153" s="681"/>
      <c r="B153" s="680" t="s">
        <v>968</v>
      </c>
      <c r="C153" s="679" t="s">
        <v>1008</v>
      </c>
      <c r="D153" s="679"/>
      <c r="E153" s="679"/>
      <c r="F153" s="678" t="s">
        <v>1007</v>
      </c>
      <c r="G153" s="678"/>
      <c r="H153" s="677">
        <v>124.31928919461163</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70.149039839495558</v>
      </c>
      <c r="X153" s="676"/>
      <c r="Y153" s="676"/>
      <c r="Z153" s="676"/>
      <c r="AA153" s="676"/>
      <c r="AB153" s="676"/>
      <c r="AC153" s="676"/>
      <c r="AD153" s="676"/>
      <c r="AE153" s="676">
        <v>2.1973822489729624</v>
      </c>
      <c r="AF153" s="676"/>
      <c r="AG153" s="676"/>
      <c r="AH153" s="676"/>
      <c r="AI153" s="676"/>
      <c r="AJ153" s="676">
        <v>1.0270373554982324</v>
      </c>
      <c r="AK153" s="676"/>
      <c r="AL153" s="676">
        <v>66.924620235024364</v>
      </c>
      <c r="AM153" s="676">
        <v>0</v>
      </c>
      <c r="AN153" s="676"/>
      <c r="AO153" s="676"/>
      <c r="AP153" s="676"/>
      <c r="AQ153" s="676"/>
      <c r="AR153" s="676"/>
      <c r="AS153" s="676"/>
      <c r="AT153" s="674">
        <v>3.630457628737938</v>
      </c>
      <c r="AU153" s="676">
        <v>3.630457628737938</v>
      </c>
      <c r="AV153" s="676">
        <v>0</v>
      </c>
      <c r="AW153" s="676">
        <v>0</v>
      </c>
      <c r="AX153" s="676">
        <v>0</v>
      </c>
      <c r="AY153" s="676">
        <v>0</v>
      </c>
      <c r="AZ153" s="674">
        <v>1.0270373554982324</v>
      </c>
      <c r="BA153" s="676"/>
      <c r="BB153" s="676"/>
      <c r="BC153" s="676"/>
      <c r="BD153" s="676">
        <v>0</v>
      </c>
      <c r="BE153" s="676"/>
      <c r="BF153" s="676">
        <v>1.0270373554982324</v>
      </c>
      <c r="BG153" s="676">
        <v>0</v>
      </c>
      <c r="BH153" s="676">
        <v>0</v>
      </c>
      <c r="BI153" s="676">
        <v>0</v>
      </c>
      <c r="BJ153" s="676">
        <v>0</v>
      </c>
      <c r="BK153" s="676">
        <v>0</v>
      </c>
      <c r="BL153" s="676">
        <v>0</v>
      </c>
      <c r="BM153" s="676">
        <v>0</v>
      </c>
      <c r="BN153" s="676">
        <v>0</v>
      </c>
      <c r="BO153" s="674">
        <v>0</v>
      </c>
      <c r="BP153" s="676">
        <v>0</v>
      </c>
      <c r="BQ153" s="676">
        <v>0</v>
      </c>
      <c r="BR153" s="675"/>
      <c r="BS153" s="675">
        <v>0.16719212763924715</v>
      </c>
      <c r="BT153" s="674">
        <v>49.345562243240657</v>
      </c>
    </row>
    <row r="154" spans="1:72">
      <c r="A154" s="681"/>
      <c r="B154" s="680" t="s">
        <v>968</v>
      </c>
      <c r="C154" s="679" t="s">
        <v>1006</v>
      </c>
      <c r="D154" s="679"/>
      <c r="E154" s="679"/>
      <c r="F154" s="678" t="s">
        <v>1005</v>
      </c>
      <c r="G154" s="678"/>
      <c r="H154" s="677">
        <v>359.20034393809112</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91.215247922040689</v>
      </c>
      <c r="X154" s="676"/>
      <c r="Y154" s="676"/>
      <c r="Z154" s="676"/>
      <c r="AA154" s="676"/>
      <c r="AB154" s="676"/>
      <c r="AC154" s="676"/>
      <c r="AD154" s="676"/>
      <c r="AE154" s="676">
        <v>25.31766504251457</v>
      </c>
      <c r="AF154" s="676"/>
      <c r="AG154" s="676"/>
      <c r="AH154" s="676"/>
      <c r="AI154" s="676"/>
      <c r="AJ154" s="676"/>
      <c r="AK154" s="676"/>
      <c r="AL154" s="676">
        <v>65.87369828986337</v>
      </c>
      <c r="AM154" s="676">
        <v>0</v>
      </c>
      <c r="AN154" s="676"/>
      <c r="AO154" s="676"/>
      <c r="AP154" s="676"/>
      <c r="AQ154" s="676"/>
      <c r="AR154" s="676"/>
      <c r="AS154" s="676"/>
      <c r="AT154" s="674">
        <v>35.731346135473387</v>
      </c>
      <c r="AU154" s="676">
        <v>35.731346135473387</v>
      </c>
      <c r="AV154" s="676">
        <v>0</v>
      </c>
      <c r="AW154" s="676">
        <v>0</v>
      </c>
      <c r="AX154" s="676">
        <v>0</v>
      </c>
      <c r="AY154" s="676">
        <v>0</v>
      </c>
      <c r="AZ154" s="674">
        <v>2.698958631890704</v>
      </c>
      <c r="BA154" s="676"/>
      <c r="BB154" s="676"/>
      <c r="BC154" s="676"/>
      <c r="BD154" s="676">
        <v>0</v>
      </c>
      <c r="BE154" s="676"/>
      <c r="BF154" s="676">
        <v>1.815228814368969</v>
      </c>
      <c r="BG154" s="676">
        <v>0</v>
      </c>
      <c r="BH154" s="676">
        <v>0</v>
      </c>
      <c r="BI154" s="676">
        <v>0.88372981752173496</v>
      </c>
      <c r="BJ154" s="676">
        <v>0</v>
      </c>
      <c r="BK154" s="676">
        <v>0</v>
      </c>
      <c r="BL154" s="676">
        <v>0</v>
      </c>
      <c r="BM154" s="676">
        <v>0</v>
      </c>
      <c r="BN154" s="676">
        <v>0</v>
      </c>
      <c r="BO154" s="674">
        <v>0.88372981752173496</v>
      </c>
      <c r="BP154" s="676">
        <v>0</v>
      </c>
      <c r="BQ154" s="676">
        <v>0.88372981752173496</v>
      </c>
      <c r="BR154" s="675"/>
      <c r="BS154" s="675">
        <v>12.181140728002292</v>
      </c>
      <c r="BT154" s="674">
        <v>216.51380529282505</v>
      </c>
    </row>
    <row r="155" spans="1:72">
      <c r="A155" s="681"/>
      <c r="B155" s="680" t="s">
        <v>968</v>
      </c>
      <c r="C155" s="679" t="s">
        <v>1004</v>
      </c>
      <c r="D155" s="679"/>
      <c r="E155" s="679"/>
      <c r="F155" s="678" t="s">
        <v>1003</v>
      </c>
      <c r="G155" s="678"/>
      <c r="H155" s="677">
        <v>589.28059615935797</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38.50195853635234</v>
      </c>
      <c r="X155" s="676"/>
      <c r="Y155" s="676"/>
      <c r="Z155" s="676"/>
      <c r="AA155" s="676"/>
      <c r="AB155" s="676"/>
      <c r="AC155" s="676"/>
      <c r="AD155" s="676"/>
      <c r="AE155" s="676">
        <v>1.0986911244864812</v>
      </c>
      <c r="AF155" s="676"/>
      <c r="AG155" s="676"/>
      <c r="AH155" s="676"/>
      <c r="AI155" s="676"/>
      <c r="AJ155" s="676"/>
      <c r="AK155" s="676"/>
      <c r="AL155" s="676">
        <v>2.0540747109964648</v>
      </c>
      <c r="AM155" s="676">
        <v>35.349192700869395</v>
      </c>
      <c r="AN155" s="676"/>
      <c r="AO155" s="676"/>
      <c r="AP155" s="676"/>
      <c r="AQ155" s="676"/>
      <c r="AR155" s="676"/>
      <c r="AS155" s="676"/>
      <c r="AT155" s="674">
        <v>5.0635330085029135</v>
      </c>
      <c r="AU155" s="676">
        <v>5.0635330085029135</v>
      </c>
      <c r="AV155" s="676">
        <v>0</v>
      </c>
      <c r="AW155" s="676">
        <v>0</v>
      </c>
      <c r="AX155" s="676">
        <v>0</v>
      </c>
      <c r="AY155" s="676">
        <v>0</v>
      </c>
      <c r="AZ155" s="674">
        <v>188.32998949078055</v>
      </c>
      <c r="BA155" s="676"/>
      <c r="BB155" s="676"/>
      <c r="BC155" s="676"/>
      <c r="BD155" s="676">
        <v>0</v>
      </c>
      <c r="BE155" s="676"/>
      <c r="BF155" s="676">
        <v>183.91134040317186</v>
      </c>
      <c r="BG155" s="676">
        <v>0</v>
      </c>
      <c r="BH155" s="676">
        <v>4.4186490876086744</v>
      </c>
      <c r="BI155" s="676">
        <v>0</v>
      </c>
      <c r="BJ155" s="676">
        <v>0</v>
      </c>
      <c r="BK155" s="676">
        <v>0</v>
      </c>
      <c r="BL155" s="676">
        <v>0</v>
      </c>
      <c r="BM155" s="676">
        <v>0</v>
      </c>
      <c r="BN155" s="676">
        <v>0</v>
      </c>
      <c r="BO155" s="674">
        <v>0</v>
      </c>
      <c r="BP155" s="676">
        <v>0</v>
      </c>
      <c r="BQ155" s="676">
        <v>0</v>
      </c>
      <c r="BR155" s="675"/>
      <c r="BS155" s="675">
        <v>0.11942294831374796</v>
      </c>
      <c r="BT155" s="674">
        <v>357.26569217540839</v>
      </c>
    </row>
    <row r="156" spans="1:72">
      <c r="A156" s="681"/>
      <c r="B156" s="680" t="s">
        <v>968</v>
      </c>
      <c r="C156" s="679" t="s">
        <v>1002</v>
      </c>
      <c r="D156" s="679"/>
      <c r="E156" s="679"/>
      <c r="F156" s="678" t="s">
        <v>1001</v>
      </c>
      <c r="G156" s="678"/>
      <c r="H156" s="677">
        <v>156.08579344606858</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11.536256807108053</v>
      </c>
      <c r="X156" s="676"/>
      <c r="Y156" s="676"/>
      <c r="Z156" s="676"/>
      <c r="AA156" s="676"/>
      <c r="AB156" s="676"/>
      <c r="AC156" s="676"/>
      <c r="AD156" s="676"/>
      <c r="AE156" s="676">
        <v>3.2960733734594436</v>
      </c>
      <c r="AF156" s="676"/>
      <c r="AG156" s="676"/>
      <c r="AH156" s="676"/>
      <c r="AI156" s="676"/>
      <c r="AJ156" s="676"/>
      <c r="AK156" s="676"/>
      <c r="AL156" s="676">
        <v>8.2401834336486104</v>
      </c>
      <c r="AM156" s="676">
        <v>0</v>
      </c>
      <c r="AN156" s="676"/>
      <c r="AO156" s="676"/>
      <c r="AP156" s="676"/>
      <c r="AQ156" s="676"/>
      <c r="AR156" s="676"/>
      <c r="AS156" s="676"/>
      <c r="AT156" s="674">
        <v>4.3947644979459248</v>
      </c>
      <c r="AU156" s="676">
        <v>4.3947644979459248</v>
      </c>
      <c r="AV156" s="676">
        <v>0</v>
      </c>
      <c r="AW156" s="676">
        <v>0</v>
      </c>
      <c r="AX156" s="676">
        <v>0</v>
      </c>
      <c r="AY156" s="676">
        <v>0</v>
      </c>
      <c r="AZ156" s="674">
        <v>76.191841024171197</v>
      </c>
      <c r="BA156" s="676"/>
      <c r="BB156" s="676"/>
      <c r="BC156" s="676"/>
      <c r="BD156" s="676">
        <v>0</v>
      </c>
      <c r="BE156" s="676"/>
      <c r="BF156" s="676">
        <v>76.191841024171197</v>
      </c>
      <c r="BG156" s="676">
        <v>0</v>
      </c>
      <c r="BH156" s="676">
        <v>0</v>
      </c>
      <c r="BI156" s="676">
        <v>0</v>
      </c>
      <c r="BJ156" s="676">
        <v>0</v>
      </c>
      <c r="BK156" s="676">
        <v>0</v>
      </c>
      <c r="BL156" s="676">
        <v>0</v>
      </c>
      <c r="BM156" s="676">
        <v>0</v>
      </c>
      <c r="BN156" s="676">
        <v>0</v>
      </c>
      <c r="BO156" s="674">
        <v>0</v>
      </c>
      <c r="BP156" s="676">
        <v>0</v>
      </c>
      <c r="BQ156" s="676">
        <v>0</v>
      </c>
      <c r="BR156" s="675"/>
      <c r="BS156" s="675">
        <v>7.3803382057896245</v>
      </c>
      <c r="BT156" s="674">
        <v>56.582592911053787</v>
      </c>
    </row>
    <row r="157" spans="1:72">
      <c r="A157" s="681"/>
      <c r="B157" s="680" t="s">
        <v>968</v>
      </c>
      <c r="C157" s="679" t="s">
        <v>1000</v>
      </c>
      <c r="D157" s="679"/>
      <c r="E157" s="679"/>
      <c r="F157" s="678" t="s">
        <v>999</v>
      </c>
      <c r="G157" s="678"/>
      <c r="H157" s="677">
        <v>268.20005732301519</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156.80233113595108</v>
      </c>
      <c r="X157" s="676"/>
      <c r="Y157" s="676"/>
      <c r="Z157" s="676"/>
      <c r="AA157" s="676"/>
      <c r="AB157" s="676"/>
      <c r="AC157" s="676"/>
      <c r="AD157" s="676"/>
      <c r="AE157" s="676">
        <v>20.922900544568645</v>
      </c>
      <c r="AF157" s="676"/>
      <c r="AG157" s="676"/>
      <c r="AH157" s="676"/>
      <c r="AI157" s="676"/>
      <c r="AJ157" s="676"/>
      <c r="AK157" s="676"/>
      <c r="AL157" s="676">
        <v>135.87943059138243</v>
      </c>
      <c r="AM157" s="676">
        <v>0</v>
      </c>
      <c r="AN157" s="676"/>
      <c r="AO157" s="676"/>
      <c r="AP157" s="676"/>
      <c r="AQ157" s="676"/>
      <c r="AR157" s="676"/>
      <c r="AS157" s="676"/>
      <c r="AT157" s="674">
        <v>0.76430686920798696</v>
      </c>
      <c r="AU157" s="676">
        <v>0.76430686920798696</v>
      </c>
      <c r="AV157" s="676">
        <v>0</v>
      </c>
      <c r="AW157" s="676">
        <v>0</v>
      </c>
      <c r="AX157" s="676">
        <v>0</v>
      </c>
      <c r="AY157" s="676">
        <v>0</v>
      </c>
      <c r="AZ157" s="674">
        <v>4.3708799082831753</v>
      </c>
      <c r="BA157" s="676"/>
      <c r="BB157" s="676"/>
      <c r="BC157" s="676"/>
      <c r="BD157" s="676">
        <v>0</v>
      </c>
      <c r="BE157" s="676"/>
      <c r="BF157" s="676">
        <v>4.3708799082831753</v>
      </c>
      <c r="BG157" s="676">
        <v>0</v>
      </c>
      <c r="BH157" s="676">
        <v>0</v>
      </c>
      <c r="BI157" s="676">
        <v>0</v>
      </c>
      <c r="BJ157" s="676">
        <v>0</v>
      </c>
      <c r="BK157" s="676">
        <v>0</v>
      </c>
      <c r="BL157" s="676">
        <v>0</v>
      </c>
      <c r="BM157" s="676">
        <v>0</v>
      </c>
      <c r="BN157" s="676">
        <v>0</v>
      </c>
      <c r="BO157" s="674">
        <v>0</v>
      </c>
      <c r="BP157" s="676">
        <v>0</v>
      </c>
      <c r="BQ157" s="676">
        <v>0</v>
      </c>
      <c r="BR157" s="675"/>
      <c r="BS157" s="675">
        <v>0</v>
      </c>
      <c r="BT157" s="674">
        <v>106.28642399923569</v>
      </c>
    </row>
    <row r="158" spans="1:72">
      <c r="A158" s="681"/>
      <c r="B158" s="680" t="s">
        <v>968</v>
      </c>
      <c r="C158" s="679" t="s">
        <v>998</v>
      </c>
      <c r="D158" s="679"/>
      <c r="E158" s="679"/>
      <c r="F158" s="678" t="s">
        <v>997</v>
      </c>
      <c r="G158" s="678"/>
      <c r="H158" s="677">
        <v>8.2401834336486104</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0</v>
      </c>
      <c r="X158" s="676"/>
      <c r="Y158" s="676"/>
      <c r="Z158" s="676"/>
      <c r="AA158" s="676"/>
      <c r="AB158" s="676"/>
      <c r="AC158" s="676"/>
      <c r="AD158" s="676"/>
      <c r="AE158" s="676"/>
      <c r="AF158" s="676"/>
      <c r="AG158" s="676"/>
      <c r="AH158" s="676"/>
      <c r="AI158" s="676"/>
      <c r="AJ158" s="676"/>
      <c r="AK158" s="676"/>
      <c r="AL158" s="676"/>
      <c r="AM158" s="676">
        <v>0</v>
      </c>
      <c r="AN158" s="676"/>
      <c r="AO158" s="676"/>
      <c r="AP158" s="676"/>
      <c r="AQ158" s="676"/>
      <c r="AR158" s="676"/>
      <c r="AS158" s="676"/>
      <c r="AT158" s="674">
        <v>0.47769179325499184</v>
      </c>
      <c r="AU158" s="676">
        <v>0.47769179325499184</v>
      </c>
      <c r="AV158" s="676">
        <v>0</v>
      </c>
      <c r="AW158" s="676">
        <v>0</v>
      </c>
      <c r="AX158" s="676">
        <v>0</v>
      </c>
      <c r="AY158" s="676">
        <v>0</v>
      </c>
      <c r="AZ158" s="674">
        <v>2.3884589662749593E-2</v>
      </c>
      <c r="BA158" s="676"/>
      <c r="BB158" s="676"/>
      <c r="BC158" s="676"/>
      <c r="BD158" s="676">
        <v>0</v>
      </c>
      <c r="BE158" s="676"/>
      <c r="BF158" s="676">
        <v>2.3884589662749593E-2</v>
      </c>
      <c r="BG158" s="676">
        <v>0</v>
      </c>
      <c r="BH158" s="676">
        <v>0</v>
      </c>
      <c r="BI158" s="676">
        <v>0</v>
      </c>
      <c r="BJ158" s="676">
        <v>0</v>
      </c>
      <c r="BK158" s="676">
        <v>0</v>
      </c>
      <c r="BL158" s="676">
        <v>0</v>
      </c>
      <c r="BM158" s="676">
        <v>0</v>
      </c>
      <c r="BN158" s="676">
        <v>0</v>
      </c>
      <c r="BO158" s="674">
        <v>0</v>
      </c>
      <c r="BP158" s="676">
        <v>0</v>
      </c>
      <c r="BQ158" s="676">
        <v>0</v>
      </c>
      <c r="BR158" s="675"/>
      <c r="BS158" s="675">
        <v>0</v>
      </c>
      <c r="BT158" s="674">
        <v>7.7386070507308684</v>
      </c>
    </row>
    <row r="159" spans="1:72">
      <c r="A159" s="681"/>
      <c r="B159" s="680" t="s">
        <v>968</v>
      </c>
      <c r="C159" s="679" t="s">
        <v>996</v>
      </c>
      <c r="D159" s="679"/>
      <c r="E159" s="679"/>
      <c r="F159" s="678" t="s">
        <v>995</v>
      </c>
      <c r="G159" s="678"/>
      <c r="H159" s="677">
        <v>62.601509506066684</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14.402407566638004</v>
      </c>
      <c r="X159" s="676"/>
      <c r="Y159" s="676"/>
      <c r="Z159" s="676"/>
      <c r="AA159" s="676"/>
      <c r="AB159" s="676"/>
      <c r="AC159" s="676"/>
      <c r="AD159" s="676"/>
      <c r="AE159" s="676"/>
      <c r="AF159" s="676"/>
      <c r="AG159" s="676"/>
      <c r="AH159" s="676"/>
      <c r="AI159" s="676"/>
      <c r="AJ159" s="676"/>
      <c r="AK159" s="676"/>
      <c r="AL159" s="676">
        <v>14.402407566638004</v>
      </c>
      <c r="AM159" s="676">
        <v>0</v>
      </c>
      <c r="AN159" s="676"/>
      <c r="AO159" s="676"/>
      <c r="AP159" s="676"/>
      <c r="AQ159" s="676"/>
      <c r="AR159" s="676"/>
      <c r="AS159" s="676"/>
      <c r="AT159" s="674">
        <v>3.3438425527849431</v>
      </c>
      <c r="AU159" s="676">
        <v>3.3438425527849431</v>
      </c>
      <c r="AV159" s="676">
        <v>0</v>
      </c>
      <c r="AW159" s="676">
        <v>0</v>
      </c>
      <c r="AX159" s="676">
        <v>0</v>
      </c>
      <c r="AY159" s="676">
        <v>0</v>
      </c>
      <c r="AZ159" s="674">
        <v>2.7706124008789526</v>
      </c>
      <c r="BA159" s="676"/>
      <c r="BB159" s="676"/>
      <c r="BC159" s="676"/>
      <c r="BD159" s="676">
        <v>0</v>
      </c>
      <c r="BE159" s="676"/>
      <c r="BF159" s="676">
        <v>2.7706124008789526</v>
      </c>
      <c r="BG159" s="676">
        <v>0</v>
      </c>
      <c r="BH159" s="676">
        <v>0</v>
      </c>
      <c r="BI159" s="676">
        <v>0</v>
      </c>
      <c r="BJ159" s="676">
        <v>0</v>
      </c>
      <c r="BK159" s="676">
        <v>0</v>
      </c>
      <c r="BL159" s="676">
        <v>0</v>
      </c>
      <c r="BM159" s="676">
        <v>0</v>
      </c>
      <c r="BN159" s="676">
        <v>0</v>
      </c>
      <c r="BO159" s="674">
        <v>0</v>
      </c>
      <c r="BP159" s="676">
        <v>0</v>
      </c>
      <c r="BQ159" s="676">
        <v>0</v>
      </c>
      <c r="BR159" s="675"/>
      <c r="BS159" s="675">
        <v>0.28661507595299512</v>
      </c>
      <c r="BT159" s="674">
        <v>41.79803190981179</v>
      </c>
    </row>
    <row r="160" spans="1:72">
      <c r="A160" s="680" t="s">
        <v>968</v>
      </c>
      <c r="B160" s="679" t="s">
        <v>994</v>
      </c>
      <c r="C160" s="679"/>
      <c r="D160" s="679"/>
      <c r="E160" s="679"/>
      <c r="F160" s="678" t="s">
        <v>993</v>
      </c>
      <c r="G160" s="678"/>
      <c r="H160" s="677">
        <v>5046.1927964077577</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4768.3194802713288</v>
      </c>
      <c r="X160" s="676"/>
      <c r="Y160" s="676"/>
      <c r="Z160" s="676"/>
      <c r="AA160" s="676"/>
      <c r="AB160" s="676"/>
      <c r="AC160" s="676"/>
      <c r="AD160" s="676"/>
      <c r="AE160" s="676">
        <v>2.1973822489729624</v>
      </c>
      <c r="AF160" s="676">
        <v>1012.873793828222</v>
      </c>
      <c r="AG160" s="676">
        <v>2.1018438903219643</v>
      </c>
      <c r="AH160" s="676"/>
      <c r="AI160" s="676">
        <v>799.87102321582108</v>
      </c>
      <c r="AJ160" s="676"/>
      <c r="AK160" s="676"/>
      <c r="AL160" s="676">
        <v>2910.1939428680612</v>
      </c>
      <c r="AM160" s="676">
        <v>41.081494219929297</v>
      </c>
      <c r="AN160" s="676"/>
      <c r="AO160" s="676"/>
      <c r="AP160" s="676"/>
      <c r="AQ160" s="676"/>
      <c r="AR160" s="676"/>
      <c r="AS160" s="676"/>
      <c r="AT160" s="674">
        <v>78.556415400783408</v>
      </c>
      <c r="AU160" s="676">
        <v>78.556415400783408</v>
      </c>
      <c r="AV160" s="676">
        <v>0</v>
      </c>
      <c r="AW160" s="676">
        <v>0</v>
      </c>
      <c r="AX160" s="676">
        <v>0</v>
      </c>
      <c r="AY160" s="676">
        <v>0</v>
      </c>
      <c r="AZ160" s="674">
        <v>133.29989490780548</v>
      </c>
      <c r="BA160" s="676"/>
      <c r="BB160" s="676"/>
      <c r="BC160" s="676"/>
      <c r="BD160" s="676">
        <v>0</v>
      </c>
      <c r="BE160" s="676"/>
      <c r="BF160" s="676">
        <v>0</v>
      </c>
      <c r="BG160" s="676">
        <v>0</v>
      </c>
      <c r="BH160" s="676">
        <v>1.0270373554982324</v>
      </c>
      <c r="BI160" s="676">
        <v>0</v>
      </c>
      <c r="BJ160" s="676">
        <v>8.9567211235310982</v>
      </c>
      <c r="BK160" s="676">
        <v>120.42610107958345</v>
      </c>
      <c r="BL160" s="676">
        <v>0</v>
      </c>
      <c r="BM160" s="676">
        <v>2.8900353491927007</v>
      </c>
      <c r="BN160" s="676">
        <v>0</v>
      </c>
      <c r="BO160" s="674">
        <v>0</v>
      </c>
      <c r="BP160" s="676">
        <v>0</v>
      </c>
      <c r="BQ160" s="676">
        <v>0</v>
      </c>
      <c r="BR160" s="675"/>
      <c r="BS160" s="675"/>
      <c r="BT160" s="674">
        <v>66.040890417502624</v>
      </c>
    </row>
    <row r="161" spans="1:72">
      <c r="A161" s="681"/>
      <c r="B161" s="680" t="s">
        <v>968</v>
      </c>
      <c r="C161" s="679" t="s">
        <v>992</v>
      </c>
      <c r="D161" s="679"/>
      <c r="E161" s="679"/>
      <c r="F161" s="678" t="s">
        <v>991</v>
      </c>
      <c r="G161" s="678"/>
      <c r="H161" s="677">
        <v>78.81914588707366</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13.375370211139773</v>
      </c>
      <c r="X161" s="676"/>
      <c r="Y161" s="676"/>
      <c r="Z161" s="676"/>
      <c r="AA161" s="676"/>
      <c r="AB161" s="676"/>
      <c r="AC161" s="676"/>
      <c r="AD161" s="676"/>
      <c r="AE161" s="676"/>
      <c r="AF161" s="676"/>
      <c r="AG161" s="676"/>
      <c r="AH161" s="676"/>
      <c r="AI161" s="676"/>
      <c r="AJ161" s="676"/>
      <c r="AK161" s="676"/>
      <c r="AL161" s="676">
        <v>13.375370211139773</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65.443775675933878</v>
      </c>
    </row>
    <row r="162" spans="1:72">
      <c r="A162" s="681"/>
      <c r="B162" s="680" t="s">
        <v>968</v>
      </c>
      <c r="C162" s="679" t="s">
        <v>990</v>
      </c>
      <c r="D162" s="679"/>
      <c r="E162" s="679"/>
      <c r="F162" s="678" t="s">
        <v>989</v>
      </c>
      <c r="G162" s="678"/>
      <c r="H162" s="677">
        <v>3290.6038024266741</v>
      </c>
      <c r="I162" s="674"/>
      <c r="J162" s="676"/>
      <c r="K162" s="676"/>
      <c r="L162" s="676"/>
      <c r="M162" s="676"/>
      <c r="N162" s="676"/>
      <c r="O162" s="676"/>
      <c r="P162" s="676"/>
      <c r="Q162" s="676"/>
      <c r="R162" s="676"/>
      <c r="S162" s="676"/>
      <c r="T162" s="676"/>
      <c r="U162" s="676"/>
      <c r="V162" s="676"/>
      <c r="W162" s="674">
        <v>3146.2692270946782</v>
      </c>
      <c r="X162" s="676"/>
      <c r="Y162" s="676"/>
      <c r="Z162" s="676"/>
      <c r="AA162" s="676"/>
      <c r="AB162" s="676"/>
      <c r="AC162" s="676"/>
      <c r="AD162" s="676"/>
      <c r="AE162" s="676">
        <v>2.1973822489729624</v>
      </c>
      <c r="AF162" s="676">
        <v>971.98337632559469</v>
      </c>
      <c r="AG162" s="676"/>
      <c r="AH162" s="676"/>
      <c r="AI162" s="676"/>
      <c r="AJ162" s="676"/>
      <c r="AK162" s="676"/>
      <c r="AL162" s="676">
        <v>2172.0884685201108</v>
      </c>
      <c r="AM162" s="676">
        <v>0</v>
      </c>
      <c r="AN162" s="676"/>
      <c r="AO162" s="676"/>
      <c r="AP162" s="676"/>
      <c r="AQ162" s="676"/>
      <c r="AR162" s="676"/>
      <c r="AS162" s="676"/>
      <c r="AT162" s="674">
        <v>10.413681092958823</v>
      </c>
      <c r="AU162" s="676">
        <v>10.413681092958823</v>
      </c>
      <c r="AV162" s="676"/>
      <c r="AW162" s="676"/>
      <c r="AX162" s="676"/>
      <c r="AY162" s="676"/>
      <c r="AZ162" s="674">
        <v>133.29989490780548</v>
      </c>
      <c r="BA162" s="676"/>
      <c r="BB162" s="676"/>
      <c r="BC162" s="676"/>
      <c r="BD162" s="676">
        <v>0</v>
      </c>
      <c r="BE162" s="676"/>
      <c r="BF162" s="676">
        <v>0</v>
      </c>
      <c r="BG162" s="676">
        <v>0</v>
      </c>
      <c r="BH162" s="676">
        <v>1.0270373554982324</v>
      </c>
      <c r="BI162" s="676">
        <v>0</v>
      </c>
      <c r="BJ162" s="676">
        <v>8.9567211235310982</v>
      </c>
      <c r="BK162" s="676">
        <v>120.42610107958345</v>
      </c>
      <c r="BL162" s="676">
        <v>0</v>
      </c>
      <c r="BM162" s="676">
        <v>2.8900353491927007</v>
      </c>
      <c r="BN162" s="676">
        <v>0</v>
      </c>
      <c r="BO162" s="674">
        <v>0</v>
      </c>
      <c r="BP162" s="676">
        <v>0</v>
      </c>
      <c r="BQ162" s="676">
        <v>0</v>
      </c>
      <c r="BR162" s="675"/>
      <c r="BS162" s="675"/>
      <c r="BT162" s="674">
        <v>0.59711474156873978</v>
      </c>
    </row>
    <row r="163" spans="1:72">
      <c r="A163" s="681"/>
      <c r="B163" s="680" t="s">
        <v>968</v>
      </c>
      <c r="C163" s="679" t="s">
        <v>988</v>
      </c>
      <c r="D163" s="679"/>
      <c r="E163" s="679"/>
      <c r="F163" s="678" t="s">
        <v>987</v>
      </c>
      <c r="G163" s="678"/>
      <c r="H163" s="677">
        <v>403.53014235215437</v>
      </c>
      <c r="I163" s="674"/>
      <c r="J163" s="676"/>
      <c r="K163" s="676"/>
      <c r="L163" s="676"/>
      <c r="M163" s="676"/>
      <c r="N163" s="676"/>
      <c r="O163" s="676"/>
      <c r="P163" s="676"/>
      <c r="Q163" s="676"/>
      <c r="R163" s="676"/>
      <c r="S163" s="676"/>
      <c r="T163" s="676"/>
      <c r="U163" s="676"/>
      <c r="V163" s="676"/>
      <c r="W163" s="674">
        <v>403.53014235215437</v>
      </c>
      <c r="X163" s="676"/>
      <c r="Y163" s="676"/>
      <c r="Z163" s="676"/>
      <c r="AA163" s="676"/>
      <c r="AB163" s="676"/>
      <c r="AC163" s="676"/>
      <c r="AD163" s="676"/>
      <c r="AE163" s="676"/>
      <c r="AF163" s="676"/>
      <c r="AG163" s="676"/>
      <c r="AH163" s="676"/>
      <c r="AI163" s="676">
        <v>403.53014235215437</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c r="A164" s="681"/>
      <c r="B164" s="680" t="s">
        <v>968</v>
      </c>
      <c r="C164" s="679" t="s">
        <v>986</v>
      </c>
      <c r="D164" s="679"/>
      <c r="E164" s="679"/>
      <c r="F164" s="678" t="s">
        <v>985</v>
      </c>
      <c r="G164" s="678"/>
      <c r="H164" s="677">
        <v>398.41884016432596</v>
      </c>
      <c r="I164" s="674"/>
      <c r="J164" s="676"/>
      <c r="K164" s="676"/>
      <c r="L164" s="676"/>
      <c r="M164" s="676"/>
      <c r="N164" s="676"/>
      <c r="O164" s="676"/>
      <c r="P164" s="676"/>
      <c r="Q164" s="676"/>
      <c r="R164" s="676"/>
      <c r="S164" s="676"/>
      <c r="T164" s="676"/>
      <c r="U164" s="676"/>
      <c r="V164" s="676"/>
      <c r="W164" s="674">
        <v>398.41884016432596</v>
      </c>
      <c r="X164" s="676"/>
      <c r="Y164" s="676"/>
      <c r="Z164" s="676"/>
      <c r="AA164" s="676"/>
      <c r="AB164" s="676"/>
      <c r="AC164" s="676"/>
      <c r="AD164" s="676"/>
      <c r="AE164" s="676"/>
      <c r="AF164" s="676"/>
      <c r="AG164" s="676">
        <v>2.1018438903219643</v>
      </c>
      <c r="AH164" s="676"/>
      <c r="AI164" s="676">
        <v>396.34088086366677</v>
      </c>
      <c r="AJ164" s="676"/>
      <c r="AK164" s="676"/>
      <c r="AL164" s="676"/>
      <c r="AM164" s="676">
        <v>0</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c r="A165" s="681"/>
      <c r="B165" s="680" t="s">
        <v>968</v>
      </c>
      <c r="C165" s="679" t="s">
        <v>984</v>
      </c>
      <c r="D165" s="679"/>
      <c r="E165" s="679"/>
      <c r="F165" s="678" t="s">
        <v>983</v>
      </c>
      <c r="G165" s="678"/>
      <c r="H165" s="677">
        <v>806.67813126970475</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806.67813126970475</v>
      </c>
      <c r="X165" s="676"/>
      <c r="Y165" s="676"/>
      <c r="Z165" s="676"/>
      <c r="AA165" s="676"/>
      <c r="AB165" s="676"/>
      <c r="AC165" s="676"/>
      <c r="AD165" s="676"/>
      <c r="AE165" s="676"/>
      <c r="AF165" s="676">
        <v>40.890417502627301</v>
      </c>
      <c r="AG165" s="676"/>
      <c r="AH165" s="676"/>
      <c r="AI165" s="676"/>
      <c r="AJ165" s="676"/>
      <c r="AK165" s="676"/>
      <c r="AL165" s="676">
        <v>724.70621954714818</v>
      </c>
      <c r="AM165" s="676">
        <v>41.081494219929297</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c r="A167" s="681"/>
      <c r="B167" s="680" t="s">
        <v>968</v>
      </c>
      <c r="C167" s="679" t="s">
        <v>980</v>
      </c>
      <c r="D167" s="679"/>
      <c r="E167" s="679"/>
      <c r="F167" s="678" t="s">
        <v>979</v>
      </c>
      <c r="G167" s="678"/>
      <c r="H167" s="677">
        <v>68.11884971816184</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68.11884971816184</v>
      </c>
      <c r="AU167" s="676">
        <v>68.11884971816184</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c r="A168" s="680" t="s">
        <v>968</v>
      </c>
      <c r="B168" s="679" t="s">
        <v>978</v>
      </c>
      <c r="C168" s="679"/>
      <c r="D168" s="679"/>
      <c r="E168" s="679"/>
      <c r="F168" s="678" t="s">
        <v>977</v>
      </c>
      <c r="G168" s="678"/>
      <c r="H168" s="677">
        <v>7846.923664851437</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1055.2928250692653</v>
      </c>
      <c r="X168" s="676"/>
      <c r="Y168" s="676"/>
      <c r="Z168" s="676"/>
      <c r="AA168" s="676"/>
      <c r="AB168" s="676"/>
      <c r="AC168" s="676"/>
      <c r="AD168" s="676"/>
      <c r="AE168" s="676">
        <v>27.51504729148753</v>
      </c>
      <c r="AF168" s="676">
        <v>24.123435559377089</v>
      </c>
      <c r="AG168" s="676"/>
      <c r="AH168" s="676"/>
      <c r="AI168" s="676">
        <v>32.936849144931685</v>
      </c>
      <c r="AJ168" s="676">
        <v>33.963886500429922</v>
      </c>
      <c r="AK168" s="676"/>
      <c r="AL168" s="676">
        <v>929.56434508455141</v>
      </c>
      <c r="AM168" s="676">
        <v>3.8215343460399347</v>
      </c>
      <c r="AN168" s="676"/>
      <c r="AO168" s="676"/>
      <c r="AP168" s="676"/>
      <c r="AQ168" s="676">
        <v>3.3438425527849431</v>
      </c>
      <c r="AR168" s="676"/>
      <c r="AS168" s="676"/>
      <c r="AT168" s="674">
        <v>41.105378809592047</v>
      </c>
      <c r="AU168" s="676">
        <v>41.105378809592047</v>
      </c>
      <c r="AV168" s="676">
        <v>0</v>
      </c>
      <c r="AW168" s="676">
        <v>0</v>
      </c>
      <c r="AX168" s="676">
        <v>0</v>
      </c>
      <c r="AY168" s="676">
        <v>0</v>
      </c>
      <c r="AZ168" s="674">
        <v>692.46202350243618</v>
      </c>
      <c r="BA168" s="676"/>
      <c r="BB168" s="676"/>
      <c r="BC168" s="676"/>
      <c r="BD168" s="676">
        <v>0</v>
      </c>
      <c r="BE168" s="676"/>
      <c r="BF168" s="676">
        <v>682.54991879239515</v>
      </c>
      <c r="BG168" s="676">
        <v>0</v>
      </c>
      <c r="BH168" s="676">
        <v>9.9121047100410813</v>
      </c>
      <c r="BI168" s="676">
        <v>0</v>
      </c>
      <c r="BJ168" s="676">
        <v>0</v>
      </c>
      <c r="BK168" s="676">
        <v>0</v>
      </c>
      <c r="BL168" s="676">
        <v>0</v>
      </c>
      <c r="BM168" s="676">
        <v>0</v>
      </c>
      <c r="BN168" s="676">
        <v>0</v>
      </c>
      <c r="BO168" s="674">
        <v>0</v>
      </c>
      <c r="BP168" s="676">
        <v>0</v>
      </c>
      <c r="BQ168" s="676">
        <v>0</v>
      </c>
      <c r="BR168" s="675"/>
      <c r="BS168" s="675">
        <v>338.30132798318522</v>
      </c>
      <c r="BT168" s="674">
        <v>5719.7859940766211</v>
      </c>
    </row>
    <row r="169" spans="1:72">
      <c r="A169" s="681"/>
      <c r="B169" s="680" t="s">
        <v>968</v>
      </c>
      <c r="C169" s="679" t="s">
        <v>976</v>
      </c>
      <c r="D169" s="679"/>
      <c r="E169" s="679"/>
      <c r="F169" s="678" t="s">
        <v>975</v>
      </c>
      <c r="G169" s="678"/>
      <c r="H169" s="677">
        <v>2768.3433648609916</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206.55393140345848</v>
      </c>
      <c r="X169" s="676"/>
      <c r="Y169" s="676"/>
      <c r="Z169" s="676"/>
      <c r="AA169" s="676"/>
      <c r="AB169" s="676"/>
      <c r="AC169" s="676"/>
      <c r="AD169" s="676"/>
      <c r="AE169" s="676">
        <v>8.8134135855545992</v>
      </c>
      <c r="AF169" s="676"/>
      <c r="AG169" s="676"/>
      <c r="AH169" s="676"/>
      <c r="AI169" s="676"/>
      <c r="AJ169" s="676">
        <v>10.294258144645074</v>
      </c>
      <c r="AK169" s="676"/>
      <c r="AL169" s="676">
        <v>182.21553453711664</v>
      </c>
      <c r="AM169" s="676">
        <v>1.9107671730199673</v>
      </c>
      <c r="AN169" s="676"/>
      <c r="AO169" s="676"/>
      <c r="AP169" s="676"/>
      <c r="AQ169" s="676">
        <v>3.3438425527849431</v>
      </c>
      <c r="AR169" s="676"/>
      <c r="AS169" s="676"/>
      <c r="AT169" s="674">
        <v>20.827362185917647</v>
      </c>
      <c r="AU169" s="676">
        <v>20.827362185917647</v>
      </c>
      <c r="AV169" s="676">
        <v>0</v>
      </c>
      <c r="AW169" s="676">
        <v>0</v>
      </c>
      <c r="AX169" s="676">
        <v>0</v>
      </c>
      <c r="AY169" s="676">
        <v>0</v>
      </c>
      <c r="AZ169" s="674">
        <v>33.820578962453425</v>
      </c>
      <c r="BA169" s="676"/>
      <c r="BB169" s="676"/>
      <c r="BC169" s="676"/>
      <c r="BD169" s="676">
        <v>0</v>
      </c>
      <c r="BE169" s="676"/>
      <c r="BF169" s="676">
        <v>23.908474252412343</v>
      </c>
      <c r="BG169" s="676">
        <v>0</v>
      </c>
      <c r="BH169" s="676">
        <v>9.9121047100410813</v>
      </c>
      <c r="BI169" s="676">
        <v>0</v>
      </c>
      <c r="BJ169" s="676">
        <v>0</v>
      </c>
      <c r="BK169" s="676">
        <v>0</v>
      </c>
      <c r="BL169" s="676">
        <v>0</v>
      </c>
      <c r="BM169" s="676">
        <v>0</v>
      </c>
      <c r="BN169" s="676">
        <v>0</v>
      </c>
      <c r="BO169" s="674">
        <v>0</v>
      </c>
      <c r="BP169" s="676">
        <v>0</v>
      </c>
      <c r="BQ169" s="676">
        <v>0</v>
      </c>
      <c r="BR169" s="675"/>
      <c r="BS169" s="675">
        <v>256.13833954332665</v>
      </c>
      <c r="BT169" s="674">
        <v>2250.9792681761728</v>
      </c>
    </row>
    <row r="170" spans="1:72">
      <c r="A170" s="681"/>
      <c r="B170" s="680" t="s">
        <v>968</v>
      </c>
      <c r="C170" s="679" t="s">
        <v>974</v>
      </c>
      <c r="D170" s="679"/>
      <c r="E170" s="679"/>
      <c r="F170" s="678" t="s">
        <v>973</v>
      </c>
      <c r="G170" s="678"/>
      <c r="H170" s="677">
        <v>4145.5049202254704</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117.48829655106525</v>
      </c>
      <c r="X170" s="676"/>
      <c r="Y170" s="676"/>
      <c r="Z170" s="676"/>
      <c r="AA170" s="676"/>
      <c r="AB170" s="676"/>
      <c r="AC170" s="676"/>
      <c r="AD170" s="676"/>
      <c r="AE170" s="676">
        <v>13.208178083500524</v>
      </c>
      <c r="AF170" s="676">
        <v>16.766981943250215</v>
      </c>
      <c r="AG170" s="676"/>
      <c r="AH170" s="676"/>
      <c r="AI170" s="676"/>
      <c r="AJ170" s="676">
        <v>23.669628355784848</v>
      </c>
      <c r="AK170" s="676"/>
      <c r="AL170" s="676">
        <v>63.81962357886691</v>
      </c>
      <c r="AM170" s="676">
        <v>0</v>
      </c>
      <c r="AN170" s="676"/>
      <c r="AO170" s="676"/>
      <c r="AP170" s="676"/>
      <c r="AQ170" s="676"/>
      <c r="AR170" s="676"/>
      <c r="AS170" s="676"/>
      <c r="AT170" s="674">
        <v>3.176650425145696</v>
      </c>
      <c r="AU170" s="676">
        <v>3.176650425145696</v>
      </c>
      <c r="AV170" s="676">
        <v>0</v>
      </c>
      <c r="AW170" s="676">
        <v>0</v>
      </c>
      <c r="AX170" s="676">
        <v>0</v>
      </c>
      <c r="AY170" s="676">
        <v>0</v>
      </c>
      <c r="AZ170" s="674">
        <v>653.96006496608391</v>
      </c>
      <c r="BA170" s="676"/>
      <c r="BB170" s="676"/>
      <c r="BC170" s="676"/>
      <c r="BD170" s="676">
        <v>0</v>
      </c>
      <c r="BE170" s="676"/>
      <c r="BF170" s="676">
        <v>653.96006496608391</v>
      </c>
      <c r="BG170" s="676">
        <v>0</v>
      </c>
      <c r="BH170" s="676">
        <v>0</v>
      </c>
      <c r="BI170" s="676">
        <v>0</v>
      </c>
      <c r="BJ170" s="676">
        <v>0</v>
      </c>
      <c r="BK170" s="676">
        <v>0</v>
      </c>
      <c r="BL170" s="676">
        <v>0</v>
      </c>
      <c r="BM170" s="676">
        <v>0</v>
      </c>
      <c r="BN170" s="676">
        <v>0</v>
      </c>
      <c r="BO170" s="674">
        <v>0</v>
      </c>
      <c r="BP170" s="676">
        <v>0</v>
      </c>
      <c r="BQ170" s="676">
        <v>0</v>
      </c>
      <c r="BR170" s="675"/>
      <c r="BS170" s="675">
        <v>81.70918123626636</v>
      </c>
      <c r="BT170" s="674">
        <v>3289.1707270469092</v>
      </c>
    </row>
    <row r="171" spans="1:72">
      <c r="A171" s="681"/>
      <c r="B171" s="680" t="s">
        <v>968</v>
      </c>
      <c r="C171" s="679" t="s">
        <v>972</v>
      </c>
      <c r="D171" s="679"/>
      <c r="E171" s="679"/>
      <c r="F171" s="678" t="s">
        <v>971</v>
      </c>
      <c r="G171" s="678"/>
      <c r="H171" s="677">
        <v>324.30495844081395</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141.39677080347758</v>
      </c>
      <c r="X171" s="676"/>
      <c r="Y171" s="676"/>
      <c r="Z171" s="676"/>
      <c r="AA171" s="676"/>
      <c r="AB171" s="676"/>
      <c r="AC171" s="676"/>
      <c r="AD171" s="676"/>
      <c r="AE171" s="676">
        <v>5.493455622432406</v>
      </c>
      <c r="AF171" s="676"/>
      <c r="AG171" s="676"/>
      <c r="AH171" s="676"/>
      <c r="AI171" s="676"/>
      <c r="AJ171" s="676"/>
      <c r="AK171" s="676"/>
      <c r="AL171" s="676">
        <v>135.87943059138243</v>
      </c>
      <c r="AM171" s="676">
        <v>0</v>
      </c>
      <c r="AN171" s="676"/>
      <c r="AO171" s="676"/>
      <c r="AP171" s="676"/>
      <c r="AQ171" s="676"/>
      <c r="AR171" s="676"/>
      <c r="AS171" s="676"/>
      <c r="AT171" s="674">
        <v>15.429444922136238</v>
      </c>
      <c r="AU171" s="676">
        <v>15.429444922136238</v>
      </c>
      <c r="AV171" s="676">
        <v>0</v>
      </c>
      <c r="AW171" s="676">
        <v>0</v>
      </c>
      <c r="AX171" s="676">
        <v>0</v>
      </c>
      <c r="AY171" s="676">
        <v>0</v>
      </c>
      <c r="AZ171" s="674">
        <v>4.6813795738989201</v>
      </c>
      <c r="BA171" s="676"/>
      <c r="BB171" s="676"/>
      <c r="BC171" s="676"/>
      <c r="BD171" s="676">
        <v>0</v>
      </c>
      <c r="BE171" s="676"/>
      <c r="BF171" s="676">
        <v>4.6813795738989201</v>
      </c>
      <c r="BG171" s="676">
        <v>0</v>
      </c>
      <c r="BH171" s="676">
        <v>0</v>
      </c>
      <c r="BI171" s="676">
        <v>0</v>
      </c>
      <c r="BJ171" s="676">
        <v>0</v>
      </c>
      <c r="BK171" s="676">
        <v>0</v>
      </c>
      <c r="BL171" s="676">
        <v>0</v>
      </c>
      <c r="BM171" s="676">
        <v>0</v>
      </c>
      <c r="BN171" s="676">
        <v>0</v>
      </c>
      <c r="BO171" s="674">
        <v>0</v>
      </c>
      <c r="BP171" s="676">
        <v>0</v>
      </c>
      <c r="BQ171" s="676">
        <v>0</v>
      </c>
      <c r="BR171" s="675"/>
      <c r="BS171" s="675">
        <v>0.45380720359224225</v>
      </c>
      <c r="BT171" s="674">
        <v>162.34355593770897</v>
      </c>
    </row>
    <row r="172" spans="1:72">
      <c r="A172" s="681"/>
      <c r="B172" s="680" t="s">
        <v>968</v>
      </c>
      <c r="C172" s="679" t="s">
        <v>970</v>
      </c>
      <c r="D172" s="679"/>
      <c r="E172" s="679"/>
      <c r="F172" s="678" t="s">
        <v>969</v>
      </c>
      <c r="G172" s="678"/>
      <c r="H172" s="677">
        <v>524.74443489060855</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507.47587656444063</v>
      </c>
      <c r="X172" s="676"/>
      <c r="Y172" s="676"/>
      <c r="Z172" s="676"/>
      <c r="AA172" s="676"/>
      <c r="AB172" s="676"/>
      <c r="AC172" s="676"/>
      <c r="AD172" s="676"/>
      <c r="AE172" s="676"/>
      <c r="AF172" s="676">
        <v>6.2816470813031433</v>
      </c>
      <c r="AG172" s="676"/>
      <c r="AH172" s="676"/>
      <c r="AI172" s="676"/>
      <c r="AJ172" s="676"/>
      <c r="AK172" s="676"/>
      <c r="AL172" s="676">
        <v>499.2834623101175</v>
      </c>
      <c r="AM172" s="676">
        <v>1.9107671730199673</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c r="A173" s="673"/>
      <c r="B173" s="672" t="s">
        <v>968</v>
      </c>
      <c r="C173" s="671" t="s">
        <v>967</v>
      </c>
      <c r="D173" s="671"/>
      <c r="E173" s="671"/>
      <c r="F173" s="670" t="s">
        <v>966</v>
      </c>
      <c r="G173" s="670"/>
      <c r="H173" s="669">
        <v>84.025986433553072</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82.377949746823347</v>
      </c>
      <c r="X173" s="668"/>
      <c r="Y173" s="668"/>
      <c r="Z173" s="668"/>
      <c r="AA173" s="668"/>
      <c r="AB173" s="668"/>
      <c r="AC173" s="668"/>
      <c r="AD173" s="668"/>
      <c r="AE173" s="668"/>
      <c r="AF173" s="668">
        <v>1.0509219451609821</v>
      </c>
      <c r="AG173" s="668"/>
      <c r="AH173" s="668"/>
      <c r="AI173" s="668">
        <v>32.936849144931685</v>
      </c>
      <c r="AJ173" s="668"/>
      <c r="AK173" s="668"/>
      <c r="AL173" s="668">
        <v>48.390178656730676</v>
      </c>
      <c r="AM173" s="668">
        <v>0</v>
      </c>
      <c r="AN173" s="668"/>
      <c r="AO173" s="668"/>
      <c r="AP173" s="668"/>
      <c r="AQ173" s="668"/>
      <c r="AR173" s="668"/>
      <c r="AS173" s="668"/>
      <c r="AT173" s="666">
        <v>1.6480366867297218</v>
      </c>
      <c r="AU173" s="668">
        <v>1.6480366867297218</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3102.2976975255565</v>
      </c>
      <c r="I174" s="660">
        <v>54.361326072418073</v>
      </c>
      <c r="J174" s="662">
        <v>0</v>
      </c>
      <c r="K174" s="662">
        <v>0</v>
      </c>
      <c r="L174" s="662">
        <v>6.0428011846756471</v>
      </c>
      <c r="M174" s="662">
        <v>0</v>
      </c>
      <c r="N174" s="662">
        <v>0</v>
      </c>
      <c r="O174" s="662">
        <v>0</v>
      </c>
      <c r="P174" s="662">
        <v>48.342409477405177</v>
      </c>
      <c r="Q174" s="662">
        <v>0</v>
      </c>
      <c r="R174" s="662">
        <v>0</v>
      </c>
      <c r="S174" s="662">
        <v>0</v>
      </c>
      <c r="T174" s="662">
        <v>0</v>
      </c>
      <c r="U174" s="662">
        <v>0</v>
      </c>
      <c r="V174" s="662">
        <v>0</v>
      </c>
      <c r="W174" s="660">
        <v>3193.9906372408523</v>
      </c>
      <c r="X174" s="662">
        <v>124.98805770516861</v>
      </c>
      <c r="Y174" s="662">
        <v>0</v>
      </c>
      <c r="Z174" s="662">
        <v>43.446068596541508</v>
      </c>
      <c r="AA174" s="662">
        <v>0</v>
      </c>
      <c r="AB174" s="662"/>
      <c r="AC174" s="662">
        <v>18.582210757619183</v>
      </c>
      <c r="AD174" s="662">
        <v>674.95461927964072</v>
      </c>
      <c r="AE174" s="662">
        <v>278.56596923664853</v>
      </c>
      <c r="AF174" s="662">
        <v>436.18037642113308</v>
      </c>
      <c r="AG174" s="662">
        <v>-2.1018438903219643</v>
      </c>
      <c r="AH174" s="662">
        <v>0</v>
      </c>
      <c r="AI174" s="662">
        <v>-42.204069934078532</v>
      </c>
      <c r="AJ174" s="662">
        <v>-50.444253367727143</v>
      </c>
      <c r="AK174" s="662">
        <v>1962.8594630744242</v>
      </c>
      <c r="AL174" s="662">
        <v>543.54160695519249</v>
      </c>
      <c r="AM174" s="662">
        <v>-302.85659692366482</v>
      </c>
      <c r="AN174" s="662">
        <v>1.0509219451609821</v>
      </c>
      <c r="AO174" s="662">
        <v>1.0031527658354829</v>
      </c>
      <c r="AP174" s="662">
        <v>0</v>
      </c>
      <c r="AQ174" s="662">
        <v>-249.95223082067449</v>
      </c>
      <c r="AR174" s="662">
        <v>0</v>
      </c>
      <c r="AS174" s="662">
        <v>-243.62281456004584</v>
      </c>
      <c r="AT174" s="660">
        <v>-155.17817903888411</v>
      </c>
      <c r="AU174" s="662">
        <v>-155.17817903888411</v>
      </c>
      <c r="AV174" s="662">
        <v>0</v>
      </c>
      <c r="AW174" s="662">
        <v>0</v>
      </c>
      <c r="AX174" s="662">
        <v>0</v>
      </c>
      <c r="AY174" s="662">
        <v>0</v>
      </c>
      <c r="AZ174" s="660">
        <v>16.432597687971718</v>
      </c>
      <c r="BA174" s="662">
        <v>0</v>
      </c>
      <c r="BB174" s="662">
        <v>0</v>
      </c>
      <c r="BC174" s="662">
        <v>0</v>
      </c>
      <c r="BD174" s="662">
        <v>0</v>
      </c>
      <c r="BE174" s="662">
        <v>0</v>
      </c>
      <c r="BF174" s="662">
        <v>9.2433361994840926</v>
      </c>
      <c r="BG174" s="662">
        <v>0</v>
      </c>
      <c r="BH174" s="662">
        <v>6.854877233209133</v>
      </c>
      <c r="BI174" s="662">
        <v>0</v>
      </c>
      <c r="BJ174" s="662">
        <v>0.19107671730199674</v>
      </c>
      <c r="BK174" s="662">
        <v>0.14330753797649756</v>
      </c>
      <c r="BL174" s="662">
        <v>0</v>
      </c>
      <c r="BM174" s="662">
        <v>0</v>
      </c>
      <c r="BN174" s="662">
        <v>0</v>
      </c>
      <c r="BO174" s="660">
        <v>0</v>
      </c>
      <c r="BP174" s="662">
        <v>0</v>
      </c>
      <c r="BQ174" s="662">
        <v>0</v>
      </c>
      <c r="BR174" s="661">
        <v>0</v>
      </c>
      <c r="BS174" s="661">
        <v>0</v>
      </c>
      <c r="BT174" s="660">
        <v>-7.308684436801375</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751"/>
      <c r="B179" s="751"/>
      <c r="C179" s="751" t="s">
        <v>962</v>
      </c>
      <c r="D179" s="751"/>
      <c r="E179" s="751"/>
      <c r="F179" s="708" t="s">
        <v>961</v>
      </c>
      <c r="G179" s="708"/>
      <c r="H179" s="708"/>
      <c r="I179" s="708"/>
      <c r="J179" s="708"/>
      <c r="K179" s="708"/>
      <c r="L179" s="708"/>
      <c r="M179" s="708"/>
      <c r="N179" s="708"/>
      <c r="O179" s="708"/>
      <c r="P179" s="708"/>
      <c r="Q179" s="708"/>
      <c r="R179" s="708"/>
      <c r="S179" s="708"/>
      <c r="T179" s="708"/>
      <c r="U179" s="708"/>
      <c r="V179" s="708"/>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08"/>
      <c r="BA179" s="751"/>
      <c r="BB179" s="751"/>
      <c r="BC179" s="751"/>
      <c r="BD179" s="751"/>
      <c r="BE179" s="751"/>
      <c r="BF179" s="751"/>
      <c r="BG179" s="751"/>
      <c r="BH179" s="751"/>
      <c r="BI179" s="751"/>
      <c r="BJ179" s="752">
        <v>9.1477978408330944</v>
      </c>
      <c r="BK179" s="752">
        <v>120.5455240278972</v>
      </c>
      <c r="BL179" s="751"/>
      <c r="BM179" s="751"/>
      <c r="BN179" s="751"/>
      <c r="BO179" s="751"/>
      <c r="BP179" s="751"/>
      <c r="BQ179" s="751"/>
      <c r="BR179" s="751"/>
      <c r="BS179" s="751"/>
      <c r="BT179" s="751"/>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BU179"/>
  <sheetViews>
    <sheetView zoomScaleNormal="100" workbookViewId="0">
      <pane xSplit="7" ySplit="2" topLeftCell="H3" activePane="bottomRight" state="frozen"/>
      <selection activeCell="D27" sqref="D27"/>
      <selection pane="topRight" activeCell="D27" sqref="D27"/>
      <selection pane="bottomLeft" activeCell="D27" sqref="D27"/>
      <selection pane="bottomRight" activeCell="H19" sqref="H19"/>
    </sheetView>
  </sheetViews>
  <sheetFormatPr defaultColWidth="8.44140625" defaultRowHeight="10.199999999999999"/>
  <cols>
    <col min="1" max="3" width="2" style="654" customWidth="1"/>
    <col min="4" max="4" width="2.44140625" style="654" customWidth="1"/>
    <col min="5" max="5" width="45.44140625" style="654" customWidth="1"/>
    <col min="6" max="6" width="7.21875" style="655" customWidth="1"/>
    <col min="7" max="7" width="0.44140625" style="655" customWidth="1"/>
    <col min="8" max="22" width="10.44140625" style="655" customWidth="1"/>
    <col min="23" max="45" width="10.44140625" style="654" customWidth="1"/>
    <col min="46" max="51" width="9.44140625" style="654" customWidth="1"/>
    <col min="52" max="52" width="10.44140625" style="655" customWidth="1"/>
    <col min="53" max="57" width="9.44140625" style="654" customWidth="1"/>
    <col min="58" max="256" width="8.44140625" style="654"/>
    <col min="257" max="259" width="2" style="654" customWidth="1"/>
    <col min="260" max="260" width="2.44140625" style="654" customWidth="1"/>
    <col min="261" max="261" width="45.44140625" style="654" customWidth="1"/>
    <col min="262" max="262" width="7.21875" style="654" customWidth="1"/>
    <col min="263" max="263" width="0.44140625" style="654" customWidth="1"/>
    <col min="264" max="301" width="10.44140625" style="654" customWidth="1"/>
    <col min="302" max="307" width="9.44140625" style="654" customWidth="1"/>
    <col min="308" max="308" width="10.44140625" style="654" customWidth="1"/>
    <col min="309" max="313" width="9.44140625" style="654" customWidth="1"/>
    <col min="314" max="512" width="8.44140625" style="654"/>
    <col min="513" max="515" width="2" style="654" customWidth="1"/>
    <col min="516" max="516" width="2.44140625" style="654" customWidth="1"/>
    <col min="517" max="517" width="45.44140625" style="654" customWidth="1"/>
    <col min="518" max="518" width="7.21875" style="654" customWidth="1"/>
    <col min="519" max="519" width="0.44140625" style="654" customWidth="1"/>
    <col min="520" max="557" width="10.44140625" style="654" customWidth="1"/>
    <col min="558" max="563" width="9.44140625" style="654" customWidth="1"/>
    <col min="564" max="564" width="10.44140625" style="654" customWidth="1"/>
    <col min="565" max="569" width="9.44140625" style="654" customWidth="1"/>
    <col min="570" max="768" width="8.44140625" style="654"/>
    <col min="769" max="771" width="2" style="654" customWidth="1"/>
    <col min="772" max="772" width="2.44140625" style="654" customWidth="1"/>
    <col min="773" max="773" width="45.44140625" style="654" customWidth="1"/>
    <col min="774" max="774" width="7.21875" style="654" customWidth="1"/>
    <col min="775" max="775" width="0.44140625" style="654" customWidth="1"/>
    <col min="776" max="813" width="10.44140625" style="654" customWidth="1"/>
    <col min="814" max="819" width="9.44140625" style="654" customWidth="1"/>
    <col min="820" max="820" width="10.44140625" style="654" customWidth="1"/>
    <col min="821" max="825" width="9.44140625" style="654" customWidth="1"/>
    <col min="826" max="1024" width="8.44140625" style="654"/>
    <col min="1025" max="1027" width="2" style="654" customWidth="1"/>
    <col min="1028" max="1028" width="2.44140625" style="654" customWidth="1"/>
    <col min="1029" max="1029" width="45.44140625" style="654" customWidth="1"/>
    <col min="1030" max="1030" width="7.21875" style="654" customWidth="1"/>
    <col min="1031" max="1031" width="0.44140625" style="654" customWidth="1"/>
    <col min="1032" max="1069" width="10.44140625" style="654" customWidth="1"/>
    <col min="1070" max="1075" width="9.44140625" style="654" customWidth="1"/>
    <col min="1076" max="1076" width="10.44140625" style="654" customWidth="1"/>
    <col min="1077" max="1081" width="9.44140625" style="654" customWidth="1"/>
    <col min="1082" max="1280" width="8.44140625" style="654"/>
    <col min="1281" max="1283" width="2" style="654" customWidth="1"/>
    <col min="1284" max="1284" width="2.44140625" style="654" customWidth="1"/>
    <col min="1285" max="1285" width="45.44140625" style="654" customWidth="1"/>
    <col min="1286" max="1286" width="7.21875" style="654" customWidth="1"/>
    <col min="1287" max="1287" width="0.44140625" style="654" customWidth="1"/>
    <col min="1288" max="1325" width="10.44140625" style="654" customWidth="1"/>
    <col min="1326" max="1331" width="9.44140625" style="654" customWidth="1"/>
    <col min="1332" max="1332" width="10.44140625" style="654" customWidth="1"/>
    <col min="1333" max="1337" width="9.44140625" style="654" customWidth="1"/>
    <col min="1338" max="1536" width="8.44140625" style="654"/>
    <col min="1537" max="1539" width="2" style="654" customWidth="1"/>
    <col min="1540" max="1540" width="2.44140625" style="654" customWidth="1"/>
    <col min="1541" max="1541" width="45.44140625" style="654" customWidth="1"/>
    <col min="1542" max="1542" width="7.21875" style="654" customWidth="1"/>
    <col min="1543" max="1543" width="0.44140625" style="654" customWidth="1"/>
    <col min="1544" max="1581" width="10.44140625" style="654" customWidth="1"/>
    <col min="1582" max="1587" width="9.44140625" style="654" customWidth="1"/>
    <col min="1588" max="1588" width="10.44140625" style="654" customWidth="1"/>
    <col min="1589" max="1593" width="9.44140625" style="654" customWidth="1"/>
    <col min="1594" max="1792" width="8.44140625" style="654"/>
    <col min="1793" max="1795" width="2" style="654" customWidth="1"/>
    <col min="1796" max="1796" width="2.44140625" style="654" customWidth="1"/>
    <col min="1797" max="1797" width="45.44140625" style="654" customWidth="1"/>
    <col min="1798" max="1798" width="7.21875" style="654" customWidth="1"/>
    <col min="1799" max="1799" width="0.44140625" style="654" customWidth="1"/>
    <col min="1800" max="1837" width="10.44140625" style="654" customWidth="1"/>
    <col min="1838" max="1843" width="9.44140625" style="654" customWidth="1"/>
    <col min="1844" max="1844" width="10.44140625" style="654" customWidth="1"/>
    <col min="1845" max="1849" width="9.44140625" style="654" customWidth="1"/>
    <col min="1850" max="2048" width="8.44140625" style="654"/>
    <col min="2049" max="2051" width="2" style="654" customWidth="1"/>
    <col min="2052" max="2052" width="2.44140625" style="654" customWidth="1"/>
    <col min="2053" max="2053" width="45.44140625" style="654" customWidth="1"/>
    <col min="2054" max="2054" width="7.21875" style="654" customWidth="1"/>
    <col min="2055" max="2055" width="0.44140625" style="654" customWidth="1"/>
    <col min="2056" max="2093" width="10.44140625" style="654" customWidth="1"/>
    <col min="2094" max="2099" width="9.44140625" style="654" customWidth="1"/>
    <col min="2100" max="2100" width="10.44140625" style="654" customWidth="1"/>
    <col min="2101" max="2105" width="9.44140625" style="654" customWidth="1"/>
    <col min="2106" max="2304" width="8.44140625" style="654"/>
    <col min="2305" max="2307" width="2" style="654" customWidth="1"/>
    <col min="2308" max="2308" width="2.44140625" style="654" customWidth="1"/>
    <col min="2309" max="2309" width="45.44140625" style="654" customWidth="1"/>
    <col min="2310" max="2310" width="7.21875" style="654" customWidth="1"/>
    <col min="2311" max="2311" width="0.44140625" style="654" customWidth="1"/>
    <col min="2312" max="2349" width="10.44140625" style="654" customWidth="1"/>
    <col min="2350" max="2355" width="9.44140625" style="654" customWidth="1"/>
    <col min="2356" max="2356" width="10.44140625" style="654" customWidth="1"/>
    <col min="2357" max="2361" width="9.44140625" style="654" customWidth="1"/>
    <col min="2362" max="2560" width="8.44140625" style="654"/>
    <col min="2561" max="2563" width="2" style="654" customWidth="1"/>
    <col min="2564" max="2564" width="2.44140625" style="654" customWidth="1"/>
    <col min="2565" max="2565" width="45.44140625" style="654" customWidth="1"/>
    <col min="2566" max="2566" width="7.21875" style="654" customWidth="1"/>
    <col min="2567" max="2567" width="0.44140625" style="654" customWidth="1"/>
    <col min="2568" max="2605" width="10.44140625" style="654" customWidth="1"/>
    <col min="2606" max="2611" width="9.44140625" style="654" customWidth="1"/>
    <col min="2612" max="2612" width="10.44140625" style="654" customWidth="1"/>
    <col min="2613" max="2617" width="9.44140625" style="654" customWidth="1"/>
    <col min="2618" max="2816" width="8.44140625" style="654"/>
    <col min="2817" max="2819" width="2" style="654" customWidth="1"/>
    <col min="2820" max="2820" width="2.44140625" style="654" customWidth="1"/>
    <col min="2821" max="2821" width="45.44140625" style="654" customWidth="1"/>
    <col min="2822" max="2822" width="7.21875" style="654" customWidth="1"/>
    <col min="2823" max="2823" width="0.44140625" style="654" customWidth="1"/>
    <col min="2824" max="2861" width="10.44140625" style="654" customWidth="1"/>
    <col min="2862" max="2867" width="9.44140625" style="654" customWidth="1"/>
    <col min="2868" max="2868" width="10.44140625" style="654" customWidth="1"/>
    <col min="2869" max="2873" width="9.44140625" style="654" customWidth="1"/>
    <col min="2874" max="3072" width="8.44140625" style="654"/>
    <col min="3073" max="3075" width="2" style="654" customWidth="1"/>
    <col min="3076" max="3076" width="2.44140625" style="654" customWidth="1"/>
    <col min="3077" max="3077" width="45.44140625" style="654" customWidth="1"/>
    <col min="3078" max="3078" width="7.21875" style="654" customWidth="1"/>
    <col min="3079" max="3079" width="0.44140625" style="654" customWidth="1"/>
    <col min="3080" max="3117" width="10.44140625" style="654" customWidth="1"/>
    <col min="3118" max="3123" width="9.44140625" style="654" customWidth="1"/>
    <col min="3124" max="3124" width="10.44140625" style="654" customWidth="1"/>
    <col min="3125" max="3129" width="9.44140625" style="654" customWidth="1"/>
    <col min="3130" max="3328" width="8.44140625" style="654"/>
    <col min="3329" max="3331" width="2" style="654" customWidth="1"/>
    <col min="3332" max="3332" width="2.44140625" style="654" customWidth="1"/>
    <col min="3333" max="3333" width="45.44140625" style="654" customWidth="1"/>
    <col min="3334" max="3334" width="7.21875" style="654" customWidth="1"/>
    <col min="3335" max="3335" width="0.44140625" style="654" customWidth="1"/>
    <col min="3336" max="3373" width="10.44140625" style="654" customWidth="1"/>
    <col min="3374" max="3379" width="9.44140625" style="654" customWidth="1"/>
    <col min="3380" max="3380" width="10.44140625" style="654" customWidth="1"/>
    <col min="3381" max="3385" width="9.44140625" style="654" customWidth="1"/>
    <col min="3386" max="3584" width="8.44140625" style="654"/>
    <col min="3585" max="3587" width="2" style="654" customWidth="1"/>
    <col min="3588" max="3588" width="2.44140625" style="654" customWidth="1"/>
    <col min="3589" max="3589" width="45.44140625" style="654" customWidth="1"/>
    <col min="3590" max="3590" width="7.21875" style="654" customWidth="1"/>
    <col min="3591" max="3591" width="0.44140625" style="654" customWidth="1"/>
    <col min="3592" max="3629" width="10.44140625" style="654" customWidth="1"/>
    <col min="3630" max="3635" width="9.44140625" style="654" customWidth="1"/>
    <col min="3636" max="3636" width="10.44140625" style="654" customWidth="1"/>
    <col min="3637" max="3641" width="9.44140625" style="654" customWidth="1"/>
    <col min="3642" max="3840" width="8.44140625" style="654"/>
    <col min="3841" max="3843" width="2" style="654" customWidth="1"/>
    <col min="3844" max="3844" width="2.44140625" style="654" customWidth="1"/>
    <col min="3845" max="3845" width="45.44140625" style="654" customWidth="1"/>
    <col min="3846" max="3846" width="7.21875" style="654" customWidth="1"/>
    <col min="3847" max="3847" width="0.44140625" style="654" customWidth="1"/>
    <col min="3848" max="3885" width="10.44140625" style="654" customWidth="1"/>
    <col min="3886" max="3891" width="9.44140625" style="654" customWidth="1"/>
    <col min="3892" max="3892" width="10.44140625" style="654" customWidth="1"/>
    <col min="3893" max="3897" width="9.44140625" style="654" customWidth="1"/>
    <col min="3898" max="4096" width="8.44140625" style="654"/>
    <col min="4097" max="4099" width="2" style="654" customWidth="1"/>
    <col min="4100" max="4100" width="2.44140625" style="654" customWidth="1"/>
    <col min="4101" max="4101" width="45.44140625" style="654" customWidth="1"/>
    <col min="4102" max="4102" width="7.21875" style="654" customWidth="1"/>
    <col min="4103" max="4103" width="0.44140625" style="654" customWidth="1"/>
    <col min="4104" max="4141" width="10.44140625" style="654" customWidth="1"/>
    <col min="4142" max="4147" width="9.44140625" style="654" customWidth="1"/>
    <col min="4148" max="4148" width="10.44140625" style="654" customWidth="1"/>
    <col min="4149" max="4153" width="9.44140625" style="654" customWidth="1"/>
    <col min="4154" max="4352" width="8.44140625" style="654"/>
    <col min="4353" max="4355" width="2" style="654" customWidth="1"/>
    <col min="4356" max="4356" width="2.44140625" style="654" customWidth="1"/>
    <col min="4357" max="4357" width="45.44140625" style="654" customWidth="1"/>
    <col min="4358" max="4358" width="7.21875" style="654" customWidth="1"/>
    <col min="4359" max="4359" width="0.44140625" style="654" customWidth="1"/>
    <col min="4360" max="4397" width="10.44140625" style="654" customWidth="1"/>
    <col min="4398" max="4403" width="9.44140625" style="654" customWidth="1"/>
    <col min="4404" max="4404" width="10.44140625" style="654" customWidth="1"/>
    <col min="4405" max="4409" width="9.44140625" style="654" customWidth="1"/>
    <col min="4410" max="4608" width="8.44140625" style="654"/>
    <col min="4609" max="4611" width="2" style="654" customWidth="1"/>
    <col min="4612" max="4612" width="2.44140625" style="654" customWidth="1"/>
    <col min="4613" max="4613" width="45.44140625" style="654" customWidth="1"/>
    <col min="4614" max="4614" width="7.21875" style="654" customWidth="1"/>
    <col min="4615" max="4615" width="0.44140625" style="654" customWidth="1"/>
    <col min="4616" max="4653" width="10.44140625" style="654" customWidth="1"/>
    <col min="4654" max="4659" width="9.44140625" style="654" customWidth="1"/>
    <col min="4660" max="4660" width="10.44140625" style="654" customWidth="1"/>
    <col min="4661" max="4665" width="9.44140625" style="654" customWidth="1"/>
    <col min="4666" max="4864" width="8.44140625" style="654"/>
    <col min="4865" max="4867" width="2" style="654" customWidth="1"/>
    <col min="4868" max="4868" width="2.44140625" style="654" customWidth="1"/>
    <col min="4869" max="4869" width="45.44140625" style="654" customWidth="1"/>
    <col min="4870" max="4870" width="7.21875" style="654" customWidth="1"/>
    <col min="4871" max="4871" width="0.44140625" style="654" customWidth="1"/>
    <col min="4872" max="4909" width="10.44140625" style="654" customWidth="1"/>
    <col min="4910" max="4915" width="9.44140625" style="654" customWidth="1"/>
    <col min="4916" max="4916" width="10.44140625" style="654" customWidth="1"/>
    <col min="4917" max="4921" width="9.44140625" style="654" customWidth="1"/>
    <col min="4922" max="5120" width="8.44140625" style="654"/>
    <col min="5121" max="5123" width="2" style="654" customWidth="1"/>
    <col min="5124" max="5124" width="2.44140625" style="654" customWidth="1"/>
    <col min="5125" max="5125" width="45.44140625" style="654" customWidth="1"/>
    <col min="5126" max="5126" width="7.21875" style="654" customWidth="1"/>
    <col min="5127" max="5127" width="0.44140625" style="654" customWidth="1"/>
    <col min="5128" max="5165" width="10.44140625" style="654" customWidth="1"/>
    <col min="5166" max="5171" width="9.44140625" style="654" customWidth="1"/>
    <col min="5172" max="5172" width="10.44140625" style="654" customWidth="1"/>
    <col min="5173" max="5177" width="9.44140625" style="654" customWidth="1"/>
    <col min="5178" max="5376" width="8.44140625" style="654"/>
    <col min="5377" max="5379" width="2" style="654" customWidth="1"/>
    <col min="5380" max="5380" width="2.44140625" style="654" customWidth="1"/>
    <col min="5381" max="5381" width="45.44140625" style="654" customWidth="1"/>
    <col min="5382" max="5382" width="7.21875" style="654" customWidth="1"/>
    <col min="5383" max="5383" width="0.44140625" style="654" customWidth="1"/>
    <col min="5384" max="5421" width="10.44140625" style="654" customWidth="1"/>
    <col min="5422" max="5427" width="9.44140625" style="654" customWidth="1"/>
    <col min="5428" max="5428" width="10.44140625" style="654" customWidth="1"/>
    <col min="5429" max="5433" width="9.44140625" style="654" customWidth="1"/>
    <col min="5434" max="5632" width="8.44140625" style="654"/>
    <col min="5633" max="5635" width="2" style="654" customWidth="1"/>
    <col min="5636" max="5636" width="2.44140625" style="654" customWidth="1"/>
    <col min="5637" max="5637" width="45.44140625" style="654" customWidth="1"/>
    <col min="5638" max="5638" width="7.21875" style="654" customWidth="1"/>
    <col min="5639" max="5639" width="0.44140625" style="654" customWidth="1"/>
    <col min="5640" max="5677" width="10.44140625" style="654" customWidth="1"/>
    <col min="5678" max="5683" width="9.44140625" style="654" customWidth="1"/>
    <col min="5684" max="5684" width="10.44140625" style="654" customWidth="1"/>
    <col min="5685" max="5689" width="9.44140625" style="654" customWidth="1"/>
    <col min="5690" max="5888" width="8.44140625" style="654"/>
    <col min="5889" max="5891" width="2" style="654" customWidth="1"/>
    <col min="5892" max="5892" width="2.44140625" style="654" customWidth="1"/>
    <col min="5893" max="5893" width="45.44140625" style="654" customWidth="1"/>
    <col min="5894" max="5894" width="7.21875" style="654" customWidth="1"/>
    <col min="5895" max="5895" width="0.44140625" style="654" customWidth="1"/>
    <col min="5896" max="5933" width="10.44140625" style="654" customWidth="1"/>
    <col min="5934" max="5939" width="9.44140625" style="654" customWidth="1"/>
    <col min="5940" max="5940" width="10.44140625" style="654" customWidth="1"/>
    <col min="5941" max="5945" width="9.44140625" style="654" customWidth="1"/>
    <col min="5946" max="6144" width="8.44140625" style="654"/>
    <col min="6145" max="6147" width="2" style="654" customWidth="1"/>
    <col min="6148" max="6148" width="2.44140625" style="654" customWidth="1"/>
    <col min="6149" max="6149" width="45.44140625" style="654" customWidth="1"/>
    <col min="6150" max="6150" width="7.21875" style="654" customWidth="1"/>
    <col min="6151" max="6151" width="0.44140625" style="654" customWidth="1"/>
    <col min="6152" max="6189" width="10.44140625" style="654" customWidth="1"/>
    <col min="6190" max="6195" width="9.44140625" style="654" customWidth="1"/>
    <col min="6196" max="6196" width="10.44140625" style="654" customWidth="1"/>
    <col min="6197" max="6201" width="9.44140625" style="654" customWidth="1"/>
    <col min="6202" max="6400" width="8.44140625" style="654"/>
    <col min="6401" max="6403" width="2" style="654" customWidth="1"/>
    <col min="6404" max="6404" width="2.44140625" style="654" customWidth="1"/>
    <col min="6405" max="6405" width="45.44140625" style="654" customWidth="1"/>
    <col min="6406" max="6406" width="7.21875" style="654" customWidth="1"/>
    <col min="6407" max="6407" width="0.44140625" style="654" customWidth="1"/>
    <col min="6408" max="6445" width="10.44140625" style="654" customWidth="1"/>
    <col min="6446" max="6451" width="9.44140625" style="654" customWidth="1"/>
    <col min="6452" max="6452" width="10.44140625" style="654" customWidth="1"/>
    <col min="6453" max="6457" width="9.44140625" style="654" customWidth="1"/>
    <col min="6458" max="6656" width="8.44140625" style="654"/>
    <col min="6657" max="6659" width="2" style="654" customWidth="1"/>
    <col min="6660" max="6660" width="2.44140625" style="654" customWidth="1"/>
    <col min="6661" max="6661" width="45.44140625" style="654" customWidth="1"/>
    <col min="6662" max="6662" width="7.21875" style="654" customWidth="1"/>
    <col min="6663" max="6663" width="0.44140625" style="654" customWidth="1"/>
    <col min="6664" max="6701" width="10.44140625" style="654" customWidth="1"/>
    <col min="6702" max="6707" width="9.44140625" style="654" customWidth="1"/>
    <col min="6708" max="6708" width="10.44140625" style="654" customWidth="1"/>
    <col min="6709" max="6713" width="9.44140625" style="654" customWidth="1"/>
    <col min="6714" max="6912" width="8.44140625" style="654"/>
    <col min="6913" max="6915" width="2" style="654" customWidth="1"/>
    <col min="6916" max="6916" width="2.44140625" style="654" customWidth="1"/>
    <col min="6917" max="6917" width="45.44140625" style="654" customWidth="1"/>
    <col min="6918" max="6918" width="7.21875" style="654" customWidth="1"/>
    <col min="6919" max="6919" width="0.44140625" style="654" customWidth="1"/>
    <col min="6920" max="6957" width="10.44140625" style="654" customWidth="1"/>
    <col min="6958" max="6963" width="9.44140625" style="654" customWidth="1"/>
    <col min="6964" max="6964" width="10.44140625" style="654" customWidth="1"/>
    <col min="6965" max="6969" width="9.44140625" style="654" customWidth="1"/>
    <col min="6970" max="7168" width="8.44140625" style="654"/>
    <col min="7169" max="7171" width="2" style="654" customWidth="1"/>
    <col min="7172" max="7172" width="2.44140625" style="654" customWidth="1"/>
    <col min="7173" max="7173" width="45.44140625" style="654" customWidth="1"/>
    <col min="7174" max="7174" width="7.21875" style="654" customWidth="1"/>
    <col min="7175" max="7175" width="0.44140625" style="654" customWidth="1"/>
    <col min="7176" max="7213" width="10.44140625" style="654" customWidth="1"/>
    <col min="7214" max="7219" width="9.44140625" style="654" customWidth="1"/>
    <col min="7220" max="7220" width="10.44140625" style="654" customWidth="1"/>
    <col min="7221" max="7225" width="9.44140625" style="654" customWidth="1"/>
    <col min="7226" max="7424" width="8.44140625" style="654"/>
    <col min="7425" max="7427" width="2" style="654" customWidth="1"/>
    <col min="7428" max="7428" width="2.44140625" style="654" customWidth="1"/>
    <col min="7429" max="7429" width="45.44140625" style="654" customWidth="1"/>
    <col min="7430" max="7430" width="7.21875" style="654" customWidth="1"/>
    <col min="7431" max="7431" width="0.44140625" style="654" customWidth="1"/>
    <col min="7432" max="7469" width="10.44140625" style="654" customWidth="1"/>
    <col min="7470" max="7475" width="9.44140625" style="654" customWidth="1"/>
    <col min="7476" max="7476" width="10.44140625" style="654" customWidth="1"/>
    <col min="7477" max="7481" width="9.44140625" style="654" customWidth="1"/>
    <col min="7482" max="7680" width="8.44140625" style="654"/>
    <col min="7681" max="7683" width="2" style="654" customWidth="1"/>
    <col min="7684" max="7684" width="2.44140625" style="654" customWidth="1"/>
    <col min="7685" max="7685" width="45.44140625" style="654" customWidth="1"/>
    <col min="7686" max="7686" width="7.21875" style="654" customWidth="1"/>
    <col min="7687" max="7687" width="0.44140625" style="654" customWidth="1"/>
    <col min="7688" max="7725" width="10.44140625" style="654" customWidth="1"/>
    <col min="7726" max="7731" width="9.44140625" style="654" customWidth="1"/>
    <col min="7732" max="7732" width="10.44140625" style="654" customWidth="1"/>
    <col min="7733" max="7737" width="9.44140625" style="654" customWidth="1"/>
    <col min="7738" max="7936" width="8.44140625" style="654"/>
    <col min="7937" max="7939" width="2" style="654" customWidth="1"/>
    <col min="7940" max="7940" width="2.44140625" style="654" customWidth="1"/>
    <col min="7941" max="7941" width="45.44140625" style="654" customWidth="1"/>
    <col min="7942" max="7942" width="7.21875" style="654" customWidth="1"/>
    <col min="7943" max="7943" width="0.44140625" style="654" customWidth="1"/>
    <col min="7944" max="7981" width="10.44140625" style="654" customWidth="1"/>
    <col min="7982" max="7987" width="9.44140625" style="654" customWidth="1"/>
    <col min="7988" max="7988" width="10.44140625" style="654" customWidth="1"/>
    <col min="7989" max="7993" width="9.44140625" style="654" customWidth="1"/>
    <col min="7994" max="8192" width="8.44140625" style="654"/>
    <col min="8193" max="8195" width="2" style="654" customWidth="1"/>
    <col min="8196" max="8196" width="2.44140625" style="654" customWidth="1"/>
    <col min="8197" max="8197" width="45.44140625" style="654" customWidth="1"/>
    <col min="8198" max="8198" width="7.21875" style="654" customWidth="1"/>
    <col min="8199" max="8199" width="0.44140625" style="654" customWidth="1"/>
    <col min="8200" max="8237" width="10.44140625" style="654" customWidth="1"/>
    <col min="8238" max="8243" width="9.44140625" style="654" customWidth="1"/>
    <col min="8244" max="8244" width="10.44140625" style="654" customWidth="1"/>
    <col min="8245" max="8249" width="9.44140625" style="654" customWidth="1"/>
    <col min="8250" max="8448" width="8.44140625" style="654"/>
    <col min="8449" max="8451" width="2" style="654" customWidth="1"/>
    <col min="8452" max="8452" width="2.44140625" style="654" customWidth="1"/>
    <col min="8453" max="8453" width="45.44140625" style="654" customWidth="1"/>
    <col min="8454" max="8454" width="7.21875" style="654" customWidth="1"/>
    <col min="8455" max="8455" width="0.44140625" style="654" customWidth="1"/>
    <col min="8456" max="8493" width="10.44140625" style="654" customWidth="1"/>
    <col min="8494" max="8499" width="9.44140625" style="654" customWidth="1"/>
    <col min="8500" max="8500" width="10.44140625" style="654" customWidth="1"/>
    <col min="8501" max="8505" width="9.44140625" style="654" customWidth="1"/>
    <col min="8506" max="8704" width="8.44140625" style="654"/>
    <col min="8705" max="8707" width="2" style="654" customWidth="1"/>
    <col min="8708" max="8708" width="2.44140625" style="654" customWidth="1"/>
    <col min="8709" max="8709" width="45.44140625" style="654" customWidth="1"/>
    <col min="8710" max="8710" width="7.21875" style="654" customWidth="1"/>
    <col min="8711" max="8711" width="0.44140625" style="654" customWidth="1"/>
    <col min="8712" max="8749" width="10.44140625" style="654" customWidth="1"/>
    <col min="8750" max="8755" width="9.44140625" style="654" customWidth="1"/>
    <col min="8756" max="8756" width="10.44140625" style="654" customWidth="1"/>
    <col min="8757" max="8761" width="9.44140625" style="654" customWidth="1"/>
    <col min="8762" max="8960" width="8.44140625" style="654"/>
    <col min="8961" max="8963" width="2" style="654" customWidth="1"/>
    <col min="8964" max="8964" width="2.44140625" style="654" customWidth="1"/>
    <col min="8965" max="8965" width="45.44140625" style="654" customWidth="1"/>
    <col min="8966" max="8966" width="7.21875" style="654" customWidth="1"/>
    <col min="8967" max="8967" width="0.44140625" style="654" customWidth="1"/>
    <col min="8968" max="9005" width="10.44140625" style="654" customWidth="1"/>
    <col min="9006" max="9011" width="9.44140625" style="654" customWidth="1"/>
    <col min="9012" max="9012" width="10.44140625" style="654" customWidth="1"/>
    <col min="9013" max="9017" width="9.44140625" style="654" customWidth="1"/>
    <col min="9018" max="9216" width="8.44140625" style="654"/>
    <col min="9217" max="9219" width="2" style="654" customWidth="1"/>
    <col min="9220" max="9220" width="2.44140625" style="654" customWidth="1"/>
    <col min="9221" max="9221" width="45.44140625" style="654" customWidth="1"/>
    <col min="9222" max="9222" width="7.21875" style="654" customWidth="1"/>
    <col min="9223" max="9223" width="0.44140625" style="654" customWidth="1"/>
    <col min="9224" max="9261" width="10.44140625" style="654" customWidth="1"/>
    <col min="9262" max="9267" width="9.44140625" style="654" customWidth="1"/>
    <col min="9268" max="9268" width="10.44140625" style="654" customWidth="1"/>
    <col min="9269" max="9273" width="9.44140625" style="654" customWidth="1"/>
    <col min="9274" max="9472" width="8.44140625" style="654"/>
    <col min="9473" max="9475" width="2" style="654" customWidth="1"/>
    <col min="9476" max="9476" width="2.44140625" style="654" customWidth="1"/>
    <col min="9477" max="9477" width="45.44140625" style="654" customWidth="1"/>
    <col min="9478" max="9478" width="7.21875" style="654" customWidth="1"/>
    <col min="9479" max="9479" width="0.44140625" style="654" customWidth="1"/>
    <col min="9480" max="9517" width="10.44140625" style="654" customWidth="1"/>
    <col min="9518" max="9523" width="9.44140625" style="654" customWidth="1"/>
    <col min="9524" max="9524" width="10.44140625" style="654" customWidth="1"/>
    <col min="9525" max="9529" width="9.44140625" style="654" customWidth="1"/>
    <col min="9530" max="9728" width="8.44140625" style="654"/>
    <col min="9729" max="9731" width="2" style="654" customWidth="1"/>
    <col min="9732" max="9732" width="2.44140625" style="654" customWidth="1"/>
    <col min="9733" max="9733" width="45.44140625" style="654" customWidth="1"/>
    <col min="9734" max="9734" width="7.21875" style="654" customWidth="1"/>
    <col min="9735" max="9735" width="0.44140625" style="654" customWidth="1"/>
    <col min="9736" max="9773" width="10.44140625" style="654" customWidth="1"/>
    <col min="9774" max="9779" width="9.44140625" style="654" customWidth="1"/>
    <col min="9780" max="9780" width="10.44140625" style="654" customWidth="1"/>
    <col min="9781" max="9785" width="9.44140625" style="654" customWidth="1"/>
    <col min="9786" max="9984" width="8.44140625" style="654"/>
    <col min="9985" max="9987" width="2" style="654" customWidth="1"/>
    <col min="9988" max="9988" width="2.44140625" style="654" customWidth="1"/>
    <col min="9989" max="9989" width="45.44140625" style="654" customWidth="1"/>
    <col min="9990" max="9990" width="7.21875" style="654" customWidth="1"/>
    <col min="9991" max="9991" width="0.44140625" style="654" customWidth="1"/>
    <col min="9992" max="10029" width="10.44140625" style="654" customWidth="1"/>
    <col min="10030" max="10035" width="9.44140625" style="654" customWidth="1"/>
    <col min="10036" max="10036" width="10.44140625" style="654" customWidth="1"/>
    <col min="10037" max="10041" width="9.44140625" style="654" customWidth="1"/>
    <col min="10042" max="10240" width="8.44140625" style="654"/>
    <col min="10241" max="10243" width="2" style="654" customWidth="1"/>
    <col min="10244" max="10244" width="2.44140625" style="654" customWidth="1"/>
    <col min="10245" max="10245" width="45.44140625" style="654" customWidth="1"/>
    <col min="10246" max="10246" width="7.21875" style="654" customWidth="1"/>
    <col min="10247" max="10247" width="0.44140625" style="654" customWidth="1"/>
    <col min="10248" max="10285" width="10.44140625" style="654" customWidth="1"/>
    <col min="10286" max="10291" width="9.44140625" style="654" customWidth="1"/>
    <col min="10292" max="10292" width="10.44140625" style="654" customWidth="1"/>
    <col min="10293" max="10297" width="9.44140625" style="654" customWidth="1"/>
    <col min="10298" max="10496" width="8.44140625" style="654"/>
    <col min="10497" max="10499" width="2" style="654" customWidth="1"/>
    <col min="10500" max="10500" width="2.44140625" style="654" customWidth="1"/>
    <col min="10501" max="10501" width="45.44140625" style="654" customWidth="1"/>
    <col min="10502" max="10502" width="7.21875" style="654" customWidth="1"/>
    <col min="10503" max="10503" width="0.44140625" style="654" customWidth="1"/>
    <col min="10504" max="10541" width="10.44140625" style="654" customWidth="1"/>
    <col min="10542" max="10547" width="9.44140625" style="654" customWidth="1"/>
    <col min="10548" max="10548" width="10.44140625" style="654" customWidth="1"/>
    <col min="10549" max="10553" width="9.44140625" style="654" customWidth="1"/>
    <col min="10554" max="10752" width="8.44140625" style="654"/>
    <col min="10753" max="10755" width="2" style="654" customWidth="1"/>
    <col min="10756" max="10756" width="2.44140625" style="654" customWidth="1"/>
    <col min="10757" max="10757" width="45.44140625" style="654" customWidth="1"/>
    <col min="10758" max="10758" width="7.21875" style="654" customWidth="1"/>
    <col min="10759" max="10759" width="0.44140625" style="654" customWidth="1"/>
    <col min="10760" max="10797" width="10.44140625" style="654" customWidth="1"/>
    <col min="10798" max="10803" width="9.44140625" style="654" customWidth="1"/>
    <col min="10804" max="10804" width="10.44140625" style="654" customWidth="1"/>
    <col min="10805" max="10809" width="9.44140625" style="654" customWidth="1"/>
    <col min="10810" max="11008" width="8.44140625" style="654"/>
    <col min="11009" max="11011" width="2" style="654" customWidth="1"/>
    <col min="11012" max="11012" width="2.44140625" style="654" customWidth="1"/>
    <col min="11013" max="11013" width="45.44140625" style="654" customWidth="1"/>
    <col min="11014" max="11014" width="7.21875" style="654" customWidth="1"/>
    <col min="11015" max="11015" width="0.44140625" style="654" customWidth="1"/>
    <col min="11016" max="11053" width="10.44140625" style="654" customWidth="1"/>
    <col min="11054" max="11059" width="9.44140625" style="654" customWidth="1"/>
    <col min="11060" max="11060" width="10.44140625" style="654" customWidth="1"/>
    <col min="11061" max="11065" width="9.44140625" style="654" customWidth="1"/>
    <col min="11066" max="11264" width="8.44140625" style="654"/>
    <col min="11265" max="11267" width="2" style="654" customWidth="1"/>
    <col min="11268" max="11268" width="2.44140625" style="654" customWidth="1"/>
    <col min="11269" max="11269" width="45.44140625" style="654" customWidth="1"/>
    <col min="11270" max="11270" width="7.21875" style="654" customWidth="1"/>
    <col min="11271" max="11271" width="0.44140625" style="654" customWidth="1"/>
    <col min="11272" max="11309" width="10.44140625" style="654" customWidth="1"/>
    <col min="11310" max="11315" width="9.44140625" style="654" customWidth="1"/>
    <col min="11316" max="11316" width="10.44140625" style="654" customWidth="1"/>
    <col min="11317" max="11321" width="9.44140625" style="654" customWidth="1"/>
    <col min="11322" max="11520" width="8.44140625" style="654"/>
    <col min="11521" max="11523" width="2" style="654" customWidth="1"/>
    <col min="11524" max="11524" width="2.44140625" style="654" customWidth="1"/>
    <col min="11525" max="11525" width="45.44140625" style="654" customWidth="1"/>
    <col min="11526" max="11526" width="7.21875" style="654" customWidth="1"/>
    <col min="11527" max="11527" width="0.44140625" style="654" customWidth="1"/>
    <col min="11528" max="11565" width="10.44140625" style="654" customWidth="1"/>
    <col min="11566" max="11571" width="9.44140625" style="654" customWidth="1"/>
    <col min="11572" max="11572" width="10.44140625" style="654" customWidth="1"/>
    <col min="11573" max="11577" width="9.44140625" style="654" customWidth="1"/>
    <col min="11578" max="11776" width="8.44140625" style="654"/>
    <col min="11777" max="11779" width="2" style="654" customWidth="1"/>
    <col min="11780" max="11780" width="2.44140625" style="654" customWidth="1"/>
    <col min="11781" max="11781" width="45.44140625" style="654" customWidth="1"/>
    <col min="11782" max="11782" width="7.21875" style="654" customWidth="1"/>
    <col min="11783" max="11783" width="0.44140625" style="654" customWidth="1"/>
    <col min="11784" max="11821" width="10.44140625" style="654" customWidth="1"/>
    <col min="11822" max="11827" width="9.44140625" style="654" customWidth="1"/>
    <col min="11828" max="11828" width="10.44140625" style="654" customWidth="1"/>
    <col min="11829" max="11833" width="9.44140625" style="654" customWidth="1"/>
    <col min="11834" max="12032" width="8.44140625" style="654"/>
    <col min="12033" max="12035" width="2" style="654" customWidth="1"/>
    <col min="12036" max="12036" width="2.44140625" style="654" customWidth="1"/>
    <col min="12037" max="12037" width="45.44140625" style="654" customWidth="1"/>
    <col min="12038" max="12038" width="7.21875" style="654" customWidth="1"/>
    <col min="12039" max="12039" width="0.44140625" style="654" customWidth="1"/>
    <col min="12040" max="12077" width="10.44140625" style="654" customWidth="1"/>
    <col min="12078" max="12083" width="9.44140625" style="654" customWidth="1"/>
    <col min="12084" max="12084" width="10.44140625" style="654" customWidth="1"/>
    <col min="12085" max="12089" width="9.44140625" style="654" customWidth="1"/>
    <col min="12090" max="12288" width="8.44140625" style="654"/>
    <col min="12289" max="12291" width="2" style="654" customWidth="1"/>
    <col min="12292" max="12292" width="2.44140625" style="654" customWidth="1"/>
    <col min="12293" max="12293" width="45.44140625" style="654" customWidth="1"/>
    <col min="12294" max="12294" width="7.21875" style="654" customWidth="1"/>
    <col min="12295" max="12295" width="0.44140625" style="654" customWidth="1"/>
    <col min="12296" max="12333" width="10.44140625" style="654" customWidth="1"/>
    <col min="12334" max="12339" width="9.44140625" style="654" customWidth="1"/>
    <col min="12340" max="12340" width="10.44140625" style="654" customWidth="1"/>
    <col min="12341" max="12345" width="9.44140625" style="654" customWidth="1"/>
    <col min="12346" max="12544" width="8.44140625" style="654"/>
    <col min="12545" max="12547" width="2" style="654" customWidth="1"/>
    <col min="12548" max="12548" width="2.44140625" style="654" customWidth="1"/>
    <col min="12549" max="12549" width="45.44140625" style="654" customWidth="1"/>
    <col min="12550" max="12550" width="7.21875" style="654" customWidth="1"/>
    <col min="12551" max="12551" width="0.44140625" style="654" customWidth="1"/>
    <col min="12552" max="12589" width="10.44140625" style="654" customWidth="1"/>
    <col min="12590" max="12595" width="9.44140625" style="654" customWidth="1"/>
    <col min="12596" max="12596" width="10.44140625" style="654" customWidth="1"/>
    <col min="12597" max="12601" width="9.44140625" style="654" customWidth="1"/>
    <col min="12602" max="12800" width="8.44140625" style="654"/>
    <col min="12801" max="12803" width="2" style="654" customWidth="1"/>
    <col min="12804" max="12804" width="2.44140625" style="654" customWidth="1"/>
    <col min="12805" max="12805" width="45.44140625" style="654" customWidth="1"/>
    <col min="12806" max="12806" width="7.21875" style="654" customWidth="1"/>
    <col min="12807" max="12807" width="0.44140625" style="654" customWidth="1"/>
    <col min="12808" max="12845" width="10.44140625" style="654" customWidth="1"/>
    <col min="12846" max="12851" width="9.44140625" style="654" customWidth="1"/>
    <col min="12852" max="12852" width="10.44140625" style="654" customWidth="1"/>
    <col min="12853" max="12857" width="9.44140625" style="654" customWidth="1"/>
    <col min="12858" max="13056" width="8.44140625" style="654"/>
    <col min="13057" max="13059" width="2" style="654" customWidth="1"/>
    <col min="13060" max="13060" width="2.44140625" style="654" customWidth="1"/>
    <col min="13061" max="13061" width="45.44140625" style="654" customWidth="1"/>
    <col min="13062" max="13062" width="7.21875" style="654" customWidth="1"/>
    <col min="13063" max="13063" width="0.44140625" style="654" customWidth="1"/>
    <col min="13064" max="13101" width="10.44140625" style="654" customWidth="1"/>
    <col min="13102" max="13107" width="9.44140625" style="654" customWidth="1"/>
    <col min="13108" max="13108" width="10.44140625" style="654" customWidth="1"/>
    <col min="13109" max="13113" width="9.44140625" style="654" customWidth="1"/>
    <col min="13114" max="13312" width="8.44140625" style="654"/>
    <col min="13313" max="13315" width="2" style="654" customWidth="1"/>
    <col min="13316" max="13316" width="2.44140625" style="654" customWidth="1"/>
    <col min="13317" max="13317" width="45.44140625" style="654" customWidth="1"/>
    <col min="13318" max="13318" width="7.21875" style="654" customWidth="1"/>
    <col min="13319" max="13319" width="0.44140625" style="654" customWidth="1"/>
    <col min="13320" max="13357" width="10.44140625" style="654" customWidth="1"/>
    <col min="13358" max="13363" width="9.44140625" style="654" customWidth="1"/>
    <col min="13364" max="13364" width="10.44140625" style="654" customWidth="1"/>
    <col min="13365" max="13369" width="9.44140625" style="654" customWidth="1"/>
    <col min="13370" max="13568" width="8.44140625" style="654"/>
    <col min="13569" max="13571" width="2" style="654" customWidth="1"/>
    <col min="13572" max="13572" width="2.44140625" style="654" customWidth="1"/>
    <col min="13573" max="13573" width="45.44140625" style="654" customWidth="1"/>
    <col min="13574" max="13574" width="7.21875" style="654" customWidth="1"/>
    <col min="13575" max="13575" width="0.44140625" style="654" customWidth="1"/>
    <col min="13576" max="13613" width="10.44140625" style="654" customWidth="1"/>
    <col min="13614" max="13619" width="9.44140625" style="654" customWidth="1"/>
    <col min="13620" max="13620" width="10.44140625" style="654" customWidth="1"/>
    <col min="13621" max="13625" width="9.44140625" style="654" customWidth="1"/>
    <col min="13626" max="13824" width="8.44140625" style="654"/>
    <col min="13825" max="13827" width="2" style="654" customWidth="1"/>
    <col min="13828" max="13828" width="2.44140625" style="654" customWidth="1"/>
    <col min="13829" max="13829" width="45.44140625" style="654" customWidth="1"/>
    <col min="13830" max="13830" width="7.21875" style="654" customWidth="1"/>
    <col min="13831" max="13831" width="0.44140625" style="654" customWidth="1"/>
    <col min="13832" max="13869" width="10.44140625" style="654" customWidth="1"/>
    <col min="13870" max="13875" width="9.44140625" style="654" customWidth="1"/>
    <col min="13876" max="13876" width="10.44140625" style="654" customWidth="1"/>
    <col min="13877" max="13881" width="9.44140625" style="654" customWidth="1"/>
    <col min="13882" max="14080" width="8.44140625" style="654"/>
    <col min="14081" max="14083" width="2" style="654" customWidth="1"/>
    <col min="14084" max="14084" width="2.44140625" style="654" customWidth="1"/>
    <col min="14085" max="14085" width="45.44140625" style="654" customWidth="1"/>
    <col min="14086" max="14086" width="7.21875" style="654" customWidth="1"/>
    <col min="14087" max="14087" width="0.44140625" style="654" customWidth="1"/>
    <col min="14088" max="14125" width="10.44140625" style="654" customWidth="1"/>
    <col min="14126" max="14131" width="9.44140625" style="654" customWidth="1"/>
    <col min="14132" max="14132" width="10.44140625" style="654" customWidth="1"/>
    <col min="14133" max="14137" width="9.44140625" style="654" customWidth="1"/>
    <col min="14138" max="14336" width="8.44140625" style="654"/>
    <col min="14337" max="14339" width="2" style="654" customWidth="1"/>
    <col min="14340" max="14340" width="2.44140625" style="654" customWidth="1"/>
    <col min="14341" max="14341" width="45.44140625" style="654" customWidth="1"/>
    <col min="14342" max="14342" width="7.21875" style="654" customWidth="1"/>
    <col min="14343" max="14343" width="0.44140625" style="654" customWidth="1"/>
    <col min="14344" max="14381" width="10.44140625" style="654" customWidth="1"/>
    <col min="14382" max="14387" width="9.44140625" style="654" customWidth="1"/>
    <col min="14388" max="14388" width="10.44140625" style="654" customWidth="1"/>
    <col min="14389" max="14393" width="9.44140625" style="654" customWidth="1"/>
    <col min="14394" max="14592" width="8.44140625" style="654"/>
    <col min="14593" max="14595" width="2" style="654" customWidth="1"/>
    <col min="14596" max="14596" width="2.44140625" style="654" customWidth="1"/>
    <col min="14597" max="14597" width="45.44140625" style="654" customWidth="1"/>
    <col min="14598" max="14598" width="7.21875" style="654" customWidth="1"/>
    <col min="14599" max="14599" width="0.44140625" style="654" customWidth="1"/>
    <col min="14600" max="14637" width="10.44140625" style="654" customWidth="1"/>
    <col min="14638" max="14643" width="9.44140625" style="654" customWidth="1"/>
    <col min="14644" max="14644" width="10.44140625" style="654" customWidth="1"/>
    <col min="14645" max="14649" width="9.44140625" style="654" customWidth="1"/>
    <col min="14650" max="14848" width="8.44140625" style="654"/>
    <col min="14849" max="14851" width="2" style="654" customWidth="1"/>
    <col min="14852" max="14852" width="2.44140625" style="654" customWidth="1"/>
    <col min="14853" max="14853" width="45.44140625" style="654" customWidth="1"/>
    <col min="14854" max="14854" width="7.21875" style="654" customWidth="1"/>
    <col min="14855" max="14855" width="0.44140625" style="654" customWidth="1"/>
    <col min="14856" max="14893" width="10.44140625" style="654" customWidth="1"/>
    <col min="14894" max="14899" width="9.44140625" style="654" customWidth="1"/>
    <col min="14900" max="14900" width="10.44140625" style="654" customWidth="1"/>
    <col min="14901" max="14905" width="9.44140625" style="654" customWidth="1"/>
    <col min="14906" max="15104" width="8.44140625" style="654"/>
    <col min="15105" max="15107" width="2" style="654" customWidth="1"/>
    <col min="15108" max="15108" width="2.44140625" style="654" customWidth="1"/>
    <col min="15109" max="15109" width="45.44140625" style="654" customWidth="1"/>
    <col min="15110" max="15110" width="7.21875" style="654" customWidth="1"/>
    <col min="15111" max="15111" width="0.44140625" style="654" customWidth="1"/>
    <col min="15112" max="15149" width="10.44140625" style="654" customWidth="1"/>
    <col min="15150" max="15155" width="9.44140625" style="654" customWidth="1"/>
    <col min="15156" max="15156" width="10.44140625" style="654" customWidth="1"/>
    <col min="15157" max="15161" width="9.44140625" style="654" customWidth="1"/>
    <col min="15162" max="15360" width="8.44140625" style="654"/>
    <col min="15361" max="15363" width="2" style="654" customWidth="1"/>
    <col min="15364" max="15364" width="2.44140625" style="654" customWidth="1"/>
    <col min="15365" max="15365" width="45.44140625" style="654" customWidth="1"/>
    <col min="15366" max="15366" width="7.21875" style="654" customWidth="1"/>
    <col min="15367" max="15367" width="0.44140625" style="654" customWidth="1"/>
    <col min="15368" max="15405" width="10.44140625" style="654" customWidth="1"/>
    <col min="15406" max="15411" width="9.44140625" style="654" customWidth="1"/>
    <col min="15412" max="15412" width="10.44140625" style="654" customWidth="1"/>
    <col min="15413" max="15417" width="9.44140625" style="654" customWidth="1"/>
    <col min="15418" max="15616" width="8.44140625" style="654"/>
    <col min="15617" max="15619" width="2" style="654" customWidth="1"/>
    <col min="15620" max="15620" width="2.44140625" style="654" customWidth="1"/>
    <col min="15621" max="15621" width="45.44140625" style="654" customWidth="1"/>
    <col min="15622" max="15622" width="7.21875" style="654" customWidth="1"/>
    <col min="15623" max="15623" width="0.44140625" style="654" customWidth="1"/>
    <col min="15624" max="15661" width="10.44140625" style="654" customWidth="1"/>
    <col min="15662" max="15667" width="9.44140625" style="654" customWidth="1"/>
    <col min="15668" max="15668" width="10.44140625" style="654" customWidth="1"/>
    <col min="15669" max="15673" width="9.44140625" style="654" customWidth="1"/>
    <col min="15674" max="15872" width="8.44140625" style="654"/>
    <col min="15873" max="15875" width="2" style="654" customWidth="1"/>
    <col min="15876" max="15876" width="2.44140625" style="654" customWidth="1"/>
    <col min="15877" max="15877" width="45.44140625" style="654" customWidth="1"/>
    <col min="15878" max="15878" width="7.21875" style="654" customWidth="1"/>
    <col min="15879" max="15879" width="0.44140625" style="654" customWidth="1"/>
    <col min="15880" max="15917" width="10.44140625" style="654" customWidth="1"/>
    <col min="15918" max="15923" width="9.44140625" style="654" customWidth="1"/>
    <col min="15924" max="15924" width="10.44140625" style="654" customWidth="1"/>
    <col min="15925" max="15929" width="9.44140625" style="654" customWidth="1"/>
    <col min="15930" max="16128" width="8.44140625" style="654"/>
    <col min="16129" max="16131" width="2" style="654" customWidth="1"/>
    <col min="16132" max="16132" width="2.44140625" style="654" customWidth="1"/>
    <col min="16133" max="16133" width="45.44140625" style="654" customWidth="1"/>
    <col min="16134" max="16134" width="7.21875" style="654" customWidth="1"/>
    <col min="16135" max="16135" width="0.44140625" style="654" customWidth="1"/>
    <col min="16136" max="16173" width="10.44140625" style="654" customWidth="1"/>
    <col min="16174" max="16179" width="9.44140625" style="654" customWidth="1"/>
    <col min="16180" max="16180" width="10.44140625" style="654" customWidth="1"/>
    <col min="16181" max="16185" width="9.44140625" style="654" customWidth="1"/>
    <col min="16186" max="16384" width="8.44140625" style="654"/>
  </cols>
  <sheetData>
    <row r="1" spans="1:73">
      <c r="A1" s="751"/>
      <c r="B1" s="751"/>
      <c r="C1" s="751"/>
      <c r="D1" s="751"/>
      <c r="E1" s="750"/>
      <c r="F1" s="708"/>
      <c r="G1" s="708"/>
      <c r="H1" s="748" t="s">
        <v>1352</v>
      </c>
      <c r="I1" s="748">
        <v>2000</v>
      </c>
      <c r="J1" s="748">
        <v>2115</v>
      </c>
      <c r="K1" s="748">
        <v>2116</v>
      </c>
      <c r="L1" s="748">
        <v>2117</v>
      </c>
      <c r="M1" s="748">
        <v>2118</v>
      </c>
      <c r="N1" s="748">
        <v>2210</v>
      </c>
      <c r="O1" s="748">
        <v>2112</v>
      </c>
      <c r="P1" s="748">
        <v>2121</v>
      </c>
      <c r="Q1" s="748">
        <v>2122</v>
      </c>
      <c r="R1" s="748">
        <v>2130</v>
      </c>
      <c r="S1" s="748">
        <v>2230</v>
      </c>
      <c r="T1" s="748">
        <v>2310</v>
      </c>
      <c r="U1" s="748">
        <v>2330</v>
      </c>
      <c r="V1" s="748">
        <v>2410</v>
      </c>
      <c r="W1" s="748">
        <v>3000</v>
      </c>
      <c r="X1" s="748">
        <v>3105</v>
      </c>
      <c r="Y1" s="748">
        <v>3106</v>
      </c>
      <c r="Z1" s="748">
        <v>3191</v>
      </c>
      <c r="AA1" s="748">
        <v>3192</v>
      </c>
      <c r="AB1" s="748">
        <v>3193</v>
      </c>
      <c r="AC1" s="748">
        <v>3214</v>
      </c>
      <c r="AD1" s="748">
        <v>3215</v>
      </c>
      <c r="AE1" s="748">
        <v>3220</v>
      </c>
      <c r="AF1" s="748">
        <v>3234</v>
      </c>
      <c r="AG1" s="748">
        <v>3235</v>
      </c>
      <c r="AH1" s="748">
        <v>3246</v>
      </c>
      <c r="AI1" s="748">
        <v>3247</v>
      </c>
      <c r="AJ1" s="748">
        <v>3244</v>
      </c>
      <c r="AK1" s="748">
        <v>3250</v>
      </c>
      <c r="AL1" s="748">
        <v>3260</v>
      </c>
      <c r="AM1" s="748" t="s">
        <v>1351</v>
      </c>
      <c r="AN1" s="748">
        <v>3281</v>
      </c>
      <c r="AO1" s="748">
        <v>3282</v>
      </c>
      <c r="AP1" s="748">
        <v>3283</v>
      </c>
      <c r="AQ1" s="748">
        <v>3285</v>
      </c>
      <c r="AR1" s="748">
        <v>3286</v>
      </c>
      <c r="AS1" s="748">
        <v>3295</v>
      </c>
      <c r="AT1" s="748">
        <v>4000</v>
      </c>
      <c r="AU1" s="748">
        <v>4100</v>
      </c>
      <c r="AV1" s="748">
        <v>4210</v>
      </c>
      <c r="AW1" s="748">
        <v>4220</v>
      </c>
      <c r="AX1" s="748">
        <v>4230</v>
      </c>
      <c r="AY1" s="748">
        <v>4240</v>
      </c>
      <c r="AZ1" s="748">
        <v>5500</v>
      </c>
      <c r="BA1" s="748">
        <v>5510</v>
      </c>
      <c r="BB1" s="748">
        <v>5520</v>
      </c>
      <c r="BC1" s="748">
        <v>5535</v>
      </c>
      <c r="BD1" s="748">
        <v>5532</v>
      </c>
      <c r="BE1" s="748">
        <v>5534</v>
      </c>
      <c r="BF1" s="748">
        <v>5541</v>
      </c>
      <c r="BG1" s="748">
        <v>5544</v>
      </c>
      <c r="BH1" s="748">
        <v>5542</v>
      </c>
      <c r="BI1" s="748">
        <v>55431</v>
      </c>
      <c r="BJ1" s="748">
        <v>5546</v>
      </c>
      <c r="BK1" s="748">
        <v>5547</v>
      </c>
      <c r="BL1" s="748">
        <v>5549</v>
      </c>
      <c r="BM1" s="748">
        <v>5548</v>
      </c>
      <c r="BN1" s="748">
        <v>5550</v>
      </c>
      <c r="BO1" s="749">
        <v>7200</v>
      </c>
      <c r="BP1" s="748">
        <v>7100</v>
      </c>
      <c r="BQ1" s="748">
        <v>55432</v>
      </c>
      <c r="BR1" s="748">
        <v>5100</v>
      </c>
      <c r="BS1" s="748">
        <v>5200</v>
      </c>
      <c r="BT1" s="748">
        <v>6000</v>
      </c>
      <c r="BU1" s="747"/>
    </row>
    <row r="2" spans="1:73" ht="38.25" customHeight="1">
      <c r="A2" s="746" t="s">
        <v>1350</v>
      </c>
      <c r="B2" s="746"/>
      <c r="C2" s="746"/>
      <c r="D2" s="746"/>
      <c r="E2" s="745" t="s">
        <v>1349</v>
      </c>
      <c r="F2" s="744" t="s">
        <v>955</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193942.39036973345</v>
      </c>
      <c r="I4" s="723">
        <v>1245.0081207604853</v>
      </c>
      <c r="J4" s="725">
        <v>0</v>
      </c>
      <c r="K4" s="725">
        <v>0</v>
      </c>
      <c r="L4" s="725">
        <v>1245.0081207604853</v>
      </c>
      <c r="M4" s="725">
        <v>0</v>
      </c>
      <c r="N4" s="725">
        <v>0</v>
      </c>
      <c r="O4" s="725"/>
      <c r="P4" s="725"/>
      <c r="Q4" s="725"/>
      <c r="R4" s="725"/>
      <c r="S4" s="725"/>
      <c r="T4" s="725">
        <v>0</v>
      </c>
      <c r="U4" s="725"/>
      <c r="V4" s="725">
        <v>0</v>
      </c>
      <c r="W4" s="723">
        <v>84392.471577338292</v>
      </c>
      <c r="X4" s="725">
        <v>74917.980319098118</v>
      </c>
      <c r="Y4" s="725">
        <v>9395.4093818668189</v>
      </c>
      <c r="Z4" s="725"/>
      <c r="AA4" s="725">
        <v>79.105760963026654</v>
      </c>
      <c r="AB4" s="725"/>
      <c r="AC4" s="725"/>
      <c r="AD4" s="725"/>
      <c r="AE4" s="725"/>
      <c r="AF4" s="725"/>
      <c r="AG4" s="725"/>
      <c r="AH4" s="725"/>
      <c r="AI4" s="725"/>
      <c r="AJ4" s="725"/>
      <c r="AK4" s="725"/>
      <c r="AL4" s="725"/>
      <c r="AM4" s="725"/>
      <c r="AN4" s="725"/>
      <c r="AO4" s="725"/>
      <c r="AP4" s="725"/>
      <c r="AQ4" s="725"/>
      <c r="AR4" s="725"/>
      <c r="AS4" s="725"/>
      <c r="AT4" s="723">
        <v>95602.058851628928</v>
      </c>
      <c r="AU4" s="725">
        <v>95602.058851628928</v>
      </c>
      <c r="AV4" s="725"/>
      <c r="AW4" s="725"/>
      <c r="AX4" s="725"/>
      <c r="AY4" s="725"/>
      <c r="AZ4" s="723">
        <v>12498.232540364956</v>
      </c>
      <c r="BA4" s="725">
        <v>11019.250979268176</v>
      </c>
      <c r="BB4" s="725">
        <v>161.74644119614024</v>
      </c>
      <c r="BC4" s="725">
        <v>0</v>
      </c>
      <c r="BD4" s="725">
        <v>0</v>
      </c>
      <c r="BE4" s="725">
        <v>0</v>
      </c>
      <c r="BF4" s="725">
        <v>1054.2180185344416</v>
      </c>
      <c r="BG4" s="725"/>
      <c r="BH4" s="725">
        <v>26.392471577338299</v>
      </c>
      <c r="BI4" s="725">
        <v>201.87255182955957</v>
      </c>
      <c r="BJ4" s="725">
        <v>0</v>
      </c>
      <c r="BK4" s="725">
        <v>28.613738415974012</v>
      </c>
      <c r="BL4" s="725">
        <v>0</v>
      </c>
      <c r="BM4" s="725">
        <v>6.1622241329893948</v>
      </c>
      <c r="BN4" s="725">
        <v>0</v>
      </c>
      <c r="BO4" s="723">
        <v>204.61927964077577</v>
      </c>
      <c r="BP4" s="725">
        <v>2.6750740422279544</v>
      </c>
      <c r="BQ4" s="725">
        <v>201.9442055985478</v>
      </c>
      <c r="BR4" s="724">
        <v>0</v>
      </c>
      <c r="BS4" s="724"/>
      <c r="BT4" s="723"/>
    </row>
    <row r="5" spans="1:73">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c r="A6" s="680" t="s">
        <v>968</v>
      </c>
      <c r="B6" s="679" t="s">
        <v>1288</v>
      </c>
      <c r="C6" s="679"/>
      <c r="D6" s="679"/>
      <c r="E6" s="679"/>
      <c r="F6" s="678" t="s">
        <v>1287</v>
      </c>
      <c r="G6" s="678"/>
      <c r="H6" s="677">
        <v>0</v>
      </c>
      <c r="I6" s="674">
        <v>0</v>
      </c>
      <c r="J6" s="676">
        <v>0</v>
      </c>
      <c r="K6" s="676">
        <v>0</v>
      </c>
      <c r="L6" s="676">
        <v>0</v>
      </c>
      <c r="M6" s="676">
        <v>0</v>
      </c>
      <c r="N6" s="676">
        <v>0</v>
      </c>
      <c r="O6" s="676">
        <v>0</v>
      </c>
      <c r="P6" s="676">
        <v>0</v>
      </c>
      <c r="Q6" s="676">
        <v>0</v>
      </c>
      <c r="R6" s="676">
        <v>0</v>
      </c>
      <c r="S6" s="676">
        <v>0</v>
      </c>
      <c r="T6" s="676">
        <v>0</v>
      </c>
      <c r="U6" s="676">
        <v>0</v>
      </c>
      <c r="V6" s="676">
        <v>0</v>
      </c>
      <c r="W6" s="674">
        <v>0</v>
      </c>
      <c r="X6" s="676"/>
      <c r="Y6" s="676"/>
      <c r="Z6" s="676"/>
      <c r="AA6" s="676">
        <v>0</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c r="A9" s="681"/>
      <c r="B9" s="680" t="s">
        <v>968</v>
      </c>
      <c r="C9" s="679" t="s">
        <v>1282</v>
      </c>
      <c r="D9" s="679"/>
      <c r="E9" s="679"/>
      <c r="F9" s="678" t="s">
        <v>1281</v>
      </c>
      <c r="G9" s="678"/>
      <c r="H9" s="677">
        <v>0</v>
      </c>
      <c r="I9" s="674">
        <v>0</v>
      </c>
      <c r="J9" s="676"/>
      <c r="K9" s="676"/>
      <c r="L9" s="676"/>
      <c r="M9" s="676"/>
      <c r="N9" s="676"/>
      <c r="O9" s="676">
        <v>0</v>
      </c>
      <c r="P9" s="676">
        <v>0</v>
      </c>
      <c r="Q9" s="676">
        <v>0</v>
      </c>
      <c r="R9" s="676">
        <v>0</v>
      </c>
      <c r="S9" s="676">
        <v>0</v>
      </c>
      <c r="T9" s="676"/>
      <c r="U9" s="676">
        <v>0</v>
      </c>
      <c r="V9" s="676">
        <v>0</v>
      </c>
      <c r="W9" s="674">
        <v>0</v>
      </c>
      <c r="X9" s="676"/>
      <c r="Y9" s="676"/>
      <c r="Z9" s="676"/>
      <c r="AA9" s="676">
        <v>0</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c r="A12" s="680" t="s">
        <v>968</v>
      </c>
      <c r="B12" s="679" t="s">
        <v>164</v>
      </c>
      <c r="C12" s="679"/>
      <c r="D12" s="679"/>
      <c r="E12" s="679"/>
      <c r="F12" s="678" t="s">
        <v>1276</v>
      </c>
      <c r="G12" s="678"/>
      <c r="H12" s="677">
        <v>8456.6255851724454</v>
      </c>
      <c r="I12" s="674">
        <v>716.08388267889552</v>
      </c>
      <c r="J12" s="676">
        <v>0</v>
      </c>
      <c r="K12" s="676">
        <v>0</v>
      </c>
      <c r="L12" s="676">
        <v>432.21553453711664</v>
      </c>
      <c r="M12" s="676">
        <v>0</v>
      </c>
      <c r="N12" s="676">
        <v>0</v>
      </c>
      <c r="O12" s="676">
        <v>0</v>
      </c>
      <c r="P12" s="676">
        <v>283.84446355211617</v>
      </c>
      <c r="Q12" s="676">
        <v>0</v>
      </c>
      <c r="R12" s="676">
        <v>0</v>
      </c>
      <c r="S12" s="676">
        <v>0</v>
      </c>
      <c r="T12" s="676">
        <v>0</v>
      </c>
      <c r="U12" s="676">
        <v>0</v>
      </c>
      <c r="V12" s="676">
        <v>0</v>
      </c>
      <c r="W12" s="674">
        <v>6700.2006305531668</v>
      </c>
      <c r="X12" s="676">
        <v>1829.1296455526892</v>
      </c>
      <c r="Y12" s="676"/>
      <c r="Z12" s="676"/>
      <c r="AA12" s="676"/>
      <c r="AB12" s="676"/>
      <c r="AC12" s="676"/>
      <c r="AD12" s="676">
        <v>52.856596923664846</v>
      </c>
      <c r="AE12" s="676">
        <v>151.95375943441292</v>
      </c>
      <c r="AF12" s="676">
        <v>167.76535779115315</v>
      </c>
      <c r="AG12" s="676">
        <v>1.0509219451609821</v>
      </c>
      <c r="AH12" s="676"/>
      <c r="AI12" s="676">
        <v>445.73421228623289</v>
      </c>
      <c r="AJ12" s="676">
        <v>146.17368873602751</v>
      </c>
      <c r="AK12" s="676"/>
      <c r="AL12" s="676">
        <v>1324.8781885927199</v>
      </c>
      <c r="AM12" s="676">
        <v>1901.2133371548675</v>
      </c>
      <c r="AN12" s="676">
        <v>23.956243431737843</v>
      </c>
      <c r="AO12" s="676">
        <v>6.0189165950128976</v>
      </c>
      <c r="AP12" s="676">
        <v>342.79163083978216</v>
      </c>
      <c r="AQ12" s="676">
        <v>300.94582975064486</v>
      </c>
      <c r="AR12" s="676"/>
      <c r="AS12" s="676">
        <v>5.7323015190599023</v>
      </c>
      <c r="AT12" s="674">
        <v>0</v>
      </c>
      <c r="AU12" s="676">
        <v>0</v>
      </c>
      <c r="AV12" s="676"/>
      <c r="AW12" s="676"/>
      <c r="AX12" s="676"/>
      <c r="AY12" s="676"/>
      <c r="AZ12" s="674">
        <v>168.91181809496513</v>
      </c>
      <c r="BA12" s="676"/>
      <c r="BB12" s="676"/>
      <c r="BC12" s="676"/>
      <c r="BD12" s="676">
        <v>0</v>
      </c>
      <c r="BE12" s="676"/>
      <c r="BF12" s="676">
        <v>40.747109964650804</v>
      </c>
      <c r="BG12" s="676">
        <v>0</v>
      </c>
      <c r="BH12" s="676">
        <v>0</v>
      </c>
      <c r="BI12" s="676">
        <v>0</v>
      </c>
      <c r="BJ12" s="676">
        <v>10.819719117225565</v>
      </c>
      <c r="BK12" s="676">
        <v>114.88487627782554</v>
      </c>
      <c r="BL12" s="676">
        <v>0</v>
      </c>
      <c r="BM12" s="676">
        <v>2.4601127352632082</v>
      </c>
      <c r="BN12" s="676">
        <v>0</v>
      </c>
      <c r="BO12" s="674">
        <v>0</v>
      </c>
      <c r="BP12" s="676">
        <v>0</v>
      </c>
      <c r="BQ12" s="676">
        <v>0</v>
      </c>
      <c r="BR12" s="675"/>
      <c r="BS12" s="675">
        <v>0</v>
      </c>
      <c r="BT12" s="674">
        <v>871.45313843508166</v>
      </c>
    </row>
    <row r="13" spans="1:73">
      <c r="A13" s="680" t="s">
        <v>968</v>
      </c>
      <c r="B13" s="679" t="s">
        <v>1275</v>
      </c>
      <c r="C13" s="679"/>
      <c r="D13" s="679"/>
      <c r="E13" s="679"/>
      <c r="F13" s="678" t="s">
        <v>1274</v>
      </c>
      <c r="G13" s="678"/>
      <c r="H13" s="677">
        <v>37.976497563771851</v>
      </c>
      <c r="I13" s="674">
        <v>202.73239705741855</v>
      </c>
      <c r="J13" s="676">
        <v>0</v>
      </c>
      <c r="K13" s="676">
        <v>0</v>
      </c>
      <c r="L13" s="676">
        <v>199.3407853253081</v>
      </c>
      <c r="M13" s="676">
        <v>0</v>
      </c>
      <c r="N13" s="676">
        <v>0</v>
      </c>
      <c r="O13" s="676">
        <v>0</v>
      </c>
      <c r="P13" s="676">
        <v>3.3916117321104422</v>
      </c>
      <c r="Q13" s="676">
        <v>0</v>
      </c>
      <c r="R13" s="676">
        <v>0</v>
      </c>
      <c r="S13" s="676">
        <v>0</v>
      </c>
      <c r="T13" s="676">
        <v>0</v>
      </c>
      <c r="U13" s="676">
        <v>0</v>
      </c>
      <c r="V13" s="676">
        <v>0</v>
      </c>
      <c r="W13" s="674">
        <v>-154.65271806630361</v>
      </c>
      <c r="X13" s="676">
        <v>-56.41540078341454</v>
      </c>
      <c r="Y13" s="676"/>
      <c r="Z13" s="676"/>
      <c r="AA13" s="676"/>
      <c r="AB13" s="676"/>
      <c r="AC13" s="676"/>
      <c r="AD13" s="676">
        <v>-6.6160313365816368</v>
      </c>
      <c r="AE13" s="676">
        <v>29.736314130123244</v>
      </c>
      <c r="AF13" s="676">
        <v>-28.303238750358268</v>
      </c>
      <c r="AG13" s="676"/>
      <c r="AH13" s="676"/>
      <c r="AI13" s="676">
        <v>-9.2672207891468421</v>
      </c>
      <c r="AJ13" s="676">
        <v>-19.561478933791918</v>
      </c>
      <c r="AK13" s="676">
        <v>-29.354160695519248</v>
      </c>
      <c r="AL13" s="676">
        <v>-25.747587656444061</v>
      </c>
      <c r="AM13" s="676">
        <v>0.95538358650998367</v>
      </c>
      <c r="AN13" s="676">
        <v>1.0509219451609821</v>
      </c>
      <c r="AO13" s="676"/>
      <c r="AP13" s="676">
        <v>5.5889939810834051</v>
      </c>
      <c r="AQ13" s="676">
        <v>-16.719212763924716</v>
      </c>
      <c r="AR13" s="676"/>
      <c r="AS13" s="676"/>
      <c r="AT13" s="674">
        <v>-10.127066017005827</v>
      </c>
      <c r="AU13" s="676">
        <v>-10.127066017005827</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c r="A14" s="680" t="s">
        <v>1081</v>
      </c>
      <c r="B14" s="679" t="s">
        <v>170</v>
      </c>
      <c r="C14" s="679"/>
      <c r="D14" s="679"/>
      <c r="E14" s="679"/>
      <c r="F14" s="678" t="s">
        <v>1273</v>
      </c>
      <c r="G14" s="678"/>
      <c r="H14" s="677">
        <v>168425.21734976591</v>
      </c>
      <c r="I14" s="674">
        <v>1388.6261584025985</v>
      </c>
      <c r="J14" s="676">
        <v>0</v>
      </c>
      <c r="K14" s="676">
        <v>0</v>
      </c>
      <c r="L14" s="676">
        <v>1387.9573898920416</v>
      </c>
      <c r="M14" s="676">
        <v>0</v>
      </c>
      <c r="N14" s="676">
        <v>0</v>
      </c>
      <c r="O14" s="676">
        <v>0</v>
      </c>
      <c r="P14" s="676">
        <v>0.6687685105569886</v>
      </c>
      <c r="Q14" s="676">
        <v>0</v>
      </c>
      <c r="R14" s="676">
        <v>0</v>
      </c>
      <c r="S14" s="676">
        <v>0</v>
      </c>
      <c r="T14" s="676">
        <v>0</v>
      </c>
      <c r="U14" s="676">
        <v>0</v>
      </c>
      <c r="V14" s="676">
        <v>0</v>
      </c>
      <c r="W14" s="674">
        <v>75807.561861087219</v>
      </c>
      <c r="X14" s="676">
        <v>61141.03850195853</v>
      </c>
      <c r="Y14" s="676"/>
      <c r="Z14" s="676"/>
      <c r="AA14" s="676"/>
      <c r="AB14" s="676"/>
      <c r="AC14" s="676"/>
      <c r="AD14" s="676">
        <v>565.94535205885165</v>
      </c>
      <c r="AE14" s="676">
        <v>5162.9645552689399</v>
      </c>
      <c r="AF14" s="676">
        <v>2292.0846469857647</v>
      </c>
      <c r="AG14" s="676"/>
      <c r="AH14" s="676"/>
      <c r="AI14" s="676">
        <v>87.513136524314504</v>
      </c>
      <c r="AJ14" s="676">
        <v>283.08015668290818</v>
      </c>
      <c r="AK14" s="676">
        <v>1667.1682430495844</v>
      </c>
      <c r="AL14" s="676">
        <v>2736.2185917645934</v>
      </c>
      <c r="AM14" s="676">
        <v>1836.2472532721888</v>
      </c>
      <c r="AN14" s="676"/>
      <c r="AO14" s="676">
        <v>1.0031527658354829</v>
      </c>
      <c r="AP14" s="676"/>
      <c r="AQ14" s="676">
        <v>34.274386166045666</v>
      </c>
      <c r="AR14" s="676"/>
      <c r="AS14" s="676"/>
      <c r="AT14" s="674">
        <v>89856.42973153721</v>
      </c>
      <c r="AU14" s="676">
        <v>89856.42973153721</v>
      </c>
      <c r="AV14" s="676"/>
      <c r="AW14" s="676"/>
      <c r="AX14" s="676"/>
      <c r="AY14" s="676"/>
      <c r="AZ14" s="674">
        <v>70.722269991401546</v>
      </c>
      <c r="BA14" s="676"/>
      <c r="BB14" s="676"/>
      <c r="BC14" s="676"/>
      <c r="BD14" s="676">
        <v>0</v>
      </c>
      <c r="BE14" s="676"/>
      <c r="BF14" s="676">
        <v>42.108531575427534</v>
      </c>
      <c r="BG14" s="676">
        <v>0</v>
      </c>
      <c r="BH14" s="676">
        <v>0</v>
      </c>
      <c r="BI14" s="676">
        <v>0</v>
      </c>
      <c r="BJ14" s="676">
        <v>0</v>
      </c>
      <c r="BK14" s="676">
        <v>28.613738415974012</v>
      </c>
      <c r="BL14" s="676">
        <v>0</v>
      </c>
      <c r="BM14" s="676">
        <v>0</v>
      </c>
      <c r="BN14" s="676">
        <v>0</v>
      </c>
      <c r="BO14" s="674">
        <v>0</v>
      </c>
      <c r="BP14" s="676">
        <v>0</v>
      </c>
      <c r="BQ14" s="676">
        <v>0</v>
      </c>
      <c r="BR14" s="675"/>
      <c r="BS14" s="675">
        <v>0</v>
      </c>
      <c r="BT14" s="674">
        <v>1301.9012133371548</v>
      </c>
    </row>
    <row r="15" spans="1:73">
      <c r="A15" s="680" t="s">
        <v>1081</v>
      </c>
      <c r="B15" s="679" t="s">
        <v>1272</v>
      </c>
      <c r="C15" s="679"/>
      <c r="D15" s="679"/>
      <c r="E15" s="679"/>
      <c r="F15" s="678" t="s">
        <v>1271</v>
      </c>
      <c r="G15" s="678"/>
      <c r="H15" s="677">
        <v>357.83892232731438</v>
      </c>
      <c r="I15" s="674">
        <v>0</v>
      </c>
      <c r="J15" s="676">
        <v>0</v>
      </c>
      <c r="K15" s="676">
        <v>0</v>
      </c>
      <c r="L15" s="676">
        <v>0</v>
      </c>
      <c r="M15" s="676">
        <v>0</v>
      </c>
      <c r="N15" s="676">
        <v>0</v>
      </c>
      <c r="O15" s="676">
        <v>0</v>
      </c>
      <c r="P15" s="676">
        <v>0</v>
      </c>
      <c r="Q15" s="676">
        <v>0</v>
      </c>
      <c r="R15" s="676">
        <v>0</v>
      </c>
      <c r="S15" s="676">
        <v>0</v>
      </c>
      <c r="T15" s="676">
        <v>0</v>
      </c>
      <c r="U15" s="676">
        <v>0</v>
      </c>
      <c r="V15" s="676">
        <v>0</v>
      </c>
      <c r="W15" s="674">
        <v>357.83892232731438</v>
      </c>
      <c r="X15" s="676"/>
      <c r="Y15" s="676"/>
      <c r="Z15" s="676"/>
      <c r="AA15" s="676"/>
      <c r="AB15" s="676"/>
      <c r="AC15" s="676"/>
      <c r="AD15" s="676"/>
      <c r="AE15" s="676"/>
      <c r="AF15" s="676"/>
      <c r="AG15" s="676"/>
      <c r="AH15" s="676"/>
      <c r="AI15" s="676"/>
      <c r="AJ15" s="676"/>
      <c r="AK15" s="676"/>
      <c r="AL15" s="676">
        <v>180.13757523645742</v>
      </c>
      <c r="AM15" s="676">
        <v>177.70134709085698</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c r="A17" s="709" t="s">
        <v>1268</v>
      </c>
      <c r="B17" s="709"/>
      <c r="C17" s="709"/>
      <c r="D17" s="709"/>
      <c r="E17" s="709"/>
      <c r="F17" s="708" t="s">
        <v>1267</v>
      </c>
      <c r="G17" s="708"/>
      <c r="H17" s="707">
        <v>33653.936180376419</v>
      </c>
      <c r="I17" s="704">
        <v>775.17435750453808</v>
      </c>
      <c r="J17" s="706">
        <v>0</v>
      </c>
      <c r="K17" s="706">
        <v>0</v>
      </c>
      <c r="L17" s="706">
        <v>488.60705073086842</v>
      </c>
      <c r="M17" s="706">
        <v>0</v>
      </c>
      <c r="N17" s="706">
        <v>0</v>
      </c>
      <c r="O17" s="706">
        <v>0</v>
      </c>
      <c r="P17" s="706">
        <v>286.5673067736696</v>
      </c>
      <c r="Q17" s="706">
        <v>0</v>
      </c>
      <c r="R17" s="706">
        <v>0</v>
      </c>
      <c r="S17" s="706">
        <v>0</v>
      </c>
      <c r="T17" s="706">
        <v>0</v>
      </c>
      <c r="U17" s="706">
        <v>0</v>
      </c>
      <c r="V17" s="706">
        <v>0</v>
      </c>
      <c r="W17" s="704">
        <v>14772.618706410623</v>
      </c>
      <c r="X17" s="706">
        <v>15549.656061908856</v>
      </c>
      <c r="Y17" s="706">
        <v>9395.4093818668189</v>
      </c>
      <c r="Z17" s="706"/>
      <c r="AA17" s="706">
        <v>79.105760963026654</v>
      </c>
      <c r="AB17" s="706"/>
      <c r="AC17" s="706"/>
      <c r="AD17" s="706">
        <v>-519.70478647176844</v>
      </c>
      <c r="AE17" s="706">
        <v>-4981.274481704404</v>
      </c>
      <c r="AF17" s="706">
        <v>-2152.6464125346324</v>
      </c>
      <c r="AG17" s="706">
        <v>1.0509219451609821</v>
      </c>
      <c r="AH17" s="706"/>
      <c r="AI17" s="706">
        <v>348.97773956243429</v>
      </c>
      <c r="AJ17" s="706">
        <v>-156.46794688067257</v>
      </c>
      <c r="AK17" s="706">
        <v>-1696.5224037451035</v>
      </c>
      <c r="AL17" s="706">
        <v>-1617.225566064775</v>
      </c>
      <c r="AM17" s="706">
        <v>-111.7798796216681</v>
      </c>
      <c r="AN17" s="706">
        <v>24.983280787236072</v>
      </c>
      <c r="AO17" s="706">
        <v>5.0157638291774145</v>
      </c>
      <c r="AP17" s="706">
        <v>348.38062482086553</v>
      </c>
      <c r="AQ17" s="706">
        <v>249.95223082067449</v>
      </c>
      <c r="AR17" s="706"/>
      <c r="AS17" s="706">
        <v>5.7323015190599023</v>
      </c>
      <c r="AT17" s="704">
        <v>5735.5020540747109</v>
      </c>
      <c r="AU17" s="706">
        <v>5735.5020540747109</v>
      </c>
      <c r="AV17" s="706">
        <v>0</v>
      </c>
      <c r="AW17" s="706">
        <v>0</v>
      </c>
      <c r="AX17" s="706">
        <v>0</v>
      </c>
      <c r="AY17" s="706">
        <v>0</v>
      </c>
      <c r="AZ17" s="704">
        <v>12596.42208846852</v>
      </c>
      <c r="BA17" s="706">
        <v>11019.250979268176</v>
      </c>
      <c r="BB17" s="706">
        <v>161.74644119614024</v>
      </c>
      <c r="BC17" s="706">
        <v>0</v>
      </c>
      <c r="BD17" s="706">
        <v>0</v>
      </c>
      <c r="BE17" s="706">
        <v>0</v>
      </c>
      <c r="BF17" s="706">
        <v>1052.8565969236647</v>
      </c>
      <c r="BG17" s="706">
        <v>0</v>
      </c>
      <c r="BH17" s="706">
        <v>26.392471577338299</v>
      </c>
      <c r="BI17" s="706">
        <v>201.87255182955957</v>
      </c>
      <c r="BJ17" s="706">
        <v>10.819719117225565</v>
      </c>
      <c r="BK17" s="706">
        <v>114.88487627782554</v>
      </c>
      <c r="BL17" s="706">
        <v>0</v>
      </c>
      <c r="BM17" s="706">
        <v>8.6223368682526029</v>
      </c>
      <c r="BN17" s="706">
        <v>0</v>
      </c>
      <c r="BO17" s="704">
        <v>204.61927964077577</v>
      </c>
      <c r="BP17" s="706">
        <v>2.6750740422279544</v>
      </c>
      <c r="BQ17" s="706">
        <v>201.9442055985478</v>
      </c>
      <c r="BR17" s="705">
        <v>0</v>
      </c>
      <c r="BS17" s="705">
        <v>0</v>
      </c>
      <c r="BT17" s="704">
        <v>-430.44807490207319</v>
      </c>
    </row>
    <row r="18" spans="1:72">
      <c r="A18" s="709" t="s">
        <v>1266</v>
      </c>
      <c r="B18" s="709"/>
      <c r="C18" s="709"/>
      <c r="D18" s="709"/>
      <c r="E18" s="709"/>
      <c r="F18" s="708" t="s">
        <v>1265</v>
      </c>
      <c r="G18" s="708"/>
      <c r="H18" s="707">
        <v>17759.219451609821</v>
      </c>
      <c r="I18" s="704">
        <v>98.977739562434309</v>
      </c>
      <c r="J18" s="706">
        <v>0</v>
      </c>
      <c r="K18" s="706">
        <v>0</v>
      </c>
      <c r="L18" s="706">
        <v>16.766981943250215</v>
      </c>
      <c r="M18" s="706">
        <v>0</v>
      </c>
      <c r="N18" s="706">
        <v>0</v>
      </c>
      <c r="O18" s="706">
        <v>0</v>
      </c>
      <c r="P18" s="706">
        <v>82.210757619184093</v>
      </c>
      <c r="Q18" s="706">
        <v>0</v>
      </c>
      <c r="R18" s="706">
        <v>0</v>
      </c>
      <c r="S18" s="706">
        <v>0</v>
      </c>
      <c r="T18" s="706">
        <v>0</v>
      </c>
      <c r="U18" s="706">
        <v>0</v>
      </c>
      <c r="V18" s="706">
        <v>0</v>
      </c>
      <c r="W18" s="704">
        <v>16564.966083882679</v>
      </c>
      <c r="X18" s="706">
        <v>14623.005636763161</v>
      </c>
      <c r="Y18" s="706"/>
      <c r="Z18" s="706">
        <v>1839.7821725422757</v>
      </c>
      <c r="AA18" s="706">
        <v>79.105760963026654</v>
      </c>
      <c r="AB18" s="706"/>
      <c r="AC18" s="706"/>
      <c r="AD18" s="706"/>
      <c r="AE18" s="706">
        <v>6.6160313365816368</v>
      </c>
      <c r="AF18" s="706"/>
      <c r="AG18" s="706"/>
      <c r="AH18" s="706"/>
      <c r="AI18" s="706"/>
      <c r="AJ18" s="706"/>
      <c r="AK18" s="706"/>
      <c r="AL18" s="706">
        <v>16.480366867297221</v>
      </c>
      <c r="AM18" s="706">
        <v>0</v>
      </c>
      <c r="AN18" s="706"/>
      <c r="AO18" s="706"/>
      <c r="AP18" s="706"/>
      <c r="AQ18" s="706"/>
      <c r="AR18" s="706"/>
      <c r="AS18" s="706"/>
      <c r="AT18" s="704">
        <v>384.49412439094294</v>
      </c>
      <c r="AU18" s="706">
        <v>372.0980223559759</v>
      </c>
      <c r="AV18" s="706">
        <v>0</v>
      </c>
      <c r="AW18" s="706">
        <v>12.396102034967038</v>
      </c>
      <c r="AX18" s="706">
        <v>0</v>
      </c>
      <c r="AY18" s="706">
        <v>0</v>
      </c>
      <c r="AZ18" s="704">
        <v>354.80557944014521</v>
      </c>
      <c r="BA18" s="706"/>
      <c r="BB18" s="706"/>
      <c r="BC18" s="706"/>
      <c r="BD18" s="706">
        <v>0</v>
      </c>
      <c r="BE18" s="706"/>
      <c r="BF18" s="706">
        <v>155.58421706315085</v>
      </c>
      <c r="BG18" s="706">
        <v>0</v>
      </c>
      <c r="BH18" s="706">
        <v>4.3231107289576762</v>
      </c>
      <c r="BI18" s="706">
        <v>188.73602751504728</v>
      </c>
      <c r="BJ18" s="706">
        <v>0</v>
      </c>
      <c r="BK18" s="706">
        <v>0</v>
      </c>
      <c r="BL18" s="706">
        <v>0</v>
      </c>
      <c r="BM18" s="706">
        <v>6.1622241329893948</v>
      </c>
      <c r="BN18" s="706">
        <v>0</v>
      </c>
      <c r="BO18" s="704">
        <v>191.48275532626349</v>
      </c>
      <c r="BP18" s="706">
        <v>2.6750740422279544</v>
      </c>
      <c r="BQ18" s="706">
        <v>188.80768128403554</v>
      </c>
      <c r="BR18" s="705">
        <v>0</v>
      </c>
      <c r="BS18" s="705">
        <v>78.484761631795166</v>
      </c>
      <c r="BT18" s="704">
        <v>85.984522785898534</v>
      </c>
    </row>
    <row r="19" spans="1:72">
      <c r="A19" s="688" t="s">
        <v>968</v>
      </c>
      <c r="B19" s="687" t="s">
        <v>1222</v>
      </c>
      <c r="C19" s="687"/>
      <c r="D19" s="687"/>
      <c r="E19" s="687"/>
      <c r="F19" s="686" t="s">
        <v>1264</v>
      </c>
      <c r="G19" s="686"/>
      <c r="H19" s="685">
        <v>779.76019871978599</v>
      </c>
      <c r="I19" s="682">
        <v>16.766981943250215</v>
      </c>
      <c r="J19" s="684">
        <v>0</v>
      </c>
      <c r="K19" s="684">
        <v>0</v>
      </c>
      <c r="L19" s="684">
        <v>16.766981943250215</v>
      </c>
      <c r="M19" s="684">
        <v>0</v>
      </c>
      <c r="N19" s="684">
        <v>0</v>
      </c>
      <c r="O19" s="684">
        <v>0</v>
      </c>
      <c r="P19" s="684">
        <v>0</v>
      </c>
      <c r="Q19" s="684">
        <v>0</v>
      </c>
      <c r="R19" s="684">
        <v>0</v>
      </c>
      <c r="S19" s="684">
        <v>0</v>
      </c>
      <c r="T19" s="684">
        <v>0</v>
      </c>
      <c r="U19" s="684">
        <v>0</v>
      </c>
      <c r="V19" s="684">
        <v>0</v>
      </c>
      <c r="W19" s="682">
        <v>3.0811120664946974</v>
      </c>
      <c r="X19" s="684"/>
      <c r="Y19" s="684"/>
      <c r="Z19" s="684"/>
      <c r="AA19" s="684"/>
      <c r="AB19" s="684"/>
      <c r="AC19" s="684"/>
      <c r="AD19" s="684"/>
      <c r="AE19" s="684"/>
      <c r="AF19" s="684"/>
      <c r="AG19" s="684"/>
      <c r="AH19" s="684"/>
      <c r="AI19" s="684"/>
      <c r="AJ19" s="684"/>
      <c r="AK19" s="684"/>
      <c r="AL19" s="684">
        <v>3.0811120664946974</v>
      </c>
      <c r="AM19" s="684">
        <v>0</v>
      </c>
      <c r="AN19" s="684"/>
      <c r="AO19" s="684"/>
      <c r="AP19" s="684"/>
      <c r="AQ19" s="684"/>
      <c r="AR19" s="684"/>
      <c r="AS19" s="684"/>
      <c r="AT19" s="682">
        <v>371.5725613833954</v>
      </c>
      <c r="AU19" s="684">
        <v>359.46307442438138</v>
      </c>
      <c r="AV19" s="684">
        <v>0</v>
      </c>
      <c r="AW19" s="684">
        <v>12.109486959014044</v>
      </c>
      <c r="AX19" s="684">
        <v>0</v>
      </c>
      <c r="AY19" s="684">
        <v>0</v>
      </c>
      <c r="AZ19" s="682">
        <v>168.02808827744337</v>
      </c>
      <c r="BA19" s="684"/>
      <c r="BB19" s="684"/>
      <c r="BC19" s="684"/>
      <c r="BD19" s="684">
        <v>0</v>
      </c>
      <c r="BE19" s="684"/>
      <c r="BF19" s="684">
        <v>26.750740422279545</v>
      </c>
      <c r="BG19" s="684"/>
      <c r="BH19" s="684">
        <v>2.2212668386357119</v>
      </c>
      <c r="BI19" s="684">
        <v>139.05608101652814</v>
      </c>
      <c r="BJ19" s="684">
        <v>0</v>
      </c>
      <c r="BK19" s="684">
        <v>0</v>
      </c>
      <c r="BL19" s="684">
        <v>0</v>
      </c>
      <c r="BM19" s="684">
        <v>0</v>
      </c>
      <c r="BN19" s="684">
        <v>0</v>
      </c>
      <c r="BO19" s="682">
        <v>141.80280882774434</v>
      </c>
      <c r="BP19" s="684">
        <v>2.6750740422279544</v>
      </c>
      <c r="BQ19" s="684">
        <v>139.12773478551637</v>
      </c>
      <c r="BR19" s="683"/>
      <c r="BS19" s="683">
        <v>78.484761631795166</v>
      </c>
      <c r="BT19" s="682"/>
    </row>
    <row r="20" spans="1:72">
      <c r="A20" s="681"/>
      <c r="B20" s="680" t="s">
        <v>968</v>
      </c>
      <c r="C20" s="679" t="s">
        <v>1220</v>
      </c>
      <c r="D20" s="679"/>
      <c r="E20" s="679"/>
      <c r="F20" s="678" t="s">
        <v>1263</v>
      </c>
      <c r="G20" s="678"/>
      <c r="H20" s="677">
        <v>309.30543613260721</v>
      </c>
      <c r="I20" s="674">
        <v>16.766981943250215</v>
      </c>
      <c r="J20" s="676">
        <v>0</v>
      </c>
      <c r="K20" s="676">
        <v>0</v>
      </c>
      <c r="L20" s="676">
        <v>16.766981943250215</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12.109486959014044</v>
      </c>
      <c r="AU20" s="676">
        <v>0</v>
      </c>
      <c r="AV20" s="676">
        <v>0</v>
      </c>
      <c r="AW20" s="676">
        <v>12.109486959014044</v>
      </c>
      <c r="AX20" s="676">
        <v>0</v>
      </c>
      <c r="AY20" s="676">
        <v>0</v>
      </c>
      <c r="AZ20" s="674">
        <v>141.27734785516384</v>
      </c>
      <c r="BA20" s="676"/>
      <c r="BB20" s="676"/>
      <c r="BC20" s="676"/>
      <c r="BD20" s="676">
        <v>0</v>
      </c>
      <c r="BE20" s="676"/>
      <c r="BF20" s="676">
        <v>0</v>
      </c>
      <c r="BG20" s="676"/>
      <c r="BH20" s="676">
        <v>2.2212668386357119</v>
      </c>
      <c r="BI20" s="676">
        <v>139.05608101652814</v>
      </c>
      <c r="BJ20" s="676">
        <v>0</v>
      </c>
      <c r="BK20" s="676">
        <v>0</v>
      </c>
      <c r="BL20" s="676">
        <v>0</v>
      </c>
      <c r="BM20" s="676">
        <v>0</v>
      </c>
      <c r="BN20" s="676">
        <v>0</v>
      </c>
      <c r="BO20" s="674">
        <v>139.12773478551637</v>
      </c>
      <c r="BP20" s="676">
        <v>0</v>
      </c>
      <c r="BQ20" s="676">
        <v>139.12773478551637</v>
      </c>
      <c r="BR20" s="675"/>
      <c r="BS20" s="675"/>
      <c r="BT20" s="674"/>
    </row>
    <row r="21" spans="1:72">
      <c r="A21" s="681"/>
      <c r="B21" s="680"/>
      <c r="C21" s="680" t="s">
        <v>968</v>
      </c>
      <c r="D21" s="679" t="s">
        <v>1262</v>
      </c>
      <c r="E21" s="679"/>
      <c r="F21" s="678" t="s">
        <v>1261</v>
      </c>
      <c r="G21" s="678"/>
      <c r="H21" s="677">
        <v>13.924715773383012</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12.109486959014044</v>
      </c>
      <c r="AU21" s="676">
        <v>0</v>
      </c>
      <c r="AV21" s="676">
        <v>0</v>
      </c>
      <c r="AW21" s="676">
        <v>12.109486959014044</v>
      </c>
      <c r="AX21" s="676">
        <v>0</v>
      </c>
      <c r="AY21" s="676">
        <v>0</v>
      </c>
      <c r="AZ21" s="674">
        <v>1.815228814368969</v>
      </c>
      <c r="BA21" s="676"/>
      <c r="BB21" s="676"/>
      <c r="BC21" s="676"/>
      <c r="BD21" s="676">
        <v>0</v>
      </c>
      <c r="BE21" s="676"/>
      <c r="BF21" s="676">
        <v>0</v>
      </c>
      <c r="BG21" s="676"/>
      <c r="BH21" s="676">
        <v>1.815228814368969</v>
      </c>
      <c r="BI21" s="676">
        <v>0</v>
      </c>
      <c r="BJ21" s="676">
        <v>0</v>
      </c>
      <c r="BK21" s="676">
        <v>0</v>
      </c>
      <c r="BL21" s="676">
        <v>0</v>
      </c>
      <c r="BM21" s="676">
        <v>0</v>
      </c>
      <c r="BN21" s="676">
        <v>0</v>
      </c>
      <c r="BO21" s="674">
        <v>0</v>
      </c>
      <c r="BP21" s="676">
        <v>0</v>
      </c>
      <c r="BQ21" s="676">
        <v>0</v>
      </c>
      <c r="BR21" s="675"/>
      <c r="BS21" s="675"/>
      <c r="BT21" s="674"/>
    </row>
    <row r="22" spans="1:72">
      <c r="A22" s="681"/>
      <c r="B22" s="680"/>
      <c r="C22" s="680" t="s">
        <v>968</v>
      </c>
      <c r="D22" s="679" t="s">
        <v>1260</v>
      </c>
      <c r="E22" s="679"/>
      <c r="F22" s="678" t="s">
        <v>1259</v>
      </c>
      <c r="G22" s="678"/>
      <c r="H22" s="677">
        <v>295.35683576956148</v>
      </c>
      <c r="I22" s="674">
        <v>16.766981943250215</v>
      </c>
      <c r="J22" s="676">
        <v>0</v>
      </c>
      <c r="K22" s="676">
        <v>0</v>
      </c>
      <c r="L22" s="676">
        <v>16.766981943250215</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139.46211904079487</v>
      </c>
      <c r="BA22" s="676"/>
      <c r="BB22" s="676"/>
      <c r="BC22" s="676"/>
      <c r="BD22" s="676">
        <v>0</v>
      </c>
      <c r="BE22" s="676"/>
      <c r="BF22" s="676">
        <v>0</v>
      </c>
      <c r="BG22" s="676"/>
      <c r="BH22" s="676">
        <v>0.40603802426674307</v>
      </c>
      <c r="BI22" s="676">
        <v>139.05608101652814</v>
      </c>
      <c r="BJ22" s="676">
        <v>0</v>
      </c>
      <c r="BK22" s="676">
        <v>0</v>
      </c>
      <c r="BL22" s="676">
        <v>0</v>
      </c>
      <c r="BM22" s="676">
        <v>0</v>
      </c>
      <c r="BN22" s="676">
        <v>0</v>
      </c>
      <c r="BO22" s="674">
        <v>139.12773478551637</v>
      </c>
      <c r="BP22" s="676">
        <v>0</v>
      </c>
      <c r="BQ22" s="676">
        <v>139.12773478551637</v>
      </c>
      <c r="BR22" s="675"/>
      <c r="BS22" s="675"/>
      <c r="BT22" s="674"/>
    </row>
    <row r="23" spans="1:72">
      <c r="A23" s="681"/>
      <c r="B23" s="680" t="s">
        <v>968</v>
      </c>
      <c r="C23" s="679" t="s">
        <v>1190</v>
      </c>
      <c r="D23" s="679"/>
      <c r="E23" s="679"/>
      <c r="F23" s="678" t="s">
        <v>1258</v>
      </c>
      <c r="G23" s="678"/>
      <c r="H23" s="677">
        <v>391.97000095538357</v>
      </c>
      <c r="I23" s="674">
        <v>0</v>
      </c>
      <c r="J23" s="676">
        <v>0</v>
      </c>
      <c r="K23" s="676">
        <v>0</v>
      </c>
      <c r="L23" s="676">
        <v>0</v>
      </c>
      <c r="M23" s="676">
        <v>0</v>
      </c>
      <c r="N23" s="676">
        <v>0</v>
      </c>
      <c r="O23" s="676">
        <v>0</v>
      </c>
      <c r="P23" s="676">
        <v>0</v>
      </c>
      <c r="Q23" s="676">
        <v>0</v>
      </c>
      <c r="R23" s="676">
        <v>0</v>
      </c>
      <c r="S23" s="676">
        <v>0</v>
      </c>
      <c r="T23" s="676">
        <v>0</v>
      </c>
      <c r="U23" s="676">
        <v>0</v>
      </c>
      <c r="V23" s="676">
        <v>0</v>
      </c>
      <c r="W23" s="674">
        <v>3.0811120664946974</v>
      </c>
      <c r="X23" s="676"/>
      <c r="Y23" s="676"/>
      <c r="Z23" s="676"/>
      <c r="AA23" s="676"/>
      <c r="AB23" s="676"/>
      <c r="AC23" s="676"/>
      <c r="AD23" s="676"/>
      <c r="AE23" s="676"/>
      <c r="AF23" s="676"/>
      <c r="AG23" s="676"/>
      <c r="AH23" s="676"/>
      <c r="AI23" s="676"/>
      <c r="AJ23" s="676"/>
      <c r="AK23" s="676"/>
      <c r="AL23" s="676">
        <v>3.0811120664946974</v>
      </c>
      <c r="AM23" s="676">
        <v>0</v>
      </c>
      <c r="AN23" s="676"/>
      <c r="AO23" s="676"/>
      <c r="AP23" s="676"/>
      <c r="AQ23" s="676"/>
      <c r="AR23" s="676"/>
      <c r="AS23" s="676"/>
      <c r="AT23" s="674">
        <v>359.46307442438138</v>
      </c>
      <c r="AU23" s="676">
        <v>359.46307442438138</v>
      </c>
      <c r="AV23" s="676">
        <v>0</v>
      </c>
      <c r="AW23" s="676">
        <v>0</v>
      </c>
      <c r="AX23" s="676">
        <v>0</v>
      </c>
      <c r="AY23" s="676">
        <v>0</v>
      </c>
      <c r="AZ23" s="674">
        <v>26.750740422279545</v>
      </c>
      <c r="BA23" s="676"/>
      <c r="BB23" s="676"/>
      <c r="BC23" s="676"/>
      <c r="BD23" s="676">
        <v>0</v>
      </c>
      <c r="BE23" s="676"/>
      <c r="BF23" s="676">
        <v>26.750740422279545</v>
      </c>
      <c r="BG23" s="676"/>
      <c r="BH23" s="676">
        <v>0</v>
      </c>
      <c r="BI23" s="676">
        <v>0</v>
      </c>
      <c r="BJ23" s="676">
        <v>0</v>
      </c>
      <c r="BK23" s="676">
        <v>0</v>
      </c>
      <c r="BL23" s="676">
        <v>0</v>
      </c>
      <c r="BM23" s="676">
        <v>0</v>
      </c>
      <c r="BN23" s="676">
        <v>0</v>
      </c>
      <c r="BO23" s="674">
        <v>2.6750740422279544</v>
      </c>
      <c r="BP23" s="676">
        <v>2.6750740422279544</v>
      </c>
      <c r="BQ23" s="676">
        <v>0</v>
      </c>
      <c r="BR23" s="675"/>
      <c r="BS23" s="675"/>
      <c r="BT23" s="674"/>
    </row>
    <row r="24" spans="1:72">
      <c r="A24" s="681"/>
      <c r="B24" s="680"/>
      <c r="C24" s="680" t="s">
        <v>968</v>
      </c>
      <c r="D24" s="679" t="s">
        <v>1257</v>
      </c>
      <c r="E24" s="679"/>
      <c r="F24" s="678" t="s">
        <v>1256</v>
      </c>
      <c r="G24" s="678"/>
      <c r="H24" s="677">
        <v>391.97000095538357</v>
      </c>
      <c r="I24" s="674">
        <v>0</v>
      </c>
      <c r="J24" s="676">
        <v>0</v>
      </c>
      <c r="K24" s="676">
        <v>0</v>
      </c>
      <c r="L24" s="676">
        <v>0</v>
      </c>
      <c r="M24" s="676">
        <v>0</v>
      </c>
      <c r="N24" s="676">
        <v>0</v>
      </c>
      <c r="O24" s="676">
        <v>0</v>
      </c>
      <c r="P24" s="676">
        <v>0</v>
      </c>
      <c r="Q24" s="676">
        <v>0</v>
      </c>
      <c r="R24" s="676">
        <v>0</v>
      </c>
      <c r="S24" s="676">
        <v>0</v>
      </c>
      <c r="T24" s="676">
        <v>0</v>
      </c>
      <c r="U24" s="676">
        <v>0</v>
      </c>
      <c r="V24" s="676">
        <v>0</v>
      </c>
      <c r="W24" s="674">
        <v>3.0811120664946974</v>
      </c>
      <c r="X24" s="676"/>
      <c r="Y24" s="676"/>
      <c r="Z24" s="676"/>
      <c r="AA24" s="676"/>
      <c r="AB24" s="676"/>
      <c r="AC24" s="676"/>
      <c r="AD24" s="676"/>
      <c r="AE24" s="676"/>
      <c r="AF24" s="676"/>
      <c r="AG24" s="676"/>
      <c r="AH24" s="676"/>
      <c r="AI24" s="676"/>
      <c r="AJ24" s="676"/>
      <c r="AK24" s="676"/>
      <c r="AL24" s="676">
        <v>3.0811120664946974</v>
      </c>
      <c r="AM24" s="676">
        <v>0</v>
      </c>
      <c r="AN24" s="676"/>
      <c r="AO24" s="676"/>
      <c r="AP24" s="676"/>
      <c r="AQ24" s="676"/>
      <c r="AR24" s="676"/>
      <c r="AS24" s="676"/>
      <c r="AT24" s="674">
        <v>359.46307442438138</v>
      </c>
      <c r="AU24" s="676">
        <v>359.46307442438138</v>
      </c>
      <c r="AV24" s="676">
        <v>0</v>
      </c>
      <c r="AW24" s="676">
        <v>0</v>
      </c>
      <c r="AX24" s="676">
        <v>0</v>
      </c>
      <c r="AY24" s="676">
        <v>0</v>
      </c>
      <c r="AZ24" s="674">
        <v>26.750740422279545</v>
      </c>
      <c r="BA24" s="676"/>
      <c r="BB24" s="676"/>
      <c r="BC24" s="676"/>
      <c r="BD24" s="676">
        <v>0</v>
      </c>
      <c r="BE24" s="676"/>
      <c r="BF24" s="676">
        <v>26.750740422279545</v>
      </c>
      <c r="BG24" s="676"/>
      <c r="BH24" s="676">
        <v>0</v>
      </c>
      <c r="BI24" s="676">
        <v>0</v>
      </c>
      <c r="BJ24" s="676">
        <v>0</v>
      </c>
      <c r="BK24" s="676">
        <v>0</v>
      </c>
      <c r="BL24" s="676">
        <v>0</v>
      </c>
      <c r="BM24" s="676">
        <v>0</v>
      </c>
      <c r="BN24" s="676">
        <v>0</v>
      </c>
      <c r="BO24" s="674">
        <v>2.6750740422279544</v>
      </c>
      <c r="BP24" s="676">
        <v>2.6750740422279544</v>
      </c>
      <c r="BQ24" s="676">
        <v>0</v>
      </c>
      <c r="BR24" s="675"/>
      <c r="BS24" s="675"/>
      <c r="BT24" s="674"/>
    </row>
    <row r="25" spans="1:72">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c r="A26" s="681"/>
      <c r="B26" s="680" t="s">
        <v>968</v>
      </c>
      <c r="C26" s="679" t="s">
        <v>1253</v>
      </c>
      <c r="D26" s="679"/>
      <c r="E26" s="679"/>
      <c r="F26" s="678" t="s">
        <v>1252</v>
      </c>
      <c r="G26" s="678"/>
      <c r="H26" s="677">
        <v>78.484761631795166</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78.484761631795166</v>
      </c>
      <c r="BT26" s="674"/>
    </row>
    <row r="27" spans="1:72">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c r="A29" s="680" t="s">
        <v>968</v>
      </c>
      <c r="B29" s="679" t="s">
        <v>1138</v>
      </c>
      <c r="C29" s="679"/>
      <c r="D29" s="679"/>
      <c r="E29" s="679"/>
      <c r="F29" s="678" t="s">
        <v>1248</v>
      </c>
      <c r="G29" s="678"/>
      <c r="H29" s="677">
        <v>82.210757619184093</v>
      </c>
      <c r="I29" s="674">
        <v>82.210757619184093</v>
      </c>
      <c r="J29" s="676"/>
      <c r="K29" s="676"/>
      <c r="L29" s="676"/>
      <c r="M29" s="676"/>
      <c r="N29" s="676"/>
      <c r="O29" s="676"/>
      <c r="P29" s="676">
        <v>82.210757619184093</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c r="A31" s="680" t="s">
        <v>968</v>
      </c>
      <c r="B31" s="679" t="s">
        <v>287</v>
      </c>
      <c r="C31" s="679"/>
      <c r="D31" s="679"/>
      <c r="E31" s="679"/>
      <c r="F31" s="678" t="s">
        <v>1246</v>
      </c>
      <c r="G31" s="678"/>
      <c r="H31" s="677">
        <v>16541.893570268461</v>
      </c>
      <c r="I31" s="674"/>
      <c r="J31" s="676"/>
      <c r="K31" s="676"/>
      <c r="L31" s="676"/>
      <c r="M31" s="676"/>
      <c r="N31" s="676"/>
      <c r="O31" s="676"/>
      <c r="P31" s="676"/>
      <c r="Q31" s="676"/>
      <c r="R31" s="676"/>
      <c r="S31" s="676"/>
      <c r="T31" s="676"/>
      <c r="U31" s="676"/>
      <c r="V31" s="676"/>
      <c r="W31" s="674">
        <v>16541.893570268461</v>
      </c>
      <c r="X31" s="676">
        <v>14623.005636763161</v>
      </c>
      <c r="Y31" s="676"/>
      <c r="Z31" s="676">
        <v>1839.7821725422757</v>
      </c>
      <c r="AA31" s="676">
        <v>79.105760963026654</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c r="A32" s="680" t="s">
        <v>968</v>
      </c>
      <c r="B32" s="679" t="s">
        <v>1245</v>
      </c>
      <c r="C32" s="679"/>
      <c r="D32" s="679"/>
      <c r="E32" s="679"/>
      <c r="F32" s="678" t="s">
        <v>1244</v>
      </c>
      <c r="G32" s="678"/>
      <c r="H32" s="677">
        <v>355.35492500238843</v>
      </c>
      <c r="I32" s="674">
        <v>0</v>
      </c>
      <c r="J32" s="676">
        <v>0</v>
      </c>
      <c r="K32" s="676">
        <v>0</v>
      </c>
      <c r="L32" s="676">
        <v>0</v>
      </c>
      <c r="M32" s="676">
        <v>0</v>
      </c>
      <c r="N32" s="676">
        <v>0</v>
      </c>
      <c r="O32" s="676">
        <v>0</v>
      </c>
      <c r="P32" s="676">
        <v>0</v>
      </c>
      <c r="Q32" s="676">
        <v>0</v>
      </c>
      <c r="R32" s="676">
        <v>0</v>
      </c>
      <c r="S32" s="676">
        <v>0</v>
      </c>
      <c r="T32" s="676">
        <v>0</v>
      </c>
      <c r="U32" s="676">
        <v>0</v>
      </c>
      <c r="V32" s="676">
        <v>0</v>
      </c>
      <c r="W32" s="674">
        <v>19.991401547721409</v>
      </c>
      <c r="X32" s="676"/>
      <c r="Y32" s="676"/>
      <c r="Z32" s="676"/>
      <c r="AA32" s="676"/>
      <c r="AB32" s="676"/>
      <c r="AC32" s="676"/>
      <c r="AD32" s="676"/>
      <c r="AE32" s="676">
        <v>6.6160313365816368</v>
      </c>
      <c r="AF32" s="676"/>
      <c r="AG32" s="676"/>
      <c r="AH32" s="676"/>
      <c r="AI32" s="676"/>
      <c r="AJ32" s="676"/>
      <c r="AK32" s="676"/>
      <c r="AL32" s="676">
        <v>13.375370211139773</v>
      </c>
      <c r="AM32" s="676">
        <v>0</v>
      </c>
      <c r="AN32" s="676"/>
      <c r="AO32" s="676"/>
      <c r="AP32" s="676"/>
      <c r="AQ32" s="676"/>
      <c r="AR32" s="676"/>
      <c r="AS32" s="676"/>
      <c r="AT32" s="674">
        <v>12.92156300754753</v>
      </c>
      <c r="AU32" s="676">
        <v>12.634947931594535</v>
      </c>
      <c r="AV32" s="676">
        <v>0</v>
      </c>
      <c r="AW32" s="676">
        <v>0.28661507595299512</v>
      </c>
      <c r="AX32" s="676">
        <v>0</v>
      </c>
      <c r="AY32" s="676">
        <v>0</v>
      </c>
      <c r="AZ32" s="674">
        <v>186.77749116270181</v>
      </c>
      <c r="BA32" s="676"/>
      <c r="BB32" s="676"/>
      <c r="BC32" s="676"/>
      <c r="BD32" s="676">
        <v>0</v>
      </c>
      <c r="BE32" s="676"/>
      <c r="BF32" s="676">
        <v>128.83347664087131</v>
      </c>
      <c r="BG32" s="676"/>
      <c r="BH32" s="676">
        <v>2.1018438903219643</v>
      </c>
      <c r="BI32" s="676">
        <v>49.679946498519151</v>
      </c>
      <c r="BJ32" s="676">
        <v>0</v>
      </c>
      <c r="BK32" s="676">
        <v>0</v>
      </c>
      <c r="BL32" s="676">
        <v>0</v>
      </c>
      <c r="BM32" s="676">
        <v>6.1622241329893948</v>
      </c>
      <c r="BN32" s="676">
        <v>0</v>
      </c>
      <c r="BO32" s="674">
        <v>49.679946498519151</v>
      </c>
      <c r="BP32" s="676">
        <v>0</v>
      </c>
      <c r="BQ32" s="676">
        <v>49.679946498519151</v>
      </c>
      <c r="BR32" s="675"/>
      <c r="BS32" s="675"/>
      <c r="BT32" s="674">
        <v>85.984522785898534</v>
      </c>
    </row>
    <row r="33" spans="1:72">
      <c r="A33" s="681"/>
      <c r="B33" s="680" t="s">
        <v>968</v>
      </c>
      <c r="C33" s="679" t="s">
        <v>1243</v>
      </c>
      <c r="D33" s="679"/>
      <c r="E33" s="679"/>
      <c r="F33" s="678" t="s">
        <v>1242</v>
      </c>
      <c r="G33" s="678"/>
      <c r="H33" s="677">
        <v>269.37040221648988</v>
      </c>
      <c r="I33" s="674">
        <v>0</v>
      </c>
      <c r="J33" s="676">
        <v>0</v>
      </c>
      <c r="K33" s="676">
        <v>0</v>
      </c>
      <c r="L33" s="676">
        <v>0</v>
      </c>
      <c r="M33" s="676">
        <v>0</v>
      </c>
      <c r="N33" s="676">
        <v>0</v>
      </c>
      <c r="O33" s="676">
        <v>0</v>
      </c>
      <c r="P33" s="676">
        <v>0</v>
      </c>
      <c r="Q33" s="676">
        <v>0</v>
      </c>
      <c r="R33" s="676">
        <v>0</v>
      </c>
      <c r="S33" s="676">
        <v>0</v>
      </c>
      <c r="T33" s="676">
        <v>0</v>
      </c>
      <c r="U33" s="676">
        <v>0</v>
      </c>
      <c r="V33" s="676">
        <v>0</v>
      </c>
      <c r="W33" s="674">
        <v>19.991401547721409</v>
      </c>
      <c r="X33" s="676"/>
      <c r="Y33" s="676"/>
      <c r="Z33" s="676"/>
      <c r="AA33" s="676"/>
      <c r="AB33" s="676"/>
      <c r="AC33" s="676"/>
      <c r="AD33" s="676"/>
      <c r="AE33" s="676">
        <v>6.6160313365816368</v>
      </c>
      <c r="AF33" s="676"/>
      <c r="AG33" s="676"/>
      <c r="AH33" s="676"/>
      <c r="AI33" s="676"/>
      <c r="AJ33" s="676"/>
      <c r="AK33" s="676"/>
      <c r="AL33" s="676">
        <v>13.375370211139773</v>
      </c>
      <c r="AM33" s="676">
        <v>0</v>
      </c>
      <c r="AN33" s="676"/>
      <c r="AO33" s="676"/>
      <c r="AP33" s="676"/>
      <c r="AQ33" s="676"/>
      <c r="AR33" s="676"/>
      <c r="AS33" s="676"/>
      <c r="AT33" s="674">
        <v>12.92156300754753</v>
      </c>
      <c r="AU33" s="676">
        <v>12.634947931594535</v>
      </c>
      <c r="AV33" s="676">
        <v>0</v>
      </c>
      <c r="AW33" s="676">
        <v>0.28661507595299512</v>
      </c>
      <c r="AX33" s="676">
        <v>0</v>
      </c>
      <c r="AY33" s="676">
        <v>0</v>
      </c>
      <c r="AZ33" s="674">
        <v>186.77749116270181</v>
      </c>
      <c r="BA33" s="676"/>
      <c r="BB33" s="676"/>
      <c r="BC33" s="676"/>
      <c r="BD33" s="676">
        <v>0</v>
      </c>
      <c r="BE33" s="676"/>
      <c r="BF33" s="676">
        <v>128.83347664087131</v>
      </c>
      <c r="BG33" s="676"/>
      <c r="BH33" s="676">
        <v>2.1018438903219643</v>
      </c>
      <c r="BI33" s="676">
        <v>49.679946498519151</v>
      </c>
      <c r="BJ33" s="676">
        <v>0</v>
      </c>
      <c r="BK33" s="676">
        <v>0</v>
      </c>
      <c r="BL33" s="676">
        <v>0</v>
      </c>
      <c r="BM33" s="676">
        <v>6.1622241329893948</v>
      </c>
      <c r="BN33" s="676">
        <v>0</v>
      </c>
      <c r="BO33" s="674">
        <v>49.679946498519151</v>
      </c>
      <c r="BP33" s="676">
        <v>0</v>
      </c>
      <c r="BQ33" s="676">
        <v>49.679946498519151</v>
      </c>
      <c r="BR33" s="675"/>
      <c r="BS33" s="675"/>
      <c r="BT33" s="674"/>
    </row>
    <row r="34" spans="1:72">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c r="A35" s="681"/>
      <c r="B35" s="680" t="s">
        <v>968</v>
      </c>
      <c r="C35" s="679" t="s">
        <v>1239</v>
      </c>
      <c r="D35" s="679"/>
      <c r="E35" s="679"/>
      <c r="F35" s="678" t="s">
        <v>1238</v>
      </c>
      <c r="G35" s="678"/>
      <c r="H35" s="677">
        <v>20.039170727046908</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20.039170727046908</v>
      </c>
    </row>
    <row r="36" spans="1:72">
      <c r="A36" s="681"/>
      <c r="B36" s="680" t="s">
        <v>968</v>
      </c>
      <c r="C36" s="679" t="s">
        <v>1237</v>
      </c>
      <c r="D36" s="679"/>
      <c r="E36" s="679"/>
      <c r="F36" s="678" t="s">
        <v>1236</v>
      </c>
      <c r="G36" s="678"/>
      <c r="H36" s="677">
        <v>65.945352058851626</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65.945352058851626</v>
      </c>
    </row>
    <row r="37" spans="1:72">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c r="A44" s="722" t="s">
        <v>1224</v>
      </c>
      <c r="B44" s="722"/>
      <c r="C44" s="722"/>
      <c r="D44" s="722"/>
      <c r="E44" s="722"/>
      <c r="F44" s="721" t="s">
        <v>1223</v>
      </c>
      <c r="G44" s="721"/>
      <c r="H44" s="720">
        <v>17513.2081780835</v>
      </c>
      <c r="I44" s="717">
        <v>0</v>
      </c>
      <c r="J44" s="719"/>
      <c r="K44" s="719"/>
      <c r="L44" s="719"/>
      <c r="M44" s="719"/>
      <c r="N44" s="719"/>
      <c r="O44" s="719">
        <v>0</v>
      </c>
      <c r="P44" s="719">
        <v>0</v>
      </c>
      <c r="Q44" s="719">
        <v>0</v>
      </c>
      <c r="R44" s="719">
        <v>0</v>
      </c>
      <c r="S44" s="719">
        <v>0</v>
      </c>
      <c r="T44" s="719"/>
      <c r="U44" s="719">
        <v>0</v>
      </c>
      <c r="V44" s="719"/>
      <c r="W44" s="717">
        <v>16525.389318811503</v>
      </c>
      <c r="X44" s="719"/>
      <c r="Y44" s="719"/>
      <c r="Z44" s="719"/>
      <c r="AA44" s="719"/>
      <c r="AB44" s="719"/>
      <c r="AC44" s="719">
        <v>508.43126015095061</v>
      </c>
      <c r="AD44" s="719"/>
      <c r="AE44" s="719">
        <v>526.32081780835006</v>
      </c>
      <c r="AF44" s="719">
        <v>4043.1355689309257</v>
      </c>
      <c r="AG44" s="719"/>
      <c r="AH44" s="719"/>
      <c r="AI44" s="719">
        <v>615.60141396770803</v>
      </c>
      <c r="AJ44" s="719">
        <v>201.77701347090857</v>
      </c>
      <c r="AK44" s="719">
        <v>1926.1488487627782</v>
      </c>
      <c r="AL44" s="719">
        <v>6933.1709181236265</v>
      </c>
      <c r="AM44" s="719">
        <v>1593.5798222986527</v>
      </c>
      <c r="AN44" s="719"/>
      <c r="AO44" s="719"/>
      <c r="AP44" s="719"/>
      <c r="AQ44" s="719">
        <v>177.22365529760197</v>
      </c>
      <c r="AR44" s="719"/>
      <c r="AS44" s="719"/>
      <c r="AT44" s="717">
        <v>82.210757619184093</v>
      </c>
      <c r="AU44" s="719"/>
      <c r="AV44" s="719">
        <v>0</v>
      </c>
      <c r="AW44" s="719">
        <v>82.210757619184093</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613.69064679468806</v>
      </c>
      <c r="BT44" s="717">
        <v>291.9174548581255</v>
      </c>
    </row>
    <row r="45" spans="1:72">
      <c r="A45" s="688" t="s">
        <v>968</v>
      </c>
      <c r="B45" s="687" t="s">
        <v>1222</v>
      </c>
      <c r="C45" s="687"/>
      <c r="D45" s="687"/>
      <c r="E45" s="687"/>
      <c r="F45" s="686" t="s">
        <v>1221</v>
      </c>
      <c r="G45" s="686"/>
      <c r="H45" s="685">
        <v>520.77959300659211</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228.86213814846658</v>
      </c>
      <c r="BT45" s="682">
        <v>291.9174548581255</v>
      </c>
    </row>
    <row r="46" spans="1:72">
      <c r="A46" s="681"/>
      <c r="B46" s="680" t="s">
        <v>968</v>
      </c>
      <c r="C46" s="679" t="s">
        <v>1220</v>
      </c>
      <c r="D46" s="679"/>
      <c r="E46" s="679"/>
      <c r="F46" s="678" t="s">
        <v>1219</v>
      </c>
      <c r="G46" s="678"/>
      <c r="H46" s="677">
        <v>270.30190121333715</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228.86213814846658</v>
      </c>
      <c r="BT46" s="674">
        <v>41.43976306487054</v>
      </c>
    </row>
    <row r="47" spans="1:72">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c r="A48" s="681"/>
      <c r="B48" s="679"/>
      <c r="C48" s="680" t="s">
        <v>968</v>
      </c>
      <c r="D48" s="679" t="s">
        <v>1216</v>
      </c>
      <c r="E48" s="679"/>
      <c r="F48" s="678" t="s">
        <v>1215</v>
      </c>
      <c r="G48" s="678"/>
      <c r="H48" s="677">
        <v>10.485334861947072</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10.485334861947072</v>
      </c>
    </row>
    <row r="49" spans="1:72">
      <c r="A49" s="681"/>
      <c r="B49" s="679"/>
      <c r="C49" s="680" t="s">
        <v>968</v>
      </c>
      <c r="D49" s="679" t="s">
        <v>1214</v>
      </c>
      <c r="E49" s="679"/>
      <c r="F49" s="678" t="s">
        <v>1213</v>
      </c>
      <c r="G49" s="678"/>
      <c r="H49" s="677">
        <v>0</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0</v>
      </c>
    </row>
    <row r="50" spans="1:72">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c r="A52" s="681"/>
      <c r="B52" s="679"/>
      <c r="C52" s="680" t="s">
        <v>968</v>
      </c>
      <c r="D52" s="679" t="s">
        <v>1208</v>
      </c>
      <c r="E52" s="679"/>
      <c r="F52" s="678" t="s">
        <v>1207</v>
      </c>
      <c r="G52" s="678"/>
      <c r="H52" s="677">
        <v>30.954428202923474</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30.954428202923474</v>
      </c>
    </row>
    <row r="53" spans="1:72">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c r="A56" s="681"/>
      <c r="B56" s="679"/>
      <c r="C56" s="680" t="s">
        <v>968</v>
      </c>
      <c r="D56" s="679" t="s">
        <v>1200</v>
      </c>
      <c r="E56" s="679"/>
      <c r="F56" s="678" t="s">
        <v>1199</v>
      </c>
      <c r="G56" s="678"/>
      <c r="H56" s="677">
        <v>227.59625489634087</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227.59625489634087</v>
      </c>
      <c r="BT56" s="674"/>
    </row>
    <row r="57" spans="1:72">
      <c r="A57" s="681"/>
      <c r="B57" s="679"/>
      <c r="C57" s="680" t="s">
        <v>968</v>
      </c>
      <c r="D57" s="679" t="s">
        <v>1198</v>
      </c>
      <c r="E57" s="679"/>
      <c r="F57" s="678" t="s">
        <v>1197</v>
      </c>
      <c r="G57" s="678"/>
      <c r="H57" s="677">
        <v>0.85984522785898532</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0.85984522785898532</v>
      </c>
      <c r="BT57" s="674"/>
    </row>
    <row r="58" spans="1:72">
      <c r="A58" s="681"/>
      <c r="B58" s="679"/>
      <c r="C58" s="680" t="s">
        <v>968</v>
      </c>
      <c r="D58" s="679" t="s">
        <v>1196</v>
      </c>
      <c r="E58" s="679"/>
      <c r="F58" s="678" t="s">
        <v>1195</v>
      </c>
      <c r="G58" s="678"/>
      <c r="H58" s="677">
        <v>0.40603802426674307</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0.40603802426674307</v>
      </c>
      <c r="BT58" s="674"/>
    </row>
    <row r="59" spans="1:72">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c r="A61" s="681"/>
      <c r="B61" s="680" t="s">
        <v>968</v>
      </c>
      <c r="C61" s="679" t="s">
        <v>1190</v>
      </c>
      <c r="D61" s="679"/>
      <c r="E61" s="679"/>
      <c r="F61" s="678" t="s">
        <v>1189</v>
      </c>
      <c r="G61" s="678"/>
      <c r="H61" s="677">
        <v>250.47769179325499</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250.47769179325499</v>
      </c>
    </row>
    <row r="62" spans="1:72">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c r="A63" s="681"/>
      <c r="B63" s="679"/>
      <c r="C63" s="680" t="s">
        <v>968</v>
      </c>
      <c r="D63" s="679" t="s">
        <v>1186</v>
      </c>
      <c r="E63" s="679"/>
      <c r="F63" s="678" t="s">
        <v>1185</v>
      </c>
      <c r="G63" s="678"/>
      <c r="H63" s="677">
        <v>229.57867583834908</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229.57867583834908</v>
      </c>
    </row>
    <row r="64" spans="1:72">
      <c r="A64" s="681"/>
      <c r="B64" s="679"/>
      <c r="C64" s="680" t="s">
        <v>968</v>
      </c>
      <c r="D64" s="679" t="s">
        <v>1184</v>
      </c>
      <c r="E64" s="679"/>
      <c r="F64" s="678" t="s">
        <v>1183</v>
      </c>
      <c r="G64" s="678"/>
      <c r="H64" s="677">
        <v>20.899015954905895</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20.899015954905895</v>
      </c>
    </row>
    <row r="65" spans="1:72">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c r="A87" s="680" t="s">
        <v>968</v>
      </c>
      <c r="B87" s="679" t="s">
        <v>1138</v>
      </c>
      <c r="C87" s="679"/>
      <c r="D87" s="679"/>
      <c r="E87" s="679"/>
      <c r="F87" s="678" t="s">
        <v>1137</v>
      </c>
      <c r="G87" s="678"/>
      <c r="H87" s="677">
        <v>82.210757619184093</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82.210757619184093</v>
      </c>
      <c r="AU87" s="676"/>
      <c r="AV87" s="676"/>
      <c r="AW87" s="676">
        <v>82.210757619184093</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c r="A89" s="680" t="s">
        <v>968</v>
      </c>
      <c r="B89" s="679" t="s">
        <v>287</v>
      </c>
      <c r="C89" s="679"/>
      <c r="D89" s="679"/>
      <c r="E89" s="679"/>
      <c r="F89" s="678" t="s">
        <v>1135</v>
      </c>
      <c r="G89" s="678"/>
      <c r="H89" s="677">
        <v>16525.389318811503</v>
      </c>
      <c r="I89" s="674"/>
      <c r="J89" s="676"/>
      <c r="K89" s="676"/>
      <c r="L89" s="676"/>
      <c r="M89" s="676"/>
      <c r="N89" s="676"/>
      <c r="O89" s="676"/>
      <c r="P89" s="676"/>
      <c r="Q89" s="676"/>
      <c r="R89" s="676"/>
      <c r="S89" s="676"/>
      <c r="T89" s="676"/>
      <c r="U89" s="676"/>
      <c r="V89" s="676"/>
      <c r="W89" s="674">
        <v>16525.389318811503</v>
      </c>
      <c r="X89" s="676"/>
      <c r="Y89" s="676"/>
      <c r="Z89" s="676"/>
      <c r="AA89" s="676"/>
      <c r="AB89" s="676"/>
      <c r="AC89" s="676">
        <v>508.43126015095061</v>
      </c>
      <c r="AD89" s="676"/>
      <c r="AE89" s="676">
        <v>526.32081780835006</v>
      </c>
      <c r="AF89" s="676">
        <v>4043.1355689309257</v>
      </c>
      <c r="AG89" s="676"/>
      <c r="AH89" s="676"/>
      <c r="AI89" s="676">
        <v>615.60141396770803</v>
      </c>
      <c r="AJ89" s="676">
        <v>201.77701347090857</v>
      </c>
      <c r="AK89" s="676">
        <v>1926.1488487627782</v>
      </c>
      <c r="AL89" s="676">
        <v>6933.1709181236265</v>
      </c>
      <c r="AM89" s="676">
        <v>1593.5798222986527</v>
      </c>
      <c r="AN89" s="676"/>
      <c r="AO89" s="676"/>
      <c r="AP89" s="676"/>
      <c r="AQ89" s="676">
        <v>177.22365529760197</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c r="A93" s="680" t="s">
        <v>968</v>
      </c>
      <c r="B93" s="679" t="s">
        <v>1129</v>
      </c>
      <c r="C93" s="679"/>
      <c r="D93" s="679"/>
      <c r="E93" s="679"/>
      <c r="F93" s="678" t="s">
        <v>1128</v>
      </c>
      <c r="G93" s="678"/>
      <c r="H93" s="677">
        <v>384.82850864622145</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384.82850864622145</v>
      </c>
      <c r="BT93" s="674"/>
    </row>
    <row r="94" spans="1:72">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c r="A96" s="681"/>
      <c r="B96" s="680" t="s">
        <v>968</v>
      </c>
      <c r="C96" s="679" t="s">
        <v>1123</v>
      </c>
      <c r="D96" s="679"/>
      <c r="E96" s="679"/>
      <c r="F96" s="678" t="s">
        <v>1122</v>
      </c>
      <c r="G96" s="678"/>
      <c r="H96" s="677">
        <v>208.5363523454667</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208.5363523454667</v>
      </c>
      <c r="BT96" s="674"/>
    </row>
    <row r="97" spans="1:72">
      <c r="A97" s="681"/>
      <c r="B97" s="680" t="s">
        <v>968</v>
      </c>
      <c r="C97" s="679" t="s">
        <v>1121</v>
      </c>
      <c r="D97" s="679"/>
      <c r="E97" s="679"/>
      <c r="F97" s="678" t="s">
        <v>1120</v>
      </c>
      <c r="G97" s="678"/>
      <c r="H97" s="677">
        <v>54.52851820005732</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54.52851820005732</v>
      </c>
      <c r="BT97" s="674"/>
    </row>
    <row r="98" spans="1:72">
      <c r="A98" s="681"/>
      <c r="B98" s="680" t="s">
        <v>968</v>
      </c>
      <c r="C98" s="679" t="s">
        <v>1119</v>
      </c>
      <c r="D98" s="679"/>
      <c r="E98" s="679"/>
      <c r="F98" s="678" t="s">
        <v>1118</v>
      </c>
      <c r="G98" s="678"/>
      <c r="H98" s="677">
        <v>65.443775675933878</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65.443775675933878</v>
      </c>
      <c r="BT98" s="674"/>
    </row>
    <row r="99" spans="1:72">
      <c r="A99" s="681"/>
      <c r="B99" s="680" t="s">
        <v>968</v>
      </c>
      <c r="C99" s="679" t="s">
        <v>1117</v>
      </c>
      <c r="D99" s="679"/>
      <c r="E99" s="679"/>
      <c r="F99" s="678" t="s">
        <v>1116</v>
      </c>
      <c r="G99" s="678"/>
      <c r="H99" s="677">
        <v>17.746250119422946</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17.746250119422946</v>
      </c>
      <c r="BT99" s="674"/>
    </row>
    <row r="100" spans="1:72">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c r="A106" s="681"/>
      <c r="B106" s="680" t="s">
        <v>968</v>
      </c>
      <c r="C106" s="679" t="s">
        <v>1103</v>
      </c>
      <c r="D106" s="679"/>
      <c r="E106" s="679"/>
      <c r="F106" s="678" t="s">
        <v>1102</v>
      </c>
      <c r="G106" s="678"/>
      <c r="H106" s="677">
        <v>28.518200057323014</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28.518200057323014</v>
      </c>
      <c r="BT106" s="674"/>
    </row>
    <row r="107" spans="1:72">
      <c r="A107" s="681"/>
      <c r="B107" s="680" t="s">
        <v>968</v>
      </c>
      <c r="C107" s="679" t="s">
        <v>1101</v>
      </c>
      <c r="D107" s="679"/>
      <c r="E107" s="679"/>
      <c r="F107" s="678" t="s">
        <v>1100</v>
      </c>
      <c r="G107" s="678"/>
      <c r="H107" s="677">
        <v>10.055412248017578</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10.055412248017578</v>
      </c>
      <c r="BT107" s="674"/>
    </row>
    <row r="108" spans="1:72">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c r="A109" s="709" t="s">
        <v>1097</v>
      </c>
      <c r="B109" s="709"/>
      <c r="C109" s="709"/>
      <c r="D109" s="709"/>
      <c r="E109" s="709"/>
      <c r="F109" s="708" t="s">
        <v>1096</v>
      </c>
      <c r="G109" s="708"/>
      <c r="H109" s="707">
        <v>460.87704213241614</v>
      </c>
      <c r="I109" s="704"/>
      <c r="J109" s="706"/>
      <c r="K109" s="706"/>
      <c r="L109" s="706"/>
      <c r="M109" s="706"/>
      <c r="N109" s="706"/>
      <c r="O109" s="706"/>
      <c r="P109" s="706"/>
      <c r="Q109" s="706"/>
      <c r="R109" s="706"/>
      <c r="S109" s="706"/>
      <c r="T109" s="706"/>
      <c r="U109" s="706"/>
      <c r="V109" s="706"/>
      <c r="W109" s="704">
        <v>460.87704213241614</v>
      </c>
      <c r="X109" s="706">
        <v>0</v>
      </c>
      <c r="Y109" s="706">
        <v>-9395.4093818668189</v>
      </c>
      <c r="Z109" s="706">
        <v>1839.7821725422757</v>
      </c>
      <c r="AA109" s="706"/>
      <c r="AB109" s="706"/>
      <c r="AC109" s="706">
        <v>0</v>
      </c>
      <c r="AD109" s="706">
        <v>1651.6193751791343</v>
      </c>
      <c r="AE109" s="706">
        <v>5562.6492786853923</v>
      </c>
      <c r="AF109" s="706">
        <v>0</v>
      </c>
      <c r="AG109" s="706">
        <v>0</v>
      </c>
      <c r="AH109" s="706">
        <v>0</v>
      </c>
      <c r="AI109" s="706">
        <v>0</v>
      </c>
      <c r="AJ109" s="706">
        <v>0</v>
      </c>
      <c r="AK109" s="706">
        <v>2493.4078532530812</v>
      </c>
      <c r="AL109" s="706">
        <v>-1.0270373554982324</v>
      </c>
      <c r="AM109" s="706">
        <v>-1689.1181809496511</v>
      </c>
      <c r="AN109" s="706">
        <v>-1.0509219451609821</v>
      </c>
      <c r="AO109" s="706">
        <v>0</v>
      </c>
      <c r="AP109" s="706">
        <v>0</v>
      </c>
      <c r="AQ109" s="706">
        <v>0</v>
      </c>
      <c r="AR109" s="706">
        <v>0</v>
      </c>
      <c r="AS109" s="706">
        <v>0</v>
      </c>
      <c r="AT109" s="704"/>
      <c r="AU109" s="706"/>
      <c r="AV109" s="706"/>
      <c r="AW109" s="706"/>
      <c r="AX109" s="706"/>
      <c r="AY109" s="706"/>
      <c r="AZ109" s="704">
        <v>-11180.997420464317</v>
      </c>
      <c r="BA109" s="706">
        <v>-11019.250979268176</v>
      </c>
      <c r="BB109" s="706">
        <v>-161.74644119614024</v>
      </c>
      <c r="BC109" s="706">
        <v>0</v>
      </c>
      <c r="BD109" s="706"/>
      <c r="BE109" s="706">
        <v>0</v>
      </c>
      <c r="BF109" s="706"/>
      <c r="BG109" s="706"/>
      <c r="BH109" s="706"/>
      <c r="BI109" s="706"/>
      <c r="BJ109" s="706">
        <v>0</v>
      </c>
      <c r="BK109" s="706">
        <v>0</v>
      </c>
      <c r="BL109" s="706">
        <v>0</v>
      </c>
      <c r="BM109" s="706"/>
      <c r="BN109" s="706"/>
      <c r="BO109" s="704"/>
      <c r="BP109" s="706"/>
      <c r="BQ109" s="706"/>
      <c r="BR109" s="705"/>
      <c r="BS109" s="705"/>
      <c r="BT109" s="704">
        <v>11180.997420464317</v>
      </c>
    </row>
    <row r="110" spans="1:72">
      <c r="A110" s="688" t="s">
        <v>968</v>
      </c>
      <c r="B110" s="687" t="s">
        <v>1095</v>
      </c>
      <c r="C110" s="687"/>
      <c r="D110" s="687"/>
      <c r="E110" s="687"/>
      <c r="F110" s="686" t="s">
        <v>1094</v>
      </c>
      <c r="G110" s="686"/>
      <c r="H110" s="685">
        <v>369.54237126206169</v>
      </c>
      <c r="I110" s="682"/>
      <c r="J110" s="684"/>
      <c r="K110" s="684"/>
      <c r="L110" s="684"/>
      <c r="M110" s="684"/>
      <c r="N110" s="684"/>
      <c r="O110" s="684"/>
      <c r="P110" s="684"/>
      <c r="Q110" s="684"/>
      <c r="R110" s="684"/>
      <c r="S110" s="684"/>
      <c r="T110" s="684"/>
      <c r="U110" s="684"/>
      <c r="V110" s="684"/>
      <c r="W110" s="682">
        <v>369.54237126206169</v>
      </c>
      <c r="X110" s="684"/>
      <c r="Y110" s="684">
        <v>-9395.4093818668189</v>
      </c>
      <c r="Z110" s="684"/>
      <c r="AA110" s="684"/>
      <c r="AB110" s="684"/>
      <c r="AC110" s="684"/>
      <c r="AD110" s="684">
        <v>1675.8383490971623</v>
      </c>
      <c r="AE110" s="684">
        <v>5595.6816661889743</v>
      </c>
      <c r="AF110" s="684"/>
      <c r="AG110" s="684"/>
      <c r="AH110" s="684"/>
      <c r="AI110" s="684"/>
      <c r="AJ110" s="684"/>
      <c r="AK110" s="684">
        <v>2493.4078532530812</v>
      </c>
      <c r="AL110" s="684"/>
      <c r="AM110" s="684">
        <v>0</v>
      </c>
      <c r="AN110" s="684"/>
      <c r="AO110" s="684"/>
      <c r="AP110" s="684"/>
      <c r="AQ110" s="684"/>
      <c r="AR110" s="684"/>
      <c r="AS110" s="684"/>
      <c r="AT110" s="682"/>
      <c r="AU110" s="684"/>
      <c r="AV110" s="684"/>
      <c r="AW110" s="684"/>
      <c r="AX110" s="684"/>
      <c r="AY110" s="684"/>
      <c r="AZ110" s="682">
        <v>-11180.997420464317</v>
      </c>
      <c r="BA110" s="684">
        <v>-11019.250979268176</v>
      </c>
      <c r="BB110" s="684">
        <v>-161.74644119614024</v>
      </c>
      <c r="BC110" s="684">
        <v>0</v>
      </c>
      <c r="BD110" s="684"/>
      <c r="BE110" s="684">
        <v>0</v>
      </c>
      <c r="BF110" s="684"/>
      <c r="BG110" s="684"/>
      <c r="BH110" s="684"/>
      <c r="BI110" s="684"/>
      <c r="BJ110" s="684"/>
      <c r="BK110" s="684"/>
      <c r="BL110" s="684"/>
      <c r="BM110" s="684"/>
      <c r="BN110" s="684"/>
      <c r="BO110" s="682"/>
      <c r="BP110" s="684"/>
      <c r="BQ110" s="684"/>
      <c r="BR110" s="683"/>
      <c r="BS110" s="683"/>
      <c r="BT110" s="682">
        <v>11180.997420464317</v>
      </c>
    </row>
    <row r="111" spans="1:72">
      <c r="A111" s="680" t="s">
        <v>968</v>
      </c>
      <c r="B111" s="679" t="s">
        <v>1093</v>
      </c>
      <c r="C111" s="679"/>
      <c r="D111" s="679"/>
      <c r="E111" s="679"/>
      <c r="F111" s="678" t="s">
        <v>1092</v>
      </c>
      <c r="G111" s="678"/>
      <c r="H111" s="677">
        <v>97.066972389414346</v>
      </c>
      <c r="I111" s="674"/>
      <c r="J111" s="676"/>
      <c r="K111" s="676"/>
      <c r="L111" s="676"/>
      <c r="M111" s="676"/>
      <c r="N111" s="676"/>
      <c r="O111" s="676"/>
      <c r="P111" s="676"/>
      <c r="Q111" s="676"/>
      <c r="R111" s="676"/>
      <c r="S111" s="676"/>
      <c r="T111" s="676"/>
      <c r="U111" s="676"/>
      <c r="V111" s="676"/>
      <c r="W111" s="674">
        <v>97.066972389414346</v>
      </c>
      <c r="X111" s="676"/>
      <c r="Y111" s="676"/>
      <c r="Z111" s="676">
        <v>1785.2297697525555</v>
      </c>
      <c r="AA111" s="676"/>
      <c r="AB111" s="676"/>
      <c r="AC111" s="676"/>
      <c r="AD111" s="676"/>
      <c r="AE111" s="676"/>
      <c r="AF111" s="676"/>
      <c r="AG111" s="676"/>
      <c r="AH111" s="676"/>
      <c r="AI111" s="676"/>
      <c r="AJ111" s="676"/>
      <c r="AK111" s="676"/>
      <c r="AL111" s="676"/>
      <c r="AM111" s="676">
        <v>-1688.1627973631412</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c r="A112" s="672" t="s">
        <v>968</v>
      </c>
      <c r="B112" s="671" t="s">
        <v>1091</v>
      </c>
      <c r="C112" s="671"/>
      <c r="D112" s="671"/>
      <c r="E112" s="671"/>
      <c r="F112" s="670" t="s">
        <v>1090</v>
      </c>
      <c r="G112" s="670"/>
      <c r="H112" s="669">
        <v>-5.7323015190599023</v>
      </c>
      <c r="I112" s="666"/>
      <c r="J112" s="668"/>
      <c r="K112" s="668"/>
      <c r="L112" s="668"/>
      <c r="M112" s="668"/>
      <c r="N112" s="668"/>
      <c r="O112" s="668"/>
      <c r="P112" s="668"/>
      <c r="Q112" s="668"/>
      <c r="R112" s="668"/>
      <c r="S112" s="668"/>
      <c r="T112" s="668"/>
      <c r="U112" s="668"/>
      <c r="V112" s="668"/>
      <c r="W112" s="666">
        <v>-5.7323015190599023</v>
      </c>
      <c r="X112" s="668">
        <v>0</v>
      </c>
      <c r="Y112" s="668">
        <v>0</v>
      </c>
      <c r="Z112" s="668">
        <v>54.55240278972007</v>
      </c>
      <c r="AA112" s="668"/>
      <c r="AB112" s="668"/>
      <c r="AC112" s="668">
        <v>0</v>
      </c>
      <c r="AD112" s="668">
        <v>-24.218973918028087</v>
      </c>
      <c r="AE112" s="668">
        <v>-33.03238750358269</v>
      </c>
      <c r="AF112" s="668">
        <v>0</v>
      </c>
      <c r="AG112" s="668">
        <v>0</v>
      </c>
      <c r="AH112" s="668">
        <v>0</v>
      </c>
      <c r="AI112" s="668">
        <v>0</v>
      </c>
      <c r="AJ112" s="668">
        <v>0</v>
      </c>
      <c r="AK112" s="668">
        <v>0</v>
      </c>
      <c r="AL112" s="668">
        <v>-1.0270373554982324</v>
      </c>
      <c r="AM112" s="668">
        <v>-0.95538358650998367</v>
      </c>
      <c r="AN112" s="668">
        <v>-1.0509219451609821</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c r="A113" s="709" t="s">
        <v>1089</v>
      </c>
      <c r="B113" s="709"/>
      <c r="C113" s="709"/>
      <c r="D113" s="709"/>
      <c r="E113" s="709"/>
      <c r="F113" s="708" t="s">
        <v>1088</v>
      </c>
      <c r="G113" s="708"/>
      <c r="H113" s="707">
        <v>4985.9319766886401</v>
      </c>
      <c r="I113" s="704">
        <v>0</v>
      </c>
      <c r="J113" s="706">
        <v>0</v>
      </c>
      <c r="K113" s="706">
        <v>0</v>
      </c>
      <c r="L113" s="706">
        <v>0</v>
      </c>
      <c r="M113" s="706">
        <v>0</v>
      </c>
      <c r="N113" s="706">
        <v>0</v>
      </c>
      <c r="O113" s="706">
        <v>0</v>
      </c>
      <c r="P113" s="706">
        <v>0</v>
      </c>
      <c r="Q113" s="706">
        <v>0</v>
      </c>
      <c r="R113" s="706">
        <v>0</v>
      </c>
      <c r="S113" s="706">
        <v>0</v>
      </c>
      <c r="T113" s="706">
        <v>0</v>
      </c>
      <c r="U113" s="706">
        <v>0</v>
      </c>
      <c r="V113" s="706">
        <v>0</v>
      </c>
      <c r="W113" s="704">
        <v>772.80978312792581</v>
      </c>
      <c r="X113" s="706"/>
      <c r="Y113" s="706"/>
      <c r="Z113" s="706"/>
      <c r="AA113" s="706"/>
      <c r="AB113" s="706"/>
      <c r="AC113" s="706">
        <v>488.70258908951939</v>
      </c>
      <c r="AD113" s="706"/>
      <c r="AE113" s="706"/>
      <c r="AF113" s="706"/>
      <c r="AG113" s="706"/>
      <c r="AH113" s="706"/>
      <c r="AI113" s="706"/>
      <c r="AJ113" s="706"/>
      <c r="AK113" s="706"/>
      <c r="AL113" s="706">
        <v>284.13107862806913</v>
      </c>
      <c r="AM113" s="706">
        <v>0</v>
      </c>
      <c r="AN113" s="706"/>
      <c r="AO113" s="706"/>
      <c r="AP113" s="706"/>
      <c r="AQ113" s="706"/>
      <c r="AR113" s="706"/>
      <c r="AS113" s="706"/>
      <c r="AT113" s="704">
        <v>3552.2355975924334</v>
      </c>
      <c r="AU113" s="706">
        <v>3552.2355975924334</v>
      </c>
      <c r="AV113" s="706">
        <v>0</v>
      </c>
      <c r="AW113" s="706">
        <v>0</v>
      </c>
      <c r="AX113" s="706">
        <v>0</v>
      </c>
      <c r="AY113" s="706">
        <v>0</v>
      </c>
      <c r="AZ113" s="704">
        <v>0</v>
      </c>
      <c r="BA113" s="706"/>
      <c r="BB113" s="706"/>
      <c r="BC113" s="706"/>
      <c r="BD113" s="706">
        <v>0</v>
      </c>
      <c r="BE113" s="706"/>
      <c r="BF113" s="706">
        <v>0</v>
      </c>
      <c r="BG113" s="706">
        <v>0</v>
      </c>
      <c r="BH113" s="706">
        <v>0</v>
      </c>
      <c r="BI113" s="706">
        <v>0</v>
      </c>
      <c r="BJ113" s="706">
        <v>0</v>
      </c>
      <c r="BK113" s="706">
        <v>0</v>
      </c>
      <c r="BL113" s="706">
        <v>0</v>
      </c>
      <c r="BM113" s="706">
        <v>0</v>
      </c>
      <c r="BN113" s="706">
        <v>0</v>
      </c>
      <c r="BO113" s="704">
        <v>0</v>
      </c>
      <c r="BP113" s="706">
        <v>0</v>
      </c>
      <c r="BQ113" s="706">
        <v>0</v>
      </c>
      <c r="BR113" s="705"/>
      <c r="BS113" s="705">
        <v>0</v>
      </c>
      <c r="BT113" s="704">
        <v>660.8865959682812</v>
      </c>
    </row>
    <row r="114" spans="1:72">
      <c r="A114" s="688" t="s">
        <v>968</v>
      </c>
      <c r="B114" s="687" t="s">
        <v>1087</v>
      </c>
      <c r="C114" s="687"/>
      <c r="D114" s="687"/>
      <c r="E114" s="687"/>
      <c r="F114" s="686" t="s">
        <v>1086</v>
      </c>
      <c r="G114" s="686"/>
      <c r="H114" s="685">
        <v>54.600171969045569</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1.0270373554982324</v>
      </c>
      <c r="X114" s="684"/>
      <c r="Y114" s="684"/>
      <c r="Z114" s="684"/>
      <c r="AA114" s="684"/>
      <c r="AB114" s="684"/>
      <c r="AC114" s="684"/>
      <c r="AD114" s="684"/>
      <c r="AE114" s="684"/>
      <c r="AF114" s="684"/>
      <c r="AG114" s="684"/>
      <c r="AH114" s="684"/>
      <c r="AI114" s="684"/>
      <c r="AJ114" s="684"/>
      <c r="AK114" s="684"/>
      <c r="AL114" s="684">
        <v>1.0270373554982324</v>
      </c>
      <c r="AM114" s="684">
        <v>0</v>
      </c>
      <c r="AN114" s="684"/>
      <c r="AO114" s="684"/>
      <c r="AP114" s="684"/>
      <c r="AQ114" s="684"/>
      <c r="AR114" s="684"/>
      <c r="AS114" s="684"/>
      <c r="AT114" s="682">
        <v>0.26273048629024554</v>
      </c>
      <c r="AU114" s="684">
        <v>0.26273048629024554</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v>
      </c>
      <c r="BT114" s="682">
        <v>53.310404127257094</v>
      </c>
    </row>
    <row r="115" spans="1:72">
      <c r="A115" s="680" t="s">
        <v>968</v>
      </c>
      <c r="B115" s="679" t="s">
        <v>1085</v>
      </c>
      <c r="C115" s="679"/>
      <c r="D115" s="679"/>
      <c r="E115" s="679"/>
      <c r="F115" s="678" t="s">
        <v>1084</v>
      </c>
      <c r="G115" s="678"/>
      <c r="H115" s="677">
        <v>20.039170727046908</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20.039170727046908</v>
      </c>
    </row>
    <row r="116" spans="1:72">
      <c r="A116" s="680"/>
      <c r="B116" s="680" t="s">
        <v>968</v>
      </c>
      <c r="C116" s="679" t="s">
        <v>1083</v>
      </c>
      <c r="D116" s="679"/>
      <c r="E116" s="679"/>
      <c r="F116" s="678" t="s">
        <v>1082</v>
      </c>
      <c r="G116" s="678"/>
      <c r="H116" s="677">
        <v>66.900735645361607</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66.900735645361607</v>
      </c>
    </row>
    <row r="117" spans="1:72">
      <c r="A117" s="680"/>
      <c r="B117" s="680" t="s">
        <v>1081</v>
      </c>
      <c r="C117" s="679" t="s">
        <v>1080</v>
      </c>
      <c r="D117" s="679"/>
      <c r="E117" s="679"/>
      <c r="F117" s="678" t="s">
        <v>1079</v>
      </c>
      <c r="G117" s="678"/>
      <c r="H117" s="677">
        <v>46.861564918314699</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46.861564918314699</v>
      </c>
    </row>
    <row r="118" spans="1:72">
      <c r="A118" s="680"/>
      <c r="B118" s="680"/>
      <c r="C118" s="680" t="s">
        <v>968</v>
      </c>
      <c r="D118" s="679" t="s">
        <v>1078</v>
      </c>
      <c r="E118" s="679"/>
      <c r="F118" s="678" t="s">
        <v>1077</v>
      </c>
      <c r="G118" s="678"/>
      <c r="H118" s="677">
        <v>44.974682334957485</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44.974682334957485</v>
      </c>
    </row>
    <row r="119" spans="1:72">
      <c r="A119" s="680"/>
      <c r="B119" s="680"/>
      <c r="C119" s="680" t="s">
        <v>968</v>
      </c>
      <c r="D119" s="679" t="s">
        <v>1076</v>
      </c>
      <c r="E119" s="679"/>
      <c r="F119" s="678" t="s">
        <v>1075</v>
      </c>
      <c r="G119" s="678"/>
      <c r="H119" s="677">
        <v>1.8868825833572178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1.8868825833572178</v>
      </c>
    </row>
    <row r="120" spans="1:72">
      <c r="A120" s="680" t="s">
        <v>968</v>
      </c>
      <c r="B120" s="679" t="s">
        <v>1074</v>
      </c>
      <c r="C120" s="679"/>
      <c r="D120" s="679"/>
      <c r="E120" s="679"/>
      <c r="F120" s="678" t="s">
        <v>1073</v>
      </c>
      <c r="G120" s="678"/>
      <c r="H120" s="677">
        <v>4364.0489156396288</v>
      </c>
      <c r="I120" s="674"/>
      <c r="J120" s="676"/>
      <c r="K120" s="676"/>
      <c r="L120" s="676"/>
      <c r="M120" s="676"/>
      <c r="N120" s="676"/>
      <c r="O120" s="676"/>
      <c r="P120" s="676"/>
      <c r="Q120" s="676"/>
      <c r="R120" s="676"/>
      <c r="S120" s="676"/>
      <c r="T120" s="676"/>
      <c r="U120" s="676"/>
      <c r="V120" s="676"/>
      <c r="W120" s="674">
        <v>276.91793254991876</v>
      </c>
      <c r="X120" s="676"/>
      <c r="Y120" s="676"/>
      <c r="Z120" s="676"/>
      <c r="AA120" s="676"/>
      <c r="AB120" s="676"/>
      <c r="AC120" s="676"/>
      <c r="AD120" s="676"/>
      <c r="AE120" s="676"/>
      <c r="AF120" s="676"/>
      <c r="AG120" s="676"/>
      <c r="AH120" s="676"/>
      <c r="AI120" s="676"/>
      <c r="AJ120" s="676"/>
      <c r="AK120" s="676"/>
      <c r="AL120" s="676">
        <v>276.91793254991876</v>
      </c>
      <c r="AM120" s="676">
        <v>0</v>
      </c>
      <c r="AN120" s="676"/>
      <c r="AO120" s="676"/>
      <c r="AP120" s="676"/>
      <c r="AQ120" s="676"/>
      <c r="AR120" s="676"/>
      <c r="AS120" s="676"/>
      <c r="AT120" s="674">
        <v>3551.972867106143</v>
      </c>
      <c r="AU120" s="676">
        <v>3551.972867106143</v>
      </c>
      <c r="AV120" s="676"/>
      <c r="AW120" s="676"/>
      <c r="AX120" s="676"/>
      <c r="AY120" s="676"/>
      <c r="AZ120" s="674"/>
      <c r="BA120" s="676"/>
      <c r="BB120" s="676"/>
      <c r="BC120" s="676"/>
      <c r="BD120" s="676"/>
      <c r="BE120" s="676"/>
      <c r="BF120" s="676"/>
      <c r="BG120" s="676"/>
      <c r="BH120" s="676"/>
      <c r="BI120" s="676"/>
      <c r="BJ120" s="676"/>
      <c r="BK120" s="676"/>
      <c r="BL120" s="676"/>
      <c r="BM120" s="676"/>
      <c r="BN120" s="676"/>
      <c r="BO120" s="674"/>
      <c r="BP120" s="676"/>
      <c r="BQ120" s="676"/>
      <c r="BR120" s="675"/>
      <c r="BS120" s="675">
        <v>0</v>
      </c>
      <c r="BT120" s="674">
        <v>535.15811598356743</v>
      </c>
    </row>
    <row r="121" spans="1:72">
      <c r="A121" s="680" t="s">
        <v>968</v>
      </c>
      <c r="B121" s="679" t="s">
        <v>1072</v>
      </c>
      <c r="C121" s="679"/>
      <c r="D121" s="679"/>
      <c r="E121" s="679"/>
      <c r="F121" s="678" t="s">
        <v>1071</v>
      </c>
      <c r="G121" s="678"/>
      <c r="H121" s="677">
        <v>536.42399923569315</v>
      </c>
      <c r="I121" s="674">
        <v>0</v>
      </c>
      <c r="J121" s="676">
        <v>0</v>
      </c>
      <c r="K121" s="676">
        <v>0</v>
      </c>
      <c r="L121" s="676">
        <v>0</v>
      </c>
      <c r="M121" s="676">
        <v>0</v>
      </c>
      <c r="N121" s="676">
        <v>0</v>
      </c>
      <c r="O121" s="676">
        <v>0</v>
      </c>
      <c r="P121" s="676">
        <v>0</v>
      </c>
      <c r="Q121" s="676">
        <v>0</v>
      </c>
      <c r="R121" s="676">
        <v>0</v>
      </c>
      <c r="S121" s="676">
        <v>0</v>
      </c>
      <c r="T121" s="676">
        <v>0</v>
      </c>
      <c r="U121" s="676">
        <v>0</v>
      </c>
      <c r="V121" s="676">
        <v>0</v>
      </c>
      <c r="W121" s="674">
        <v>488.70258908951939</v>
      </c>
      <c r="X121" s="676"/>
      <c r="Y121" s="676"/>
      <c r="Z121" s="676"/>
      <c r="AA121" s="676"/>
      <c r="AB121" s="676"/>
      <c r="AC121" s="676">
        <v>488.70258908951939</v>
      </c>
      <c r="AD121" s="676"/>
      <c r="AE121" s="676"/>
      <c r="AF121" s="676"/>
      <c r="AG121" s="676"/>
      <c r="AH121" s="676"/>
      <c r="AI121" s="676"/>
      <c r="AJ121" s="676"/>
      <c r="AK121" s="676"/>
      <c r="AL121" s="676"/>
      <c r="AM121" s="676">
        <v>0</v>
      </c>
      <c r="AN121" s="676"/>
      <c r="AO121" s="676"/>
      <c r="AP121" s="676"/>
      <c r="AQ121" s="676"/>
      <c r="AR121" s="676"/>
      <c r="AS121" s="676"/>
      <c r="AT121" s="674">
        <v>0</v>
      </c>
      <c r="AU121" s="676">
        <v>0</v>
      </c>
      <c r="AV121" s="676">
        <v>0</v>
      </c>
      <c r="AW121" s="676">
        <v>0</v>
      </c>
      <c r="AX121" s="676">
        <v>0</v>
      </c>
      <c r="AY121" s="676">
        <v>0</v>
      </c>
      <c r="AZ121" s="674">
        <v>0</v>
      </c>
      <c r="BA121" s="676"/>
      <c r="BB121" s="676"/>
      <c r="BC121" s="676"/>
      <c r="BD121" s="676">
        <v>0</v>
      </c>
      <c r="BE121" s="676"/>
      <c r="BF121" s="676">
        <v>0</v>
      </c>
      <c r="BG121" s="676">
        <v>0</v>
      </c>
      <c r="BH121" s="676">
        <v>0</v>
      </c>
      <c r="BI121" s="676">
        <v>0</v>
      </c>
      <c r="BJ121" s="676">
        <v>0</v>
      </c>
      <c r="BK121" s="676">
        <v>0</v>
      </c>
      <c r="BL121" s="676">
        <v>0</v>
      </c>
      <c r="BM121" s="676">
        <v>0</v>
      </c>
      <c r="BN121" s="676">
        <v>0</v>
      </c>
      <c r="BO121" s="674">
        <v>0</v>
      </c>
      <c r="BP121" s="676">
        <v>0</v>
      </c>
      <c r="BQ121" s="676">
        <v>0</v>
      </c>
      <c r="BR121" s="675"/>
      <c r="BS121" s="675">
        <v>0</v>
      </c>
      <c r="BT121" s="674">
        <v>47.721410146173689</v>
      </c>
    </row>
    <row r="122" spans="1:72">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c r="A123" s="680" t="s">
        <v>968</v>
      </c>
      <c r="B123" s="679" t="s">
        <v>1068</v>
      </c>
      <c r="C123" s="679"/>
      <c r="D123" s="679"/>
      <c r="E123" s="679"/>
      <c r="F123" s="678" t="s">
        <v>1067</v>
      </c>
      <c r="G123" s="678"/>
      <c r="H123" s="677">
        <v>9.6971434030763355</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6.1861087226521443</v>
      </c>
      <c r="X123" s="676"/>
      <c r="Y123" s="676"/>
      <c r="Z123" s="676"/>
      <c r="AA123" s="676"/>
      <c r="AB123" s="676"/>
      <c r="AC123" s="676"/>
      <c r="AD123" s="676"/>
      <c r="AE123" s="676"/>
      <c r="AF123" s="676"/>
      <c r="AG123" s="676"/>
      <c r="AH123" s="676"/>
      <c r="AI123" s="676"/>
      <c r="AJ123" s="676"/>
      <c r="AK123" s="676"/>
      <c r="AL123" s="676">
        <v>6.1861087226521443</v>
      </c>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3.5349192700869398</v>
      </c>
    </row>
    <row r="124" spans="1:72">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c r="A133" s="680" t="s">
        <v>968</v>
      </c>
      <c r="B133" s="679" t="s">
        <v>1048</v>
      </c>
      <c r="C133" s="679"/>
      <c r="D133" s="679"/>
      <c r="E133" s="679"/>
      <c r="F133" s="678" t="s">
        <v>1047</v>
      </c>
      <c r="G133" s="678"/>
      <c r="H133" s="677">
        <v>1.122575714149231</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1.122575714149231</v>
      </c>
    </row>
    <row r="134" spans="1:72">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c r="A135" s="709" t="s">
        <v>1044</v>
      </c>
      <c r="B135" s="709"/>
      <c r="C135" s="709"/>
      <c r="D135" s="709"/>
      <c r="E135" s="709"/>
      <c r="F135" s="708" t="s">
        <v>1043</v>
      </c>
      <c r="G135" s="708"/>
      <c r="H135" s="707">
        <v>805.55555555555554</v>
      </c>
      <c r="I135" s="704">
        <v>0</v>
      </c>
      <c r="J135" s="706">
        <v>0</v>
      </c>
      <c r="K135" s="706">
        <v>0</v>
      </c>
      <c r="L135" s="706">
        <v>0</v>
      </c>
      <c r="M135" s="706">
        <v>0</v>
      </c>
      <c r="N135" s="706">
        <v>0</v>
      </c>
      <c r="O135" s="706">
        <v>0</v>
      </c>
      <c r="P135" s="706">
        <v>0</v>
      </c>
      <c r="Q135" s="706">
        <v>0</v>
      </c>
      <c r="R135" s="706">
        <v>0</v>
      </c>
      <c r="S135" s="706">
        <v>0</v>
      </c>
      <c r="T135" s="706">
        <v>0</v>
      </c>
      <c r="U135" s="706">
        <v>0</v>
      </c>
      <c r="V135" s="706">
        <v>0</v>
      </c>
      <c r="W135" s="704">
        <v>0</v>
      </c>
      <c r="X135" s="706"/>
      <c r="Y135" s="706"/>
      <c r="Z135" s="706"/>
      <c r="AA135" s="706"/>
      <c r="AB135" s="706"/>
      <c r="AC135" s="706"/>
      <c r="AD135" s="706"/>
      <c r="AE135" s="706"/>
      <c r="AF135" s="706"/>
      <c r="AG135" s="706"/>
      <c r="AH135" s="706"/>
      <c r="AI135" s="706"/>
      <c r="AJ135" s="706"/>
      <c r="AK135" s="706"/>
      <c r="AL135" s="706"/>
      <c r="AM135" s="706">
        <v>0</v>
      </c>
      <c r="AN135" s="706"/>
      <c r="AO135" s="706"/>
      <c r="AP135" s="706"/>
      <c r="AQ135" s="706"/>
      <c r="AR135" s="706"/>
      <c r="AS135" s="706"/>
      <c r="AT135" s="704">
        <v>0.95538358650998367</v>
      </c>
      <c r="AU135" s="706">
        <v>0</v>
      </c>
      <c r="AV135" s="706">
        <v>0</v>
      </c>
      <c r="AW135" s="706">
        <v>0.95538358650998367</v>
      </c>
      <c r="AX135" s="706">
        <v>0</v>
      </c>
      <c r="AY135" s="706">
        <v>0</v>
      </c>
      <c r="AZ135" s="704">
        <v>0</v>
      </c>
      <c r="BA135" s="706"/>
      <c r="BB135" s="706"/>
      <c r="BC135" s="706"/>
      <c r="BD135" s="706">
        <v>0</v>
      </c>
      <c r="BE135" s="706"/>
      <c r="BF135" s="706">
        <v>0</v>
      </c>
      <c r="BG135" s="706">
        <v>0</v>
      </c>
      <c r="BH135" s="706">
        <v>0</v>
      </c>
      <c r="BI135" s="706">
        <v>0</v>
      </c>
      <c r="BJ135" s="706">
        <v>0</v>
      </c>
      <c r="BK135" s="706">
        <v>0</v>
      </c>
      <c r="BL135" s="706">
        <v>0</v>
      </c>
      <c r="BM135" s="706">
        <v>0</v>
      </c>
      <c r="BN135" s="706">
        <v>0</v>
      </c>
      <c r="BO135" s="704">
        <v>0</v>
      </c>
      <c r="BP135" s="706">
        <v>0</v>
      </c>
      <c r="BQ135" s="706">
        <v>0</v>
      </c>
      <c r="BR135" s="705"/>
      <c r="BS135" s="705">
        <v>113.38014712907231</v>
      </c>
      <c r="BT135" s="704">
        <v>691.22002483997323</v>
      </c>
    </row>
    <row r="136" spans="1:72">
      <c r="A136" s="709" t="s">
        <v>1042</v>
      </c>
      <c r="B136" s="709"/>
      <c r="C136" s="709"/>
      <c r="D136" s="709"/>
      <c r="E136" s="709"/>
      <c r="F136" s="708" t="s">
        <v>1041</v>
      </c>
      <c r="G136" s="708"/>
      <c r="H136" s="707">
        <v>28077.314416738318</v>
      </c>
      <c r="I136" s="704">
        <v>676.19661794210367</v>
      </c>
      <c r="J136" s="706">
        <v>0</v>
      </c>
      <c r="K136" s="706">
        <v>0</v>
      </c>
      <c r="L136" s="706">
        <v>471.81618419795547</v>
      </c>
      <c r="M136" s="706">
        <v>0</v>
      </c>
      <c r="N136" s="706">
        <v>0</v>
      </c>
      <c r="O136" s="706">
        <v>0</v>
      </c>
      <c r="P136" s="706">
        <v>204.38043374414826</v>
      </c>
      <c r="Q136" s="706">
        <v>0</v>
      </c>
      <c r="R136" s="706">
        <v>0</v>
      </c>
      <c r="S136" s="706">
        <v>0</v>
      </c>
      <c r="T136" s="706">
        <v>0</v>
      </c>
      <c r="U136" s="706">
        <v>0</v>
      </c>
      <c r="V136" s="706">
        <v>0</v>
      </c>
      <c r="W136" s="704">
        <v>14421.109200343937</v>
      </c>
      <c r="X136" s="706">
        <v>926.65042514569598</v>
      </c>
      <c r="Y136" s="706">
        <v>0</v>
      </c>
      <c r="Z136" s="706">
        <v>0</v>
      </c>
      <c r="AA136" s="706">
        <v>0</v>
      </c>
      <c r="AB136" s="706"/>
      <c r="AC136" s="706">
        <v>19.728671061431164</v>
      </c>
      <c r="AD136" s="706">
        <v>1131.914588707366</v>
      </c>
      <c r="AE136" s="706">
        <v>1101.0795834527562</v>
      </c>
      <c r="AF136" s="706">
        <v>1890.5130409859557</v>
      </c>
      <c r="AG136" s="706">
        <v>1.0509219451609821</v>
      </c>
      <c r="AH136" s="706">
        <v>0</v>
      </c>
      <c r="AI136" s="706">
        <v>964.57915353014232</v>
      </c>
      <c r="AJ136" s="706">
        <v>45.285182000573229</v>
      </c>
      <c r="AK136" s="706">
        <v>2723.0342982707557</v>
      </c>
      <c r="AL136" s="706">
        <v>5014.3307537976498</v>
      </c>
      <c r="AM136" s="706">
        <v>-207.31823827266646</v>
      </c>
      <c r="AN136" s="706">
        <v>23.956243431737843</v>
      </c>
      <c r="AO136" s="706">
        <v>5.0157638291774145</v>
      </c>
      <c r="AP136" s="706">
        <v>348.38062482086553</v>
      </c>
      <c r="AQ136" s="706">
        <v>427.17588611827648</v>
      </c>
      <c r="AR136" s="706">
        <v>0</v>
      </c>
      <c r="AS136" s="706">
        <v>5.7323015190599023</v>
      </c>
      <c r="AT136" s="704">
        <v>1880.0277061240088</v>
      </c>
      <c r="AU136" s="706">
        <v>1811.1684341263017</v>
      </c>
      <c r="AV136" s="706">
        <v>0</v>
      </c>
      <c r="AW136" s="706">
        <v>68.859271997707083</v>
      </c>
      <c r="AX136" s="706">
        <v>0</v>
      </c>
      <c r="AY136" s="706">
        <v>0</v>
      </c>
      <c r="AZ136" s="704">
        <v>1060.6429731537212</v>
      </c>
      <c r="BA136" s="706">
        <v>0</v>
      </c>
      <c r="BB136" s="706">
        <v>0</v>
      </c>
      <c r="BC136" s="706">
        <v>0</v>
      </c>
      <c r="BD136" s="706">
        <v>0</v>
      </c>
      <c r="BE136" s="706">
        <v>0</v>
      </c>
      <c r="BF136" s="706">
        <v>897.27237986051398</v>
      </c>
      <c r="BG136" s="706">
        <v>0</v>
      </c>
      <c r="BH136" s="706">
        <v>22.069360848380622</v>
      </c>
      <c r="BI136" s="706">
        <v>13.136524314512275</v>
      </c>
      <c r="BJ136" s="706">
        <v>10.819719117225565</v>
      </c>
      <c r="BK136" s="706">
        <v>114.88487627782554</v>
      </c>
      <c r="BL136" s="706">
        <v>0</v>
      </c>
      <c r="BM136" s="706">
        <v>2.4601127352632082</v>
      </c>
      <c r="BN136" s="706">
        <v>0</v>
      </c>
      <c r="BO136" s="704">
        <v>13.136524314512275</v>
      </c>
      <c r="BP136" s="706">
        <v>0</v>
      </c>
      <c r="BQ136" s="706">
        <v>13.136524314512275</v>
      </c>
      <c r="BR136" s="705">
        <v>0</v>
      </c>
      <c r="BS136" s="705">
        <v>421.82573803382058</v>
      </c>
      <c r="BT136" s="704">
        <v>9604.3756568262161</v>
      </c>
    </row>
    <row r="137" spans="1:72">
      <c r="A137" s="665" t="s">
        <v>1040</v>
      </c>
      <c r="B137" s="665"/>
      <c r="C137" s="665"/>
      <c r="D137" s="665"/>
      <c r="E137" s="665"/>
      <c r="F137" s="664" t="s">
        <v>1039</v>
      </c>
      <c r="G137" s="664"/>
      <c r="H137" s="663">
        <v>2328.4369924524694</v>
      </c>
      <c r="I137" s="660">
        <v>53.023789051304099</v>
      </c>
      <c r="J137" s="662">
        <v>0</v>
      </c>
      <c r="K137" s="662">
        <v>0</v>
      </c>
      <c r="L137" s="662">
        <v>53.023789051304099</v>
      </c>
      <c r="M137" s="662">
        <v>0</v>
      </c>
      <c r="N137" s="662">
        <v>0</v>
      </c>
      <c r="O137" s="662">
        <v>0</v>
      </c>
      <c r="P137" s="662">
        <v>0</v>
      </c>
      <c r="Q137" s="662">
        <v>0</v>
      </c>
      <c r="R137" s="662">
        <v>0</v>
      </c>
      <c r="S137" s="662">
        <v>0</v>
      </c>
      <c r="T137" s="662">
        <v>0</v>
      </c>
      <c r="U137" s="662">
        <v>0</v>
      </c>
      <c r="V137" s="662">
        <v>0</v>
      </c>
      <c r="W137" s="660">
        <v>1797.6975255565108</v>
      </c>
      <c r="X137" s="662">
        <v>0</v>
      </c>
      <c r="Y137" s="662">
        <v>0</v>
      </c>
      <c r="Z137" s="662"/>
      <c r="AA137" s="662"/>
      <c r="AB137" s="662"/>
      <c r="AC137" s="662">
        <v>0</v>
      </c>
      <c r="AD137" s="662">
        <v>286.28069169771663</v>
      </c>
      <c r="AE137" s="662">
        <v>709.08569790770991</v>
      </c>
      <c r="AF137" s="662">
        <v>0</v>
      </c>
      <c r="AG137" s="662">
        <v>0</v>
      </c>
      <c r="AH137" s="662">
        <v>0</v>
      </c>
      <c r="AI137" s="662">
        <v>0</v>
      </c>
      <c r="AJ137" s="662">
        <v>0</v>
      </c>
      <c r="AK137" s="662">
        <v>0</v>
      </c>
      <c r="AL137" s="662">
        <v>0</v>
      </c>
      <c r="AM137" s="662">
        <v>0</v>
      </c>
      <c r="AN137" s="662">
        <v>23.956243431737843</v>
      </c>
      <c r="AO137" s="662">
        <v>6.0189165950128976</v>
      </c>
      <c r="AP137" s="662">
        <v>342.79163083978216</v>
      </c>
      <c r="AQ137" s="662">
        <v>423.83204356549152</v>
      </c>
      <c r="AR137" s="662">
        <v>0</v>
      </c>
      <c r="AS137" s="662">
        <v>5.7323015190599023</v>
      </c>
      <c r="AT137" s="660">
        <v>477.71567784465458</v>
      </c>
      <c r="AU137" s="662">
        <v>477.71567784465458</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c r="A140" s="680" t="s">
        <v>968</v>
      </c>
      <c r="B140" s="679" t="s">
        <v>1034</v>
      </c>
      <c r="C140" s="679"/>
      <c r="D140" s="679"/>
      <c r="E140" s="679"/>
      <c r="F140" s="678" t="s">
        <v>1033</v>
      </c>
      <c r="G140" s="678"/>
      <c r="H140" s="677">
        <v>2275.4132034011654</v>
      </c>
      <c r="I140" s="674"/>
      <c r="J140" s="676"/>
      <c r="K140" s="676"/>
      <c r="L140" s="676"/>
      <c r="M140" s="676"/>
      <c r="N140" s="676"/>
      <c r="O140" s="676"/>
      <c r="P140" s="676"/>
      <c r="Q140" s="676"/>
      <c r="R140" s="676"/>
      <c r="S140" s="676"/>
      <c r="T140" s="676"/>
      <c r="U140" s="676"/>
      <c r="V140" s="676"/>
      <c r="W140" s="674">
        <v>1797.6975255565108</v>
      </c>
      <c r="X140" s="676">
        <v>0</v>
      </c>
      <c r="Y140" s="676">
        <v>0</v>
      </c>
      <c r="Z140" s="676"/>
      <c r="AA140" s="676"/>
      <c r="AB140" s="676"/>
      <c r="AC140" s="676">
        <v>0</v>
      </c>
      <c r="AD140" s="676">
        <v>286.28069169771663</v>
      </c>
      <c r="AE140" s="676">
        <v>709.08569790770991</v>
      </c>
      <c r="AF140" s="676">
        <v>0</v>
      </c>
      <c r="AG140" s="676">
        <v>0</v>
      </c>
      <c r="AH140" s="676">
        <v>0</v>
      </c>
      <c r="AI140" s="676">
        <v>0</v>
      </c>
      <c r="AJ140" s="676">
        <v>0</v>
      </c>
      <c r="AK140" s="676">
        <v>0</v>
      </c>
      <c r="AL140" s="676">
        <v>0</v>
      </c>
      <c r="AM140" s="676">
        <v>0</v>
      </c>
      <c r="AN140" s="676">
        <v>23.956243431737843</v>
      </c>
      <c r="AO140" s="676">
        <v>6.0189165950128976</v>
      </c>
      <c r="AP140" s="676">
        <v>342.79163083978216</v>
      </c>
      <c r="AQ140" s="676">
        <v>423.83204356549152</v>
      </c>
      <c r="AR140" s="676">
        <v>0</v>
      </c>
      <c r="AS140" s="676">
        <v>5.7323015190599023</v>
      </c>
      <c r="AT140" s="674">
        <v>477.71567784465458</v>
      </c>
      <c r="AU140" s="676">
        <v>477.71567784465458</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1512.6588325212572</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1034.9431546766027</v>
      </c>
      <c r="X141" s="699"/>
      <c r="Y141" s="699"/>
      <c r="Z141" s="699"/>
      <c r="AA141" s="699"/>
      <c r="AB141" s="699"/>
      <c r="AC141" s="699"/>
      <c r="AD141" s="699">
        <v>286.28069169771663</v>
      </c>
      <c r="AE141" s="699">
        <v>707.98700678322348</v>
      </c>
      <c r="AF141" s="699"/>
      <c r="AG141" s="699"/>
      <c r="AH141" s="699"/>
      <c r="AI141" s="699"/>
      <c r="AJ141" s="699"/>
      <c r="AK141" s="699"/>
      <c r="AL141" s="699"/>
      <c r="AM141" s="699">
        <v>0</v>
      </c>
      <c r="AN141" s="699">
        <v>23.956243431737843</v>
      </c>
      <c r="AO141" s="699"/>
      <c r="AP141" s="699"/>
      <c r="AQ141" s="699">
        <v>16.719212763924716</v>
      </c>
      <c r="AR141" s="699"/>
      <c r="AS141" s="699"/>
      <c r="AT141" s="697">
        <v>477.71567784465458</v>
      </c>
      <c r="AU141" s="699">
        <v>477.71567784465458</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c r="A144" s="695" t="s">
        <v>968</v>
      </c>
      <c r="B144" s="694" t="s">
        <v>1026</v>
      </c>
      <c r="C144" s="694"/>
      <c r="D144" s="694"/>
      <c r="E144" s="694"/>
      <c r="F144" s="693" t="s">
        <v>1025</v>
      </c>
      <c r="G144" s="693"/>
      <c r="H144" s="692">
        <v>53.023789051304099</v>
      </c>
      <c r="I144" s="689">
        <v>53.023789051304099</v>
      </c>
      <c r="J144" s="691">
        <v>0</v>
      </c>
      <c r="K144" s="691">
        <v>0</v>
      </c>
      <c r="L144" s="691">
        <v>53.023789051304099</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c r="A145" s="665" t="s">
        <v>1024</v>
      </c>
      <c r="B145" s="665"/>
      <c r="C145" s="665"/>
      <c r="D145" s="665"/>
      <c r="E145" s="665"/>
      <c r="F145" s="664" t="s">
        <v>1023</v>
      </c>
      <c r="G145" s="664"/>
      <c r="H145" s="663">
        <v>19018.940479602559</v>
      </c>
      <c r="I145" s="660">
        <v>615.21926053310403</v>
      </c>
      <c r="J145" s="662">
        <v>0</v>
      </c>
      <c r="K145" s="662">
        <v>0</v>
      </c>
      <c r="L145" s="662">
        <v>451.01270660170059</v>
      </c>
      <c r="M145" s="662">
        <v>0</v>
      </c>
      <c r="N145" s="662">
        <v>0</v>
      </c>
      <c r="O145" s="662">
        <v>0</v>
      </c>
      <c r="P145" s="662">
        <v>164.20655393140345</v>
      </c>
      <c r="Q145" s="662">
        <v>0</v>
      </c>
      <c r="R145" s="662">
        <v>0</v>
      </c>
      <c r="S145" s="662">
        <v>0</v>
      </c>
      <c r="T145" s="662">
        <v>0</v>
      </c>
      <c r="U145" s="662">
        <v>0</v>
      </c>
      <c r="V145" s="662">
        <v>0</v>
      </c>
      <c r="W145" s="660">
        <v>6812.505971147415</v>
      </c>
      <c r="X145" s="662"/>
      <c r="Y145" s="662"/>
      <c r="Z145" s="662"/>
      <c r="AA145" s="662"/>
      <c r="AB145" s="662"/>
      <c r="AC145" s="662"/>
      <c r="AD145" s="662">
        <v>256.54437756759336</v>
      </c>
      <c r="AE145" s="662">
        <v>178.37011560141397</v>
      </c>
      <c r="AF145" s="662">
        <v>996.10681188497176</v>
      </c>
      <c r="AG145" s="662">
        <v>1.0509219451609821</v>
      </c>
      <c r="AH145" s="662"/>
      <c r="AI145" s="662">
        <v>927.51027037355493</v>
      </c>
      <c r="AJ145" s="662">
        <v>45.285182000573229</v>
      </c>
      <c r="AK145" s="662"/>
      <c r="AL145" s="662">
        <v>4319.4802713289382</v>
      </c>
      <c r="AM145" s="662">
        <v>69.743001815228808</v>
      </c>
      <c r="AN145" s="662"/>
      <c r="AO145" s="662"/>
      <c r="AP145" s="662"/>
      <c r="AQ145" s="662">
        <v>18.391134040317187</v>
      </c>
      <c r="AR145" s="662"/>
      <c r="AS145" s="662"/>
      <c r="AT145" s="660">
        <v>506.97430018152284</v>
      </c>
      <c r="AU145" s="662">
        <v>438.11502818381575</v>
      </c>
      <c r="AV145" s="662">
        <v>0</v>
      </c>
      <c r="AW145" s="662">
        <v>68.859271997707083</v>
      </c>
      <c r="AX145" s="662">
        <v>0</v>
      </c>
      <c r="AY145" s="662">
        <v>0</v>
      </c>
      <c r="AZ145" s="660">
        <v>1045.9300659214673</v>
      </c>
      <c r="BA145" s="662"/>
      <c r="BB145" s="662"/>
      <c r="BC145" s="662"/>
      <c r="BD145" s="662">
        <v>0</v>
      </c>
      <c r="BE145" s="662"/>
      <c r="BF145" s="662">
        <v>897.27237986051398</v>
      </c>
      <c r="BG145" s="662">
        <v>0</v>
      </c>
      <c r="BH145" s="662">
        <v>12.396102034967038</v>
      </c>
      <c r="BI145" s="662">
        <v>13.136524314512275</v>
      </c>
      <c r="BJ145" s="662">
        <v>6.401070029616891</v>
      </c>
      <c r="BK145" s="662">
        <v>114.26387694659405</v>
      </c>
      <c r="BL145" s="662">
        <v>0</v>
      </c>
      <c r="BM145" s="662">
        <v>2.4601127352632082</v>
      </c>
      <c r="BN145" s="662">
        <v>0</v>
      </c>
      <c r="BO145" s="660">
        <v>13.136524314512275</v>
      </c>
      <c r="BP145" s="662">
        <v>0</v>
      </c>
      <c r="BQ145" s="662">
        <v>13.136524314512275</v>
      </c>
      <c r="BR145" s="661"/>
      <c r="BS145" s="661">
        <v>420.79870067832235</v>
      </c>
      <c r="BT145" s="660">
        <v>9604.3756568262161</v>
      </c>
    </row>
    <row r="146" spans="1:72">
      <c r="A146" s="688" t="s">
        <v>968</v>
      </c>
      <c r="B146" s="687" t="s">
        <v>1022</v>
      </c>
      <c r="C146" s="687"/>
      <c r="D146" s="687"/>
      <c r="E146" s="687"/>
      <c r="F146" s="686" t="s">
        <v>1021</v>
      </c>
      <c r="G146" s="686"/>
      <c r="H146" s="685">
        <v>5926.3638100697426</v>
      </c>
      <c r="I146" s="682">
        <v>615.21926053310403</v>
      </c>
      <c r="J146" s="684">
        <v>0</v>
      </c>
      <c r="K146" s="684">
        <v>0</v>
      </c>
      <c r="L146" s="684">
        <v>451.01270660170059</v>
      </c>
      <c r="M146" s="684">
        <v>0</v>
      </c>
      <c r="N146" s="684">
        <v>0</v>
      </c>
      <c r="O146" s="684">
        <v>0</v>
      </c>
      <c r="P146" s="684">
        <v>164.20655393140345</v>
      </c>
      <c r="Q146" s="684">
        <v>0</v>
      </c>
      <c r="R146" s="684">
        <v>0</v>
      </c>
      <c r="S146" s="684">
        <v>0</v>
      </c>
      <c r="T146" s="684">
        <v>0</v>
      </c>
      <c r="U146" s="684">
        <v>0</v>
      </c>
      <c r="V146" s="684">
        <v>0</v>
      </c>
      <c r="W146" s="682">
        <v>814.01070029616892</v>
      </c>
      <c r="X146" s="684"/>
      <c r="Y146" s="684"/>
      <c r="Z146" s="684"/>
      <c r="AA146" s="684"/>
      <c r="AB146" s="684"/>
      <c r="AC146" s="684"/>
      <c r="AD146" s="684">
        <v>256.54437756759336</v>
      </c>
      <c r="AE146" s="684">
        <v>158.54590618133179</v>
      </c>
      <c r="AF146" s="684"/>
      <c r="AG146" s="684"/>
      <c r="AH146" s="684"/>
      <c r="AI146" s="684"/>
      <c r="AJ146" s="684"/>
      <c r="AK146" s="684"/>
      <c r="AL146" s="684">
        <v>362.35310977357409</v>
      </c>
      <c r="AM146" s="684">
        <v>18.152288143689692</v>
      </c>
      <c r="AN146" s="684"/>
      <c r="AO146" s="684"/>
      <c r="AP146" s="684"/>
      <c r="AQ146" s="684">
        <v>18.391134040317187</v>
      </c>
      <c r="AR146" s="684"/>
      <c r="AS146" s="684"/>
      <c r="AT146" s="682">
        <v>361.56491831470333</v>
      </c>
      <c r="AU146" s="684">
        <v>292.70564631699625</v>
      </c>
      <c r="AV146" s="684">
        <v>0</v>
      </c>
      <c r="AW146" s="684">
        <v>68.859271997707083</v>
      </c>
      <c r="AX146" s="684">
        <v>0</v>
      </c>
      <c r="AY146" s="684">
        <v>0</v>
      </c>
      <c r="AZ146" s="682">
        <v>348.66723989681856</v>
      </c>
      <c r="BA146" s="684"/>
      <c r="BB146" s="684"/>
      <c r="BC146" s="684"/>
      <c r="BD146" s="684">
        <v>0</v>
      </c>
      <c r="BE146" s="684"/>
      <c r="BF146" s="684">
        <v>331.27925862233684</v>
      </c>
      <c r="BG146" s="684">
        <v>0</v>
      </c>
      <c r="BH146" s="684">
        <v>4.2514569599694276</v>
      </c>
      <c r="BI146" s="684">
        <v>13.136524314512275</v>
      </c>
      <c r="BJ146" s="684">
        <v>0</v>
      </c>
      <c r="BK146" s="684">
        <v>0</v>
      </c>
      <c r="BL146" s="684">
        <v>0</v>
      </c>
      <c r="BM146" s="684">
        <v>0</v>
      </c>
      <c r="BN146" s="684">
        <v>0</v>
      </c>
      <c r="BO146" s="682">
        <v>13.136524314512275</v>
      </c>
      <c r="BP146" s="684">
        <v>0</v>
      </c>
      <c r="BQ146" s="684">
        <v>13.136524314512275</v>
      </c>
      <c r="BR146" s="683"/>
      <c r="BS146" s="683">
        <v>47.004872456291196</v>
      </c>
      <c r="BT146" s="682">
        <v>3726.7364096684819</v>
      </c>
    </row>
    <row r="147" spans="1:72">
      <c r="A147" s="681"/>
      <c r="B147" s="680" t="s">
        <v>968</v>
      </c>
      <c r="C147" s="679" t="s">
        <v>1020</v>
      </c>
      <c r="D147" s="679"/>
      <c r="E147" s="679"/>
      <c r="F147" s="678" t="s">
        <v>1019</v>
      </c>
      <c r="G147" s="678"/>
      <c r="H147" s="677">
        <v>819.02646412534625</v>
      </c>
      <c r="I147" s="674">
        <v>319.86242476354255</v>
      </c>
      <c r="J147" s="676">
        <v>0</v>
      </c>
      <c r="K147" s="676">
        <v>0</v>
      </c>
      <c r="L147" s="676">
        <v>208.05866055221171</v>
      </c>
      <c r="M147" s="676">
        <v>0</v>
      </c>
      <c r="N147" s="676">
        <v>0</v>
      </c>
      <c r="O147" s="676">
        <v>0</v>
      </c>
      <c r="P147" s="676">
        <v>111.80376421133084</v>
      </c>
      <c r="Q147" s="676">
        <v>0</v>
      </c>
      <c r="R147" s="676">
        <v>0</v>
      </c>
      <c r="S147" s="676">
        <v>0</v>
      </c>
      <c r="T147" s="676">
        <v>0</v>
      </c>
      <c r="U147" s="676">
        <v>0</v>
      </c>
      <c r="V147" s="676">
        <v>0</v>
      </c>
      <c r="W147" s="674">
        <v>18.032865195375944</v>
      </c>
      <c r="X147" s="676"/>
      <c r="Y147" s="676"/>
      <c r="Z147" s="676"/>
      <c r="AA147" s="676"/>
      <c r="AB147" s="676"/>
      <c r="AC147" s="676"/>
      <c r="AD147" s="676"/>
      <c r="AE147" s="676">
        <v>3.2960733734594436</v>
      </c>
      <c r="AF147" s="676"/>
      <c r="AG147" s="676"/>
      <c r="AH147" s="676"/>
      <c r="AI147" s="676"/>
      <c r="AJ147" s="676"/>
      <c r="AK147" s="676"/>
      <c r="AL147" s="676">
        <v>7.2131460781503769</v>
      </c>
      <c r="AM147" s="676">
        <v>0</v>
      </c>
      <c r="AN147" s="676"/>
      <c r="AO147" s="676"/>
      <c r="AP147" s="676"/>
      <c r="AQ147" s="676">
        <v>7.5236457437661217</v>
      </c>
      <c r="AR147" s="676"/>
      <c r="AS147" s="676"/>
      <c r="AT147" s="674">
        <v>47.363141301232446</v>
      </c>
      <c r="AU147" s="676">
        <v>1.0986911244864812</v>
      </c>
      <c r="AV147" s="676">
        <v>0</v>
      </c>
      <c r="AW147" s="676">
        <v>46.26445017674596</v>
      </c>
      <c r="AX147" s="676">
        <v>0</v>
      </c>
      <c r="AY147" s="676">
        <v>0</v>
      </c>
      <c r="AZ147" s="674">
        <v>1.8391134040317187</v>
      </c>
      <c r="BA147" s="676"/>
      <c r="BB147" s="676"/>
      <c r="BC147" s="676"/>
      <c r="BD147" s="676">
        <v>0</v>
      </c>
      <c r="BE147" s="676"/>
      <c r="BF147" s="676">
        <v>1.8391134040317187</v>
      </c>
      <c r="BG147" s="676">
        <v>0</v>
      </c>
      <c r="BH147" s="676">
        <v>0</v>
      </c>
      <c r="BI147" s="676">
        <v>0</v>
      </c>
      <c r="BJ147" s="676">
        <v>0</v>
      </c>
      <c r="BK147" s="676">
        <v>0</v>
      </c>
      <c r="BL147" s="676">
        <v>0</v>
      </c>
      <c r="BM147" s="676">
        <v>0</v>
      </c>
      <c r="BN147" s="676">
        <v>0</v>
      </c>
      <c r="BO147" s="674">
        <v>0</v>
      </c>
      <c r="BP147" s="676">
        <v>0</v>
      </c>
      <c r="BQ147" s="676">
        <v>0</v>
      </c>
      <c r="BR147" s="675"/>
      <c r="BS147" s="675">
        <v>0.11942294831374796</v>
      </c>
      <c r="BT147" s="674">
        <v>431.80949651284988</v>
      </c>
    </row>
    <row r="148" spans="1:72">
      <c r="A148" s="681"/>
      <c r="B148" s="680" t="s">
        <v>968</v>
      </c>
      <c r="C148" s="679" t="s">
        <v>1018</v>
      </c>
      <c r="D148" s="679"/>
      <c r="E148" s="679"/>
      <c r="F148" s="678" t="s">
        <v>1017</v>
      </c>
      <c r="G148" s="678"/>
      <c r="H148" s="677">
        <v>1355.1877328747491</v>
      </c>
      <c r="I148" s="674">
        <v>217.39753511034678</v>
      </c>
      <c r="J148" s="676">
        <v>0</v>
      </c>
      <c r="K148" s="676">
        <v>0</v>
      </c>
      <c r="L148" s="676">
        <v>173.83204356549155</v>
      </c>
      <c r="M148" s="676">
        <v>0</v>
      </c>
      <c r="N148" s="676">
        <v>0</v>
      </c>
      <c r="O148" s="676">
        <v>0</v>
      </c>
      <c r="P148" s="676">
        <v>43.565491544855256</v>
      </c>
      <c r="Q148" s="676">
        <v>0</v>
      </c>
      <c r="R148" s="676">
        <v>0</v>
      </c>
      <c r="S148" s="676">
        <v>0</v>
      </c>
      <c r="T148" s="676">
        <v>0</v>
      </c>
      <c r="U148" s="676">
        <v>0</v>
      </c>
      <c r="V148" s="676">
        <v>0</v>
      </c>
      <c r="W148" s="674">
        <v>314.41673832043563</v>
      </c>
      <c r="X148" s="676"/>
      <c r="Y148" s="676"/>
      <c r="Z148" s="676"/>
      <c r="AA148" s="676"/>
      <c r="AB148" s="676"/>
      <c r="AC148" s="676"/>
      <c r="AD148" s="676">
        <v>256.54437756759336</v>
      </c>
      <c r="AE148" s="676">
        <v>37.427152001528611</v>
      </c>
      <c r="AF148" s="676"/>
      <c r="AG148" s="676"/>
      <c r="AH148" s="676"/>
      <c r="AI148" s="676"/>
      <c r="AJ148" s="676"/>
      <c r="AK148" s="676"/>
      <c r="AL148" s="676">
        <v>18.534441578293684</v>
      </c>
      <c r="AM148" s="676">
        <v>1.9107671730199673</v>
      </c>
      <c r="AN148" s="676"/>
      <c r="AO148" s="676"/>
      <c r="AP148" s="676"/>
      <c r="AQ148" s="676"/>
      <c r="AR148" s="676"/>
      <c r="AS148" s="676"/>
      <c r="AT148" s="674">
        <v>128.73793828222031</v>
      </c>
      <c r="AU148" s="676">
        <v>110.82449603515811</v>
      </c>
      <c r="AV148" s="676">
        <v>0</v>
      </c>
      <c r="AW148" s="676">
        <v>17.913442247062196</v>
      </c>
      <c r="AX148" s="676">
        <v>0</v>
      </c>
      <c r="AY148" s="676">
        <v>0</v>
      </c>
      <c r="AZ148" s="674">
        <v>58.756090570364002</v>
      </c>
      <c r="BA148" s="676"/>
      <c r="BB148" s="676"/>
      <c r="BC148" s="676"/>
      <c r="BD148" s="676">
        <v>0</v>
      </c>
      <c r="BE148" s="676"/>
      <c r="BF148" s="676">
        <v>55.722747683194797</v>
      </c>
      <c r="BG148" s="676">
        <v>0</v>
      </c>
      <c r="BH148" s="676">
        <v>0</v>
      </c>
      <c r="BI148" s="676">
        <v>3.0333428871691983</v>
      </c>
      <c r="BJ148" s="676">
        <v>0</v>
      </c>
      <c r="BK148" s="676">
        <v>0</v>
      </c>
      <c r="BL148" s="676">
        <v>0</v>
      </c>
      <c r="BM148" s="676">
        <v>0</v>
      </c>
      <c r="BN148" s="676">
        <v>0</v>
      </c>
      <c r="BO148" s="674">
        <v>3.0333428871691983</v>
      </c>
      <c r="BP148" s="676">
        <v>0</v>
      </c>
      <c r="BQ148" s="676">
        <v>3.0333428871691983</v>
      </c>
      <c r="BR148" s="675"/>
      <c r="BS148" s="675">
        <v>11.249641731155059</v>
      </c>
      <c r="BT148" s="674">
        <v>621.5725613833954</v>
      </c>
    </row>
    <row r="149" spans="1:72">
      <c r="A149" s="681"/>
      <c r="B149" s="680" t="s">
        <v>968</v>
      </c>
      <c r="C149" s="679" t="s">
        <v>1016</v>
      </c>
      <c r="D149" s="679"/>
      <c r="E149" s="679"/>
      <c r="F149" s="678" t="s">
        <v>1015</v>
      </c>
      <c r="G149" s="678"/>
      <c r="H149" s="677">
        <v>1712.596732588134</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21.13786185153339</v>
      </c>
      <c r="X149" s="676"/>
      <c r="Y149" s="676"/>
      <c r="Z149" s="676"/>
      <c r="AA149" s="676"/>
      <c r="AB149" s="676"/>
      <c r="AC149" s="676"/>
      <c r="AD149" s="676"/>
      <c r="AE149" s="676">
        <v>14.306869207987006</v>
      </c>
      <c r="AF149" s="676"/>
      <c r="AG149" s="676"/>
      <c r="AH149" s="676"/>
      <c r="AI149" s="676"/>
      <c r="AJ149" s="676"/>
      <c r="AK149" s="676"/>
      <c r="AL149" s="676">
        <v>5.1590713671539117</v>
      </c>
      <c r="AM149" s="676">
        <v>0</v>
      </c>
      <c r="AN149" s="676"/>
      <c r="AO149" s="676"/>
      <c r="AP149" s="676"/>
      <c r="AQ149" s="676">
        <v>1.6719212763924716</v>
      </c>
      <c r="AR149" s="676"/>
      <c r="AS149" s="676"/>
      <c r="AT149" s="674">
        <v>36.591191363332378</v>
      </c>
      <c r="AU149" s="676">
        <v>36.591191363332378</v>
      </c>
      <c r="AV149" s="676">
        <v>0</v>
      </c>
      <c r="AW149" s="676">
        <v>0</v>
      </c>
      <c r="AX149" s="676">
        <v>0</v>
      </c>
      <c r="AY149" s="676">
        <v>0</v>
      </c>
      <c r="AZ149" s="674">
        <v>0</v>
      </c>
      <c r="BA149" s="676"/>
      <c r="BB149" s="676"/>
      <c r="BC149" s="676"/>
      <c r="BD149" s="676">
        <v>0</v>
      </c>
      <c r="BE149" s="676"/>
      <c r="BF149" s="676">
        <v>0</v>
      </c>
      <c r="BG149" s="676">
        <v>0</v>
      </c>
      <c r="BH149" s="676">
        <v>0</v>
      </c>
      <c r="BI149" s="676">
        <v>0</v>
      </c>
      <c r="BJ149" s="676">
        <v>0</v>
      </c>
      <c r="BK149" s="676">
        <v>0</v>
      </c>
      <c r="BL149" s="676">
        <v>0</v>
      </c>
      <c r="BM149" s="676">
        <v>0</v>
      </c>
      <c r="BN149" s="676">
        <v>0</v>
      </c>
      <c r="BO149" s="674">
        <v>0</v>
      </c>
      <c r="BP149" s="676">
        <v>0</v>
      </c>
      <c r="BQ149" s="676">
        <v>0</v>
      </c>
      <c r="BR149" s="675"/>
      <c r="BS149" s="675">
        <v>0.78819145887073661</v>
      </c>
      <c r="BT149" s="674">
        <v>1654.0794879143975</v>
      </c>
    </row>
    <row r="150" spans="1:72">
      <c r="A150" s="681"/>
      <c r="B150" s="680" t="s">
        <v>968</v>
      </c>
      <c r="C150" s="679" t="s">
        <v>1014</v>
      </c>
      <c r="D150" s="679"/>
      <c r="E150" s="679"/>
      <c r="F150" s="678" t="s">
        <v>1013</v>
      </c>
      <c r="G150" s="678"/>
      <c r="H150" s="677">
        <v>332.73621859176455</v>
      </c>
      <c r="I150" s="674">
        <v>77.983185248877419</v>
      </c>
      <c r="J150" s="676">
        <v>0</v>
      </c>
      <c r="K150" s="676">
        <v>0</v>
      </c>
      <c r="L150" s="676">
        <v>69.122002483997321</v>
      </c>
      <c r="M150" s="676">
        <v>0</v>
      </c>
      <c r="N150" s="676">
        <v>0</v>
      </c>
      <c r="O150" s="676">
        <v>0</v>
      </c>
      <c r="P150" s="676">
        <v>8.8372981752173487</v>
      </c>
      <c r="Q150" s="676">
        <v>0</v>
      </c>
      <c r="R150" s="676">
        <v>0</v>
      </c>
      <c r="S150" s="676">
        <v>0</v>
      </c>
      <c r="T150" s="676">
        <v>0</v>
      </c>
      <c r="U150" s="676">
        <v>0</v>
      </c>
      <c r="V150" s="676">
        <v>0</v>
      </c>
      <c r="W150" s="674">
        <v>77.792108531575423</v>
      </c>
      <c r="X150" s="676"/>
      <c r="Y150" s="676"/>
      <c r="Z150" s="676"/>
      <c r="AA150" s="676"/>
      <c r="AB150" s="676"/>
      <c r="AC150" s="676"/>
      <c r="AD150" s="676"/>
      <c r="AE150" s="676">
        <v>41.845801089137289</v>
      </c>
      <c r="AF150" s="676"/>
      <c r="AG150" s="676"/>
      <c r="AH150" s="676"/>
      <c r="AI150" s="676"/>
      <c r="AJ150" s="676"/>
      <c r="AK150" s="676"/>
      <c r="AL150" s="676">
        <v>26.774625011942295</v>
      </c>
      <c r="AM150" s="676">
        <v>0</v>
      </c>
      <c r="AN150" s="676"/>
      <c r="AO150" s="676"/>
      <c r="AP150" s="676"/>
      <c r="AQ150" s="676">
        <v>9.1955670201585935</v>
      </c>
      <c r="AR150" s="676"/>
      <c r="AS150" s="676"/>
      <c r="AT150" s="674">
        <v>55.460017196904552</v>
      </c>
      <c r="AU150" s="676">
        <v>50.778637623005636</v>
      </c>
      <c r="AV150" s="676">
        <v>0</v>
      </c>
      <c r="AW150" s="676">
        <v>4.6813795738989201</v>
      </c>
      <c r="AX150" s="676">
        <v>0</v>
      </c>
      <c r="AY150" s="676">
        <v>0</v>
      </c>
      <c r="AZ150" s="674">
        <v>34.608770421324159</v>
      </c>
      <c r="BA150" s="676"/>
      <c r="BB150" s="676"/>
      <c r="BC150" s="676"/>
      <c r="BD150" s="676">
        <v>0</v>
      </c>
      <c r="BE150" s="676"/>
      <c r="BF150" s="676">
        <v>24.505588993981082</v>
      </c>
      <c r="BG150" s="676">
        <v>0</v>
      </c>
      <c r="BH150" s="676">
        <v>0</v>
      </c>
      <c r="BI150" s="676">
        <v>10.103181427343078</v>
      </c>
      <c r="BJ150" s="676">
        <v>0</v>
      </c>
      <c r="BK150" s="676">
        <v>0</v>
      </c>
      <c r="BL150" s="676">
        <v>0</v>
      </c>
      <c r="BM150" s="676">
        <v>0</v>
      </c>
      <c r="BN150" s="676">
        <v>0</v>
      </c>
      <c r="BO150" s="674">
        <v>10.103181427343078</v>
      </c>
      <c r="BP150" s="676">
        <v>0</v>
      </c>
      <c r="BQ150" s="676">
        <v>10.103181427343078</v>
      </c>
      <c r="BR150" s="675"/>
      <c r="BS150" s="675">
        <v>9.553835865099837E-2</v>
      </c>
      <c r="BT150" s="674">
        <v>76.693417407088944</v>
      </c>
    </row>
    <row r="151" spans="1:72">
      <c r="A151" s="681"/>
      <c r="B151" s="680" t="s">
        <v>968</v>
      </c>
      <c r="C151" s="679" t="s">
        <v>1012</v>
      </c>
      <c r="D151" s="679"/>
      <c r="E151" s="679"/>
      <c r="F151" s="678" t="s">
        <v>1011</v>
      </c>
      <c r="G151" s="678"/>
      <c r="H151" s="677">
        <v>62.458201968090187</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11.67956434508455</v>
      </c>
      <c r="X151" s="676"/>
      <c r="Y151" s="676"/>
      <c r="Z151" s="676"/>
      <c r="AA151" s="676"/>
      <c r="AB151" s="676"/>
      <c r="AC151" s="676"/>
      <c r="AD151" s="676"/>
      <c r="AE151" s="676">
        <v>5.493455622432406</v>
      </c>
      <c r="AF151" s="676"/>
      <c r="AG151" s="676"/>
      <c r="AH151" s="676"/>
      <c r="AI151" s="676"/>
      <c r="AJ151" s="676"/>
      <c r="AK151" s="676"/>
      <c r="AL151" s="676">
        <v>6.1861087226521443</v>
      </c>
      <c r="AM151" s="676">
        <v>0</v>
      </c>
      <c r="AN151" s="676"/>
      <c r="AO151" s="676"/>
      <c r="AP151" s="676"/>
      <c r="AQ151" s="676"/>
      <c r="AR151" s="676"/>
      <c r="AS151" s="676"/>
      <c r="AT151" s="674">
        <v>1.4330753797649756</v>
      </c>
      <c r="AU151" s="676">
        <v>1.4330753797649756</v>
      </c>
      <c r="AV151" s="676">
        <v>0</v>
      </c>
      <c r="AW151" s="676">
        <v>0</v>
      </c>
      <c r="AX151" s="676">
        <v>0</v>
      </c>
      <c r="AY151" s="676">
        <v>0</v>
      </c>
      <c r="AZ151" s="674">
        <v>7.1653768988248781E-2</v>
      </c>
      <c r="BA151" s="676"/>
      <c r="BB151" s="676"/>
      <c r="BC151" s="676"/>
      <c r="BD151" s="676">
        <v>0</v>
      </c>
      <c r="BE151" s="676"/>
      <c r="BF151" s="676">
        <v>7.1653768988248781E-2</v>
      </c>
      <c r="BG151" s="676">
        <v>0</v>
      </c>
      <c r="BH151" s="676">
        <v>0</v>
      </c>
      <c r="BI151" s="676">
        <v>0</v>
      </c>
      <c r="BJ151" s="676">
        <v>0</v>
      </c>
      <c r="BK151" s="676">
        <v>0</v>
      </c>
      <c r="BL151" s="676">
        <v>0</v>
      </c>
      <c r="BM151" s="676">
        <v>0</v>
      </c>
      <c r="BN151" s="676">
        <v>0</v>
      </c>
      <c r="BO151" s="674">
        <v>0</v>
      </c>
      <c r="BP151" s="676">
        <v>0</v>
      </c>
      <c r="BQ151" s="676">
        <v>0</v>
      </c>
      <c r="BR151" s="675"/>
      <c r="BS151" s="675">
        <v>2.746727811216203</v>
      </c>
      <c r="BT151" s="674">
        <v>46.527180663036205</v>
      </c>
    </row>
    <row r="152" spans="1:72">
      <c r="A152" s="681"/>
      <c r="B152" s="680" t="s">
        <v>968</v>
      </c>
      <c r="C152" s="679" t="s">
        <v>1010</v>
      </c>
      <c r="D152" s="679"/>
      <c r="E152" s="679"/>
      <c r="F152" s="678" t="s">
        <v>1009</v>
      </c>
      <c r="G152" s="678"/>
      <c r="H152" s="677">
        <v>123.22059807012515</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13.51867774911627</v>
      </c>
      <c r="X152" s="676"/>
      <c r="Y152" s="676"/>
      <c r="Z152" s="676"/>
      <c r="AA152" s="676"/>
      <c r="AB152" s="676"/>
      <c r="AC152" s="676"/>
      <c r="AD152" s="676"/>
      <c r="AE152" s="676">
        <v>2.1973822489729624</v>
      </c>
      <c r="AF152" s="676"/>
      <c r="AG152" s="676"/>
      <c r="AH152" s="676"/>
      <c r="AI152" s="676"/>
      <c r="AJ152" s="676"/>
      <c r="AK152" s="676"/>
      <c r="AL152" s="676">
        <v>11.321295500143307</v>
      </c>
      <c r="AM152" s="676">
        <v>0</v>
      </c>
      <c r="AN152" s="676"/>
      <c r="AO152" s="676"/>
      <c r="AP152" s="676"/>
      <c r="AQ152" s="676"/>
      <c r="AR152" s="676"/>
      <c r="AS152" s="676"/>
      <c r="AT152" s="674">
        <v>5.6845323397344032</v>
      </c>
      <c r="AU152" s="676">
        <v>5.6845323397344032</v>
      </c>
      <c r="AV152" s="676">
        <v>0</v>
      </c>
      <c r="AW152" s="676">
        <v>0</v>
      </c>
      <c r="AX152" s="676">
        <v>0</v>
      </c>
      <c r="AY152" s="676">
        <v>0</v>
      </c>
      <c r="AZ152" s="674">
        <v>0.19107671730199674</v>
      </c>
      <c r="BA152" s="676"/>
      <c r="BB152" s="676"/>
      <c r="BC152" s="676"/>
      <c r="BD152" s="676">
        <v>0</v>
      </c>
      <c r="BE152" s="676"/>
      <c r="BF152" s="676">
        <v>0.19107671730199674</v>
      </c>
      <c r="BG152" s="676">
        <v>0</v>
      </c>
      <c r="BH152" s="676">
        <v>0</v>
      </c>
      <c r="BI152" s="676">
        <v>0</v>
      </c>
      <c r="BJ152" s="676">
        <v>0</v>
      </c>
      <c r="BK152" s="676">
        <v>0</v>
      </c>
      <c r="BL152" s="676">
        <v>0</v>
      </c>
      <c r="BM152" s="676">
        <v>0</v>
      </c>
      <c r="BN152" s="676">
        <v>0</v>
      </c>
      <c r="BO152" s="674">
        <v>0</v>
      </c>
      <c r="BP152" s="676">
        <v>0</v>
      </c>
      <c r="BQ152" s="676">
        <v>0</v>
      </c>
      <c r="BR152" s="675"/>
      <c r="BS152" s="675">
        <v>3.7259959873889366</v>
      </c>
      <c r="BT152" s="674">
        <v>100.07643068692079</v>
      </c>
    </row>
    <row r="153" spans="1:72">
      <c r="A153" s="681"/>
      <c r="B153" s="680" t="s">
        <v>968</v>
      </c>
      <c r="C153" s="679" t="s">
        <v>1008</v>
      </c>
      <c r="D153" s="679"/>
      <c r="E153" s="679"/>
      <c r="F153" s="678" t="s">
        <v>1007</v>
      </c>
      <c r="G153" s="678"/>
      <c r="H153" s="677">
        <v>128.7857074615458</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73.158498137001999</v>
      </c>
      <c r="X153" s="676"/>
      <c r="Y153" s="676"/>
      <c r="Z153" s="676"/>
      <c r="AA153" s="676"/>
      <c r="AB153" s="676"/>
      <c r="AC153" s="676"/>
      <c r="AD153" s="676"/>
      <c r="AE153" s="676">
        <v>1.0986911244864812</v>
      </c>
      <c r="AF153" s="676"/>
      <c r="AG153" s="676"/>
      <c r="AH153" s="676"/>
      <c r="AI153" s="676"/>
      <c r="AJ153" s="676"/>
      <c r="AK153" s="676"/>
      <c r="AL153" s="676">
        <v>72.05980701251552</v>
      </c>
      <c r="AM153" s="676">
        <v>0</v>
      </c>
      <c r="AN153" s="676"/>
      <c r="AO153" s="676"/>
      <c r="AP153" s="676"/>
      <c r="AQ153" s="676"/>
      <c r="AR153" s="676"/>
      <c r="AS153" s="676"/>
      <c r="AT153" s="674">
        <v>4.1559186013184295</v>
      </c>
      <c r="AU153" s="676">
        <v>4.1559186013184295</v>
      </c>
      <c r="AV153" s="676">
        <v>0</v>
      </c>
      <c r="AW153" s="676">
        <v>0</v>
      </c>
      <c r="AX153" s="676">
        <v>0</v>
      </c>
      <c r="AY153" s="676">
        <v>0</v>
      </c>
      <c r="AZ153" s="674">
        <v>1.0270373554982324</v>
      </c>
      <c r="BA153" s="676"/>
      <c r="BB153" s="676"/>
      <c r="BC153" s="676"/>
      <c r="BD153" s="676">
        <v>0</v>
      </c>
      <c r="BE153" s="676"/>
      <c r="BF153" s="676">
        <v>1.0270373554982324</v>
      </c>
      <c r="BG153" s="676">
        <v>0</v>
      </c>
      <c r="BH153" s="676">
        <v>0</v>
      </c>
      <c r="BI153" s="676">
        <v>0</v>
      </c>
      <c r="BJ153" s="676">
        <v>0</v>
      </c>
      <c r="BK153" s="676">
        <v>0</v>
      </c>
      <c r="BL153" s="676">
        <v>0</v>
      </c>
      <c r="BM153" s="676">
        <v>0</v>
      </c>
      <c r="BN153" s="676">
        <v>0</v>
      </c>
      <c r="BO153" s="674">
        <v>0</v>
      </c>
      <c r="BP153" s="676">
        <v>0</v>
      </c>
      <c r="BQ153" s="676">
        <v>0</v>
      </c>
      <c r="BR153" s="675"/>
      <c r="BS153" s="675">
        <v>0.14330753797649756</v>
      </c>
      <c r="BT153" s="674">
        <v>50.300945829750646</v>
      </c>
    </row>
    <row r="154" spans="1:72">
      <c r="A154" s="681"/>
      <c r="B154" s="680" t="s">
        <v>968</v>
      </c>
      <c r="C154" s="679" t="s">
        <v>1006</v>
      </c>
      <c r="D154" s="679"/>
      <c r="E154" s="679"/>
      <c r="F154" s="678" t="s">
        <v>1005</v>
      </c>
      <c r="G154" s="678"/>
      <c r="H154" s="677">
        <v>376.73163275054935</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77.959300659214676</v>
      </c>
      <c r="X154" s="676"/>
      <c r="Y154" s="676"/>
      <c r="Z154" s="676"/>
      <c r="AA154" s="676"/>
      <c r="AB154" s="676"/>
      <c r="AC154" s="676"/>
      <c r="AD154" s="676"/>
      <c r="AE154" s="676">
        <v>27.51504729148753</v>
      </c>
      <c r="AF154" s="676"/>
      <c r="AG154" s="676"/>
      <c r="AH154" s="676"/>
      <c r="AI154" s="676"/>
      <c r="AJ154" s="676"/>
      <c r="AK154" s="676"/>
      <c r="AL154" s="676">
        <v>50.444253367727143</v>
      </c>
      <c r="AM154" s="676">
        <v>0</v>
      </c>
      <c r="AN154" s="676"/>
      <c r="AO154" s="676"/>
      <c r="AP154" s="676"/>
      <c r="AQ154" s="676"/>
      <c r="AR154" s="676"/>
      <c r="AS154" s="676"/>
      <c r="AT154" s="674">
        <v>56.678131269704785</v>
      </c>
      <c r="AU154" s="676">
        <v>56.678131269704785</v>
      </c>
      <c r="AV154" s="676">
        <v>0</v>
      </c>
      <c r="AW154" s="676">
        <v>0</v>
      </c>
      <c r="AX154" s="676">
        <v>0</v>
      </c>
      <c r="AY154" s="676">
        <v>0</v>
      </c>
      <c r="AZ154" s="674">
        <v>3.9887264736791819</v>
      </c>
      <c r="BA154" s="676"/>
      <c r="BB154" s="676"/>
      <c r="BC154" s="676"/>
      <c r="BD154" s="676">
        <v>0</v>
      </c>
      <c r="BE154" s="676"/>
      <c r="BF154" s="676">
        <v>3.9887264736791819</v>
      </c>
      <c r="BG154" s="676">
        <v>0</v>
      </c>
      <c r="BH154" s="676">
        <v>0</v>
      </c>
      <c r="BI154" s="676">
        <v>0</v>
      </c>
      <c r="BJ154" s="676">
        <v>0</v>
      </c>
      <c r="BK154" s="676">
        <v>0</v>
      </c>
      <c r="BL154" s="676">
        <v>0</v>
      </c>
      <c r="BM154" s="676">
        <v>0</v>
      </c>
      <c r="BN154" s="676">
        <v>0</v>
      </c>
      <c r="BO154" s="674">
        <v>0</v>
      </c>
      <c r="BP154" s="676">
        <v>0</v>
      </c>
      <c r="BQ154" s="676">
        <v>0</v>
      </c>
      <c r="BR154" s="675"/>
      <c r="BS154" s="675">
        <v>14.880099359892997</v>
      </c>
      <c r="BT154" s="674">
        <v>223.22537498805769</v>
      </c>
    </row>
    <row r="155" spans="1:72">
      <c r="A155" s="681"/>
      <c r="B155" s="680" t="s">
        <v>968</v>
      </c>
      <c r="C155" s="679" t="s">
        <v>1004</v>
      </c>
      <c r="D155" s="679"/>
      <c r="E155" s="679"/>
      <c r="F155" s="678" t="s">
        <v>1003</v>
      </c>
      <c r="G155" s="678"/>
      <c r="H155" s="677">
        <v>511.7512181140728</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20.49297793063915</v>
      </c>
      <c r="X155" s="676"/>
      <c r="Y155" s="676"/>
      <c r="Z155" s="676"/>
      <c r="AA155" s="676"/>
      <c r="AB155" s="676"/>
      <c r="AC155" s="676"/>
      <c r="AD155" s="676"/>
      <c r="AE155" s="676">
        <v>2.1973822489729624</v>
      </c>
      <c r="AF155" s="676"/>
      <c r="AG155" s="676"/>
      <c r="AH155" s="676"/>
      <c r="AI155" s="676"/>
      <c r="AJ155" s="676"/>
      <c r="AK155" s="676"/>
      <c r="AL155" s="676">
        <v>2.0540747109964648</v>
      </c>
      <c r="AM155" s="676">
        <v>16.241520970669722</v>
      </c>
      <c r="AN155" s="676"/>
      <c r="AO155" s="676"/>
      <c r="AP155" s="676"/>
      <c r="AQ155" s="676"/>
      <c r="AR155" s="676"/>
      <c r="AS155" s="676"/>
      <c r="AT155" s="674">
        <v>8.3357217922996085</v>
      </c>
      <c r="AU155" s="676">
        <v>8.3357217922996085</v>
      </c>
      <c r="AV155" s="676">
        <v>0</v>
      </c>
      <c r="AW155" s="676">
        <v>0</v>
      </c>
      <c r="AX155" s="676">
        <v>0</v>
      </c>
      <c r="AY155" s="676">
        <v>0</v>
      </c>
      <c r="AZ155" s="674">
        <v>163.6572083691602</v>
      </c>
      <c r="BA155" s="676"/>
      <c r="BB155" s="676"/>
      <c r="BC155" s="676"/>
      <c r="BD155" s="676">
        <v>0</v>
      </c>
      <c r="BE155" s="676"/>
      <c r="BF155" s="676">
        <v>159.40575140919077</v>
      </c>
      <c r="BG155" s="676">
        <v>0</v>
      </c>
      <c r="BH155" s="676">
        <v>4.2514569599694276</v>
      </c>
      <c r="BI155" s="676">
        <v>0</v>
      </c>
      <c r="BJ155" s="676">
        <v>0</v>
      </c>
      <c r="BK155" s="676">
        <v>0</v>
      </c>
      <c r="BL155" s="676">
        <v>0</v>
      </c>
      <c r="BM155" s="676">
        <v>0</v>
      </c>
      <c r="BN155" s="676">
        <v>0</v>
      </c>
      <c r="BO155" s="674">
        <v>0</v>
      </c>
      <c r="BP155" s="676">
        <v>0</v>
      </c>
      <c r="BQ155" s="676">
        <v>0</v>
      </c>
      <c r="BR155" s="675"/>
      <c r="BS155" s="675">
        <v>6.2577624916403929</v>
      </c>
      <c r="BT155" s="674">
        <v>312.98366294067068</v>
      </c>
    </row>
    <row r="156" spans="1:72">
      <c r="A156" s="681"/>
      <c r="B156" s="680" t="s">
        <v>968</v>
      </c>
      <c r="C156" s="679" t="s">
        <v>1002</v>
      </c>
      <c r="D156" s="679"/>
      <c r="E156" s="679"/>
      <c r="F156" s="678" t="s">
        <v>1001</v>
      </c>
      <c r="G156" s="678"/>
      <c r="H156" s="677">
        <v>147.53511034680423</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7.2131460781503769</v>
      </c>
      <c r="X156" s="676"/>
      <c r="Y156" s="676"/>
      <c r="Z156" s="676"/>
      <c r="AA156" s="676"/>
      <c r="AB156" s="676"/>
      <c r="AC156" s="676"/>
      <c r="AD156" s="676"/>
      <c r="AE156" s="676"/>
      <c r="AF156" s="676"/>
      <c r="AG156" s="676"/>
      <c r="AH156" s="676"/>
      <c r="AI156" s="676"/>
      <c r="AJ156" s="676"/>
      <c r="AK156" s="676"/>
      <c r="AL156" s="676">
        <v>7.2131460781503769</v>
      </c>
      <c r="AM156" s="676">
        <v>0</v>
      </c>
      <c r="AN156" s="676"/>
      <c r="AO156" s="676"/>
      <c r="AP156" s="676"/>
      <c r="AQ156" s="676"/>
      <c r="AR156" s="676"/>
      <c r="AS156" s="676"/>
      <c r="AT156" s="674">
        <v>4.8963408808636668</v>
      </c>
      <c r="AU156" s="676">
        <v>4.8963408808636668</v>
      </c>
      <c r="AV156" s="676">
        <v>0</v>
      </c>
      <c r="AW156" s="676">
        <v>0</v>
      </c>
      <c r="AX156" s="676">
        <v>0</v>
      </c>
      <c r="AY156" s="676">
        <v>0</v>
      </c>
      <c r="AZ156" s="674">
        <v>76.359033151810451</v>
      </c>
      <c r="BA156" s="676"/>
      <c r="BB156" s="676"/>
      <c r="BC156" s="676"/>
      <c r="BD156" s="676">
        <v>0</v>
      </c>
      <c r="BE156" s="676"/>
      <c r="BF156" s="676">
        <v>76.359033151810451</v>
      </c>
      <c r="BG156" s="676">
        <v>0</v>
      </c>
      <c r="BH156" s="676">
        <v>0</v>
      </c>
      <c r="BI156" s="676">
        <v>0</v>
      </c>
      <c r="BJ156" s="676">
        <v>0</v>
      </c>
      <c r="BK156" s="676">
        <v>0</v>
      </c>
      <c r="BL156" s="676">
        <v>0</v>
      </c>
      <c r="BM156" s="676">
        <v>0</v>
      </c>
      <c r="BN156" s="676">
        <v>0</v>
      </c>
      <c r="BO156" s="674">
        <v>0</v>
      </c>
      <c r="BP156" s="676">
        <v>0</v>
      </c>
      <c r="BQ156" s="676">
        <v>0</v>
      </c>
      <c r="BR156" s="675"/>
      <c r="BS156" s="675">
        <v>6.7115696952326358</v>
      </c>
      <c r="BT156" s="674">
        <v>52.355020540747105</v>
      </c>
    </row>
    <row r="157" spans="1:72">
      <c r="A157" s="681"/>
      <c r="B157" s="680" t="s">
        <v>968</v>
      </c>
      <c r="C157" s="679" t="s">
        <v>1000</v>
      </c>
      <c r="D157" s="679"/>
      <c r="E157" s="679"/>
      <c r="F157" s="678" t="s">
        <v>999</v>
      </c>
      <c r="G157" s="678"/>
      <c r="H157" s="677">
        <v>279.09143020922897</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164.01547721410145</v>
      </c>
      <c r="X157" s="676"/>
      <c r="Y157" s="676"/>
      <c r="Z157" s="676"/>
      <c r="AA157" s="676"/>
      <c r="AB157" s="676"/>
      <c r="AC157" s="676"/>
      <c r="AD157" s="676"/>
      <c r="AE157" s="676">
        <v>20.922900544568645</v>
      </c>
      <c r="AF157" s="676"/>
      <c r="AG157" s="676"/>
      <c r="AH157" s="676"/>
      <c r="AI157" s="676"/>
      <c r="AJ157" s="676"/>
      <c r="AK157" s="676"/>
      <c r="AL157" s="676">
        <v>143.0925766695328</v>
      </c>
      <c r="AM157" s="676">
        <v>0</v>
      </c>
      <c r="AN157" s="676"/>
      <c r="AO157" s="676"/>
      <c r="AP157" s="676"/>
      <c r="AQ157" s="676"/>
      <c r="AR157" s="676"/>
      <c r="AS157" s="676"/>
      <c r="AT157" s="674">
        <v>0.76430686920798696</v>
      </c>
      <c r="AU157" s="676">
        <v>0.76430686920798696</v>
      </c>
      <c r="AV157" s="676">
        <v>0</v>
      </c>
      <c r="AW157" s="676">
        <v>0</v>
      </c>
      <c r="AX157" s="676">
        <v>0</v>
      </c>
      <c r="AY157" s="676">
        <v>0</v>
      </c>
      <c r="AZ157" s="674">
        <v>4.5141874462596734</v>
      </c>
      <c r="BA157" s="676"/>
      <c r="BB157" s="676"/>
      <c r="BC157" s="676"/>
      <c r="BD157" s="676">
        <v>0</v>
      </c>
      <c r="BE157" s="676"/>
      <c r="BF157" s="676">
        <v>4.5141874462596734</v>
      </c>
      <c r="BG157" s="676">
        <v>0</v>
      </c>
      <c r="BH157" s="676">
        <v>0</v>
      </c>
      <c r="BI157" s="676">
        <v>0</v>
      </c>
      <c r="BJ157" s="676">
        <v>0</v>
      </c>
      <c r="BK157" s="676">
        <v>0</v>
      </c>
      <c r="BL157" s="676">
        <v>0</v>
      </c>
      <c r="BM157" s="676">
        <v>0</v>
      </c>
      <c r="BN157" s="676">
        <v>0</v>
      </c>
      <c r="BO157" s="674">
        <v>0</v>
      </c>
      <c r="BP157" s="676">
        <v>0</v>
      </c>
      <c r="BQ157" s="676">
        <v>0</v>
      </c>
      <c r="BR157" s="675"/>
      <c r="BS157" s="675">
        <v>0</v>
      </c>
      <c r="BT157" s="674">
        <v>109.79745867965988</v>
      </c>
    </row>
    <row r="158" spans="1:72">
      <c r="A158" s="681"/>
      <c r="B158" s="680" t="s">
        <v>968</v>
      </c>
      <c r="C158" s="679" t="s">
        <v>998</v>
      </c>
      <c r="D158" s="679"/>
      <c r="E158" s="679"/>
      <c r="F158" s="678" t="s">
        <v>997</v>
      </c>
      <c r="G158" s="678"/>
      <c r="H158" s="677">
        <v>9.7449125824018346</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2.1257284799847138</v>
      </c>
      <c r="X158" s="676"/>
      <c r="Y158" s="676"/>
      <c r="Z158" s="676"/>
      <c r="AA158" s="676"/>
      <c r="AB158" s="676"/>
      <c r="AC158" s="676"/>
      <c r="AD158" s="676"/>
      <c r="AE158" s="676">
        <v>1.0986911244864812</v>
      </c>
      <c r="AF158" s="676"/>
      <c r="AG158" s="676"/>
      <c r="AH158" s="676"/>
      <c r="AI158" s="676"/>
      <c r="AJ158" s="676"/>
      <c r="AK158" s="676"/>
      <c r="AL158" s="676">
        <v>1.0270373554982324</v>
      </c>
      <c r="AM158" s="676">
        <v>0</v>
      </c>
      <c r="AN158" s="676"/>
      <c r="AO158" s="676"/>
      <c r="AP158" s="676"/>
      <c r="AQ158" s="676"/>
      <c r="AR158" s="676"/>
      <c r="AS158" s="676"/>
      <c r="AT158" s="674">
        <v>0.5493455622432406</v>
      </c>
      <c r="AU158" s="676">
        <v>0.5493455622432406</v>
      </c>
      <c r="AV158" s="676">
        <v>0</v>
      </c>
      <c r="AW158" s="676">
        <v>0</v>
      </c>
      <c r="AX158" s="676">
        <v>0</v>
      </c>
      <c r="AY158" s="676">
        <v>0</v>
      </c>
      <c r="AZ158" s="674">
        <v>0</v>
      </c>
      <c r="BA158" s="676"/>
      <c r="BB158" s="676"/>
      <c r="BC158" s="676"/>
      <c r="BD158" s="676">
        <v>0</v>
      </c>
      <c r="BE158" s="676"/>
      <c r="BF158" s="676">
        <v>0</v>
      </c>
      <c r="BG158" s="676">
        <v>0</v>
      </c>
      <c r="BH158" s="676">
        <v>0</v>
      </c>
      <c r="BI158" s="676">
        <v>0</v>
      </c>
      <c r="BJ158" s="676">
        <v>0</v>
      </c>
      <c r="BK158" s="676">
        <v>0</v>
      </c>
      <c r="BL158" s="676">
        <v>0</v>
      </c>
      <c r="BM158" s="676">
        <v>0</v>
      </c>
      <c r="BN158" s="676">
        <v>0</v>
      </c>
      <c r="BO158" s="674">
        <v>0</v>
      </c>
      <c r="BP158" s="676">
        <v>0</v>
      </c>
      <c r="BQ158" s="676">
        <v>0</v>
      </c>
      <c r="BR158" s="675"/>
      <c r="BS158" s="675">
        <v>0</v>
      </c>
      <c r="BT158" s="674">
        <v>7.0459539505111302</v>
      </c>
    </row>
    <row r="159" spans="1:72">
      <c r="A159" s="681"/>
      <c r="B159" s="680" t="s">
        <v>968</v>
      </c>
      <c r="C159" s="679" t="s">
        <v>996</v>
      </c>
      <c r="D159" s="679"/>
      <c r="E159" s="679"/>
      <c r="F159" s="678" t="s">
        <v>995</v>
      </c>
      <c r="G159" s="678"/>
      <c r="H159" s="677">
        <v>67.473965797267596</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12.419986624629788</v>
      </c>
      <c r="X159" s="676"/>
      <c r="Y159" s="676"/>
      <c r="Z159" s="676"/>
      <c r="AA159" s="676"/>
      <c r="AB159" s="676"/>
      <c r="AC159" s="676"/>
      <c r="AD159" s="676"/>
      <c r="AE159" s="676">
        <v>1.0986911244864812</v>
      </c>
      <c r="AF159" s="676"/>
      <c r="AG159" s="676"/>
      <c r="AH159" s="676"/>
      <c r="AI159" s="676"/>
      <c r="AJ159" s="676"/>
      <c r="AK159" s="676"/>
      <c r="AL159" s="676">
        <v>11.321295500143307</v>
      </c>
      <c r="AM159" s="676">
        <v>0</v>
      </c>
      <c r="AN159" s="676"/>
      <c r="AO159" s="676"/>
      <c r="AP159" s="676"/>
      <c r="AQ159" s="676"/>
      <c r="AR159" s="676"/>
      <c r="AS159" s="676"/>
      <c r="AT159" s="674">
        <v>10.867488296551064</v>
      </c>
      <c r="AU159" s="676">
        <v>10.867488296551064</v>
      </c>
      <c r="AV159" s="676">
        <v>0</v>
      </c>
      <c r="AW159" s="676">
        <v>0</v>
      </c>
      <c r="AX159" s="676">
        <v>0</v>
      </c>
      <c r="AY159" s="676">
        <v>0</v>
      </c>
      <c r="AZ159" s="674">
        <v>3.6543422184006875</v>
      </c>
      <c r="BA159" s="676"/>
      <c r="BB159" s="676"/>
      <c r="BC159" s="676"/>
      <c r="BD159" s="676">
        <v>0</v>
      </c>
      <c r="BE159" s="676"/>
      <c r="BF159" s="676">
        <v>3.6543422184006875</v>
      </c>
      <c r="BG159" s="676">
        <v>0</v>
      </c>
      <c r="BH159" s="676">
        <v>0</v>
      </c>
      <c r="BI159" s="676">
        <v>0</v>
      </c>
      <c r="BJ159" s="676">
        <v>0</v>
      </c>
      <c r="BK159" s="676">
        <v>0</v>
      </c>
      <c r="BL159" s="676">
        <v>0</v>
      </c>
      <c r="BM159" s="676">
        <v>0</v>
      </c>
      <c r="BN159" s="676">
        <v>0</v>
      </c>
      <c r="BO159" s="674">
        <v>0</v>
      </c>
      <c r="BP159" s="676">
        <v>0</v>
      </c>
      <c r="BQ159" s="676">
        <v>0</v>
      </c>
      <c r="BR159" s="675"/>
      <c r="BS159" s="675">
        <v>0.28661507595299512</v>
      </c>
      <c r="BT159" s="674">
        <v>40.245533581733063</v>
      </c>
    </row>
    <row r="160" spans="1:72">
      <c r="A160" s="680" t="s">
        <v>968</v>
      </c>
      <c r="B160" s="679" t="s">
        <v>994</v>
      </c>
      <c r="C160" s="679"/>
      <c r="D160" s="679"/>
      <c r="E160" s="679"/>
      <c r="F160" s="678" t="s">
        <v>993</v>
      </c>
      <c r="G160" s="678"/>
      <c r="H160" s="677">
        <v>5306.176554886787</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5016.2415209706696</v>
      </c>
      <c r="X160" s="676"/>
      <c r="Y160" s="676"/>
      <c r="Z160" s="676"/>
      <c r="AA160" s="676"/>
      <c r="AB160" s="676"/>
      <c r="AC160" s="676"/>
      <c r="AD160" s="676"/>
      <c r="AE160" s="676">
        <v>2.1973822489729624</v>
      </c>
      <c r="AF160" s="676">
        <v>973.0342982707557</v>
      </c>
      <c r="AG160" s="676">
        <v>1.0509219451609821</v>
      </c>
      <c r="AH160" s="676"/>
      <c r="AI160" s="676">
        <v>893.54638387312502</v>
      </c>
      <c r="AJ160" s="676"/>
      <c r="AK160" s="676"/>
      <c r="AL160" s="676">
        <v>3112.9741091048054</v>
      </c>
      <c r="AM160" s="676">
        <v>33.438425527849432</v>
      </c>
      <c r="AN160" s="676"/>
      <c r="AO160" s="676"/>
      <c r="AP160" s="676"/>
      <c r="AQ160" s="676"/>
      <c r="AR160" s="676"/>
      <c r="AS160" s="676"/>
      <c r="AT160" s="674">
        <v>103.10977357408999</v>
      </c>
      <c r="AU160" s="676">
        <v>103.10977357408999</v>
      </c>
      <c r="AV160" s="676">
        <v>0</v>
      </c>
      <c r="AW160" s="676">
        <v>0</v>
      </c>
      <c r="AX160" s="676">
        <v>0</v>
      </c>
      <c r="AY160" s="676">
        <v>0</v>
      </c>
      <c r="AZ160" s="674">
        <v>124.03267411865863</v>
      </c>
      <c r="BA160" s="676"/>
      <c r="BB160" s="676"/>
      <c r="BC160" s="676"/>
      <c r="BD160" s="676">
        <v>0</v>
      </c>
      <c r="BE160" s="676"/>
      <c r="BF160" s="676">
        <v>0</v>
      </c>
      <c r="BG160" s="676">
        <v>0</v>
      </c>
      <c r="BH160" s="676">
        <v>0.9076144071844845</v>
      </c>
      <c r="BI160" s="676">
        <v>0</v>
      </c>
      <c r="BJ160" s="676">
        <v>6.401070029616891</v>
      </c>
      <c r="BK160" s="676">
        <v>114.26387694659405</v>
      </c>
      <c r="BL160" s="676">
        <v>0</v>
      </c>
      <c r="BM160" s="676">
        <v>2.4601127352632082</v>
      </c>
      <c r="BN160" s="676">
        <v>0</v>
      </c>
      <c r="BO160" s="674">
        <v>0</v>
      </c>
      <c r="BP160" s="676">
        <v>0</v>
      </c>
      <c r="BQ160" s="676">
        <v>0</v>
      </c>
      <c r="BR160" s="675"/>
      <c r="BS160" s="675"/>
      <c r="BT160" s="674">
        <v>62.76870163370593</v>
      </c>
    </row>
    <row r="161" spans="1:72">
      <c r="A161" s="681"/>
      <c r="B161" s="680" t="s">
        <v>968</v>
      </c>
      <c r="C161" s="679" t="s">
        <v>992</v>
      </c>
      <c r="D161" s="679"/>
      <c r="E161" s="679"/>
      <c r="F161" s="678" t="s">
        <v>991</v>
      </c>
      <c r="G161" s="678"/>
      <c r="H161" s="677">
        <v>75.021496130696477</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14.402407566638004</v>
      </c>
      <c r="X161" s="676"/>
      <c r="Y161" s="676"/>
      <c r="Z161" s="676"/>
      <c r="AA161" s="676"/>
      <c r="AB161" s="676"/>
      <c r="AC161" s="676"/>
      <c r="AD161" s="676"/>
      <c r="AE161" s="676"/>
      <c r="AF161" s="676"/>
      <c r="AG161" s="676"/>
      <c r="AH161" s="676"/>
      <c r="AI161" s="676"/>
      <c r="AJ161" s="676"/>
      <c r="AK161" s="676"/>
      <c r="AL161" s="676">
        <v>14.402407566638004</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60.619088564058465</v>
      </c>
    </row>
    <row r="162" spans="1:72">
      <c r="A162" s="681"/>
      <c r="B162" s="680" t="s">
        <v>968</v>
      </c>
      <c r="C162" s="679" t="s">
        <v>990</v>
      </c>
      <c r="D162" s="679"/>
      <c r="E162" s="679"/>
      <c r="F162" s="678" t="s">
        <v>989</v>
      </c>
      <c r="G162" s="678"/>
      <c r="H162" s="677">
        <v>3521.5200152861371</v>
      </c>
      <c r="I162" s="674"/>
      <c r="J162" s="676"/>
      <c r="K162" s="676"/>
      <c r="L162" s="676"/>
      <c r="M162" s="676"/>
      <c r="N162" s="676"/>
      <c r="O162" s="676"/>
      <c r="P162" s="676"/>
      <c r="Q162" s="676"/>
      <c r="R162" s="676"/>
      <c r="S162" s="676"/>
      <c r="T162" s="676"/>
      <c r="U162" s="676"/>
      <c r="V162" s="676"/>
      <c r="W162" s="674">
        <v>3381.2935893761342</v>
      </c>
      <c r="X162" s="676"/>
      <c r="Y162" s="676"/>
      <c r="Z162" s="676"/>
      <c r="AA162" s="676"/>
      <c r="AB162" s="676"/>
      <c r="AC162" s="676"/>
      <c r="AD162" s="676"/>
      <c r="AE162" s="676">
        <v>2.1973822489729624</v>
      </c>
      <c r="AF162" s="676">
        <v>932.14388076812838</v>
      </c>
      <c r="AG162" s="676"/>
      <c r="AH162" s="676"/>
      <c r="AI162" s="676"/>
      <c r="AJ162" s="676"/>
      <c r="AK162" s="676"/>
      <c r="AL162" s="676">
        <v>2446.9523263590331</v>
      </c>
      <c r="AM162" s="676">
        <v>0</v>
      </c>
      <c r="AN162" s="676"/>
      <c r="AO162" s="676"/>
      <c r="AP162" s="676"/>
      <c r="AQ162" s="676"/>
      <c r="AR162" s="676"/>
      <c r="AS162" s="676"/>
      <c r="AT162" s="674">
        <v>14.044138721696761</v>
      </c>
      <c r="AU162" s="676">
        <v>14.044138721696761</v>
      </c>
      <c r="AV162" s="676"/>
      <c r="AW162" s="676"/>
      <c r="AX162" s="676"/>
      <c r="AY162" s="676"/>
      <c r="AZ162" s="674">
        <v>124.03267411865863</v>
      </c>
      <c r="BA162" s="676"/>
      <c r="BB162" s="676"/>
      <c r="BC162" s="676"/>
      <c r="BD162" s="676">
        <v>0</v>
      </c>
      <c r="BE162" s="676"/>
      <c r="BF162" s="676">
        <v>0</v>
      </c>
      <c r="BG162" s="676">
        <v>0</v>
      </c>
      <c r="BH162" s="676">
        <v>0.9076144071844845</v>
      </c>
      <c r="BI162" s="676">
        <v>0</v>
      </c>
      <c r="BJ162" s="676">
        <v>6.401070029616891</v>
      </c>
      <c r="BK162" s="676">
        <v>114.26387694659405</v>
      </c>
      <c r="BL162" s="676">
        <v>0</v>
      </c>
      <c r="BM162" s="676">
        <v>2.4601127352632082</v>
      </c>
      <c r="BN162" s="676">
        <v>0</v>
      </c>
      <c r="BO162" s="674">
        <v>0</v>
      </c>
      <c r="BP162" s="676">
        <v>0</v>
      </c>
      <c r="BQ162" s="676">
        <v>0</v>
      </c>
      <c r="BR162" s="675"/>
      <c r="BS162" s="675"/>
      <c r="BT162" s="674">
        <v>2.1496130696474633</v>
      </c>
    </row>
    <row r="163" spans="1:72">
      <c r="A163" s="681"/>
      <c r="B163" s="680" t="s">
        <v>968</v>
      </c>
      <c r="C163" s="679" t="s">
        <v>988</v>
      </c>
      <c r="D163" s="679"/>
      <c r="E163" s="679"/>
      <c r="F163" s="678" t="s">
        <v>987</v>
      </c>
      <c r="G163" s="678"/>
      <c r="H163" s="677">
        <v>492.07031623196713</v>
      </c>
      <c r="I163" s="674"/>
      <c r="J163" s="676"/>
      <c r="K163" s="676"/>
      <c r="L163" s="676"/>
      <c r="M163" s="676"/>
      <c r="N163" s="676"/>
      <c r="O163" s="676"/>
      <c r="P163" s="676"/>
      <c r="Q163" s="676"/>
      <c r="R163" s="676"/>
      <c r="S163" s="676"/>
      <c r="T163" s="676"/>
      <c r="U163" s="676"/>
      <c r="V163" s="676"/>
      <c r="W163" s="674">
        <v>492.07031623196713</v>
      </c>
      <c r="X163" s="676"/>
      <c r="Y163" s="676"/>
      <c r="Z163" s="676"/>
      <c r="AA163" s="676"/>
      <c r="AB163" s="676"/>
      <c r="AC163" s="676"/>
      <c r="AD163" s="676"/>
      <c r="AE163" s="676"/>
      <c r="AF163" s="676"/>
      <c r="AG163" s="676"/>
      <c r="AH163" s="676"/>
      <c r="AI163" s="676">
        <v>492.07031623196713</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c r="A164" s="681"/>
      <c r="B164" s="680" t="s">
        <v>968</v>
      </c>
      <c r="C164" s="679" t="s">
        <v>986</v>
      </c>
      <c r="D164" s="679"/>
      <c r="E164" s="679"/>
      <c r="F164" s="678" t="s">
        <v>985</v>
      </c>
      <c r="G164" s="678"/>
      <c r="H164" s="677">
        <v>402.5269895863189</v>
      </c>
      <c r="I164" s="674"/>
      <c r="J164" s="676"/>
      <c r="K164" s="676"/>
      <c r="L164" s="676"/>
      <c r="M164" s="676"/>
      <c r="N164" s="676"/>
      <c r="O164" s="676"/>
      <c r="P164" s="676"/>
      <c r="Q164" s="676"/>
      <c r="R164" s="676"/>
      <c r="S164" s="676"/>
      <c r="T164" s="676"/>
      <c r="U164" s="676"/>
      <c r="V164" s="676"/>
      <c r="W164" s="674">
        <v>402.5269895863189</v>
      </c>
      <c r="X164" s="676"/>
      <c r="Y164" s="676"/>
      <c r="Z164" s="676"/>
      <c r="AA164" s="676"/>
      <c r="AB164" s="676"/>
      <c r="AC164" s="676"/>
      <c r="AD164" s="676"/>
      <c r="AE164" s="676"/>
      <c r="AF164" s="676"/>
      <c r="AG164" s="676">
        <v>1.0509219451609821</v>
      </c>
      <c r="AH164" s="676"/>
      <c r="AI164" s="676">
        <v>401.4760676411579</v>
      </c>
      <c r="AJ164" s="676"/>
      <c r="AK164" s="676"/>
      <c r="AL164" s="676"/>
      <c r="AM164" s="676">
        <v>0</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c r="A165" s="681"/>
      <c r="B165" s="680" t="s">
        <v>968</v>
      </c>
      <c r="C165" s="679" t="s">
        <v>984</v>
      </c>
      <c r="D165" s="679"/>
      <c r="E165" s="679"/>
      <c r="F165" s="678" t="s">
        <v>983</v>
      </c>
      <c r="G165" s="678"/>
      <c r="H165" s="677">
        <v>725.94821820961113</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725.94821820961113</v>
      </c>
      <c r="X165" s="676"/>
      <c r="Y165" s="676"/>
      <c r="Z165" s="676"/>
      <c r="AA165" s="676"/>
      <c r="AB165" s="676"/>
      <c r="AC165" s="676"/>
      <c r="AD165" s="676"/>
      <c r="AE165" s="676"/>
      <c r="AF165" s="676">
        <v>40.890417502627301</v>
      </c>
      <c r="AG165" s="676"/>
      <c r="AH165" s="676"/>
      <c r="AI165" s="676"/>
      <c r="AJ165" s="676"/>
      <c r="AK165" s="676"/>
      <c r="AL165" s="676">
        <v>651.61937517913441</v>
      </c>
      <c r="AM165" s="676">
        <v>33.438425527849432</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c r="A167" s="681"/>
      <c r="B167" s="680" t="s">
        <v>968</v>
      </c>
      <c r="C167" s="679" t="s">
        <v>980</v>
      </c>
      <c r="D167" s="679"/>
      <c r="E167" s="679"/>
      <c r="F167" s="678" t="s">
        <v>979</v>
      </c>
      <c r="G167" s="678"/>
      <c r="H167" s="677">
        <v>89.089519442055987</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89.089519442055987</v>
      </c>
      <c r="AU167" s="676">
        <v>89.089519442055987</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c r="A168" s="680" t="s">
        <v>968</v>
      </c>
      <c r="B168" s="679" t="s">
        <v>978</v>
      </c>
      <c r="C168" s="679"/>
      <c r="D168" s="679"/>
      <c r="E168" s="679"/>
      <c r="F168" s="678" t="s">
        <v>977</v>
      </c>
      <c r="G168" s="678"/>
      <c r="H168" s="677">
        <v>7786.4239992356925</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982.22986529091429</v>
      </c>
      <c r="X168" s="676"/>
      <c r="Y168" s="676"/>
      <c r="Z168" s="676"/>
      <c r="AA168" s="676"/>
      <c r="AB168" s="676"/>
      <c r="AC168" s="676"/>
      <c r="AD168" s="676"/>
      <c r="AE168" s="676">
        <v>17.626827171109198</v>
      </c>
      <c r="AF168" s="676">
        <v>23.072513614216106</v>
      </c>
      <c r="AG168" s="676"/>
      <c r="AH168" s="676"/>
      <c r="AI168" s="676">
        <v>33.963886500429922</v>
      </c>
      <c r="AJ168" s="676">
        <v>45.285182000573229</v>
      </c>
      <c r="AK168" s="676"/>
      <c r="AL168" s="676">
        <v>844.12916786089613</v>
      </c>
      <c r="AM168" s="676">
        <v>18.152288143689692</v>
      </c>
      <c r="AN168" s="676"/>
      <c r="AO168" s="676"/>
      <c r="AP168" s="676"/>
      <c r="AQ168" s="676"/>
      <c r="AR168" s="676"/>
      <c r="AS168" s="676"/>
      <c r="AT168" s="674">
        <v>42.275723703066781</v>
      </c>
      <c r="AU168" s="676">
        <v>42.275723703066781</v>
      </c>
      <c r="AV168" s="676">
        <v>0</v>
      </c>
      <c r="AW168" s="676">
        <v>0</v>
      </c>
      <c r="AX168" s="676">
        <v>0</v>
      </c>
      <c r="AY168" s="676">
        <v>0</v>
      </c>
      <c r="AZ168" s="674">
        <v>573.23015190599028</v>
      </c>
      <c r="BA168" s="676"/>
      <c r="BB168" s="676"/>
      <c r="BC168" s="676"/>
      <c r="BD168" s="676">
        <v>0</v>
      </c>
      <c r="BE168" s="676"/>
      <c r="BF168" s="676">
        <v>565.99312123817708</v>
      </c>
      <c r="BG168" s="676">
        <v>0</v>
      </c>
      <c r="BH168" s="676">
        <v>7.2370306678131264</v>
      </c>
      <c r="BI168" s="676">
        <v>0</v>
      </c>
      <c r="BJ168" s="676">
        <v>0</v>
      </c>
      <c r="BK168" s="676">
        <v>0</v>
      </c>
      <c r="BL168" s="676">
        <v>0</v>
      </c>
      <c r="BM168" s="676">
        <v>0</v>
      </c>
      <c r="BN168" s="676">
        <v>0</v>
      </c>
      <c r="BO168" s="674">
        <v>0</v>
      </c>
      <c r="BP168" s="676">
        <v>0</v>
      </c>
      <c r="BQ168" s="676">
        <v>0</v>
      </c>
      <c r="BR168" s="675"/>
      <c r="BS168" s="675">
        <v>373.79382822203115</v>
      </c>
      <c r="BT168" s="674">
        <v>5814.8705455240279</v>
      </c>
    </row>
    <row r="169" spans="1:72">
      <c r="A169" s="681"/>
      <c r="B169" s="680" t="s">
        <v>968</v>
      </c>
      <c r="C169" s="679" t="s">
        <v>976</v>
      </c>
      <c r="D169" s="679"/>
      <c r="E169" s="679"/>
      <c r="F169" s="678" t="s">
        <v>975</v>
      </c>
      <c r="G169" s="678"/>
      <c r="H169" s="677">
        <v>2833.6916021782745</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196.90455717970764</v>
      </c>
      <c r="X169" s="676"/>
      <c r="Y169" s="676"/>
      <c r="Z169" s="676"/>
      <c r="AA169" s="676"/>
      <c r="AB169" s="676"/>
      <c r="AC169" s="676"/>
      <c r="AD169" s="676"/>
      <c r="AE169" s="676">
        <v>8.8134135855545992</v>
      </c>
      <c r="AF169" s="676"/>
      <c r="AG169" s="676"/>
      <c r="AH169" s="676"/>
      <c r="AI169" s="676"/>
      <c r="AJ169" s="676">
        <v>5.1590713671539117</v>
      </c>
      <c r="AK169" s="676"/>
      <c r="AL169" s="676">
        <v>179.11053788095919</v>
      </c>
      <c r="AM169" s="676">
        <v>3.8215343460399347</v>
      </c>
      <c r="AN169" s="676"/>
      <c r="AO169" s="676"/>
      <c r="AP169" s="676"/>
      <c r="AQ169" s="676"/>
      <c r="AR169" s="676"/>
      <c r="AS169" s="676"/>
      <c r="AT169" s="674">
        <v>20.301901213337153</v>
      </c>
      <c r="AU169" s="676">
        <v>20.301901213337153</v>
      </c>
      <c r="AV169" s="676">
        <v>0</v>
      </c>
      <c r="AW169" s="676">
        <v>0</v>
      </c>
      <c r="AX169" s="676">
        <v>0</v>
      </c>
      <c r="AY169" s="676">
        <v>0</v>
      </c>
      <c r="AZ169" s="674">
        <v>42.610107958345274</v>
      </c>
      <c r="BA169" s="676"/>
      <c r="BB169" s="676"/>
      <c r="BC169" s="676"/>
      <c r="BD169" s="676">
        <v>0</v>
      </c>
      <c r="BE169" s="676"/>
      <c r="BF169" s="676">
        <v>35.373077290532144</v>
      </c>
      <c r="BG169" s="676">
        <v>0</v>
      </c>
      <c r="BH169" s="676">
        <v>7.2370306678131264</v>
      </c>
      <c r="BI169" s="676">
        <v>0</v>
      </c>
      <c r="BJ169" s="676">
        <v>0</v>
      </c>
      <c r="BK169" s="676">
        <v>0</v>
      </c>
      <c r="BL169" s="676">
        <v>0</v>
      </c>
      <c r="BM169" s="676">
        <v>0</v>
      </c>
      <c r="BN169" s="676">
        <v>0</v>
      </c>
      <c r="BO169" s="674">
        <v>0</v>
      </c>
      <c r="BP169" s="676">
        <v>0</v>
      </c>
      <c r="BQ169" s="676">
        <v>0</v>
      </c>
      <c r="BR169" s="675"/>
      <c r="BS169" s="675">
        <v>280.33342887169198</v>
      </c>
      <c r="BT169" s="674">
        <v>2293.5416069551925</v>
      </c>
    </row>
    <row r="170" spans="1:72">
      <c r="A170" s="681"/>
      <c r="B170" s="680" t="s">
        <v>968</v>
      </c>
      <c r="C170" s="679" t="s">
        <v>974</v>
      </c>
      <c r="D170" s="679"/>
      <c r="E170" s="679"/>
      <c r="F170" s="678" t="s">
        <v>973</v>
      </c>
      <c r="G170" s="678"/>
      <c r="H170" s="677">
        <v>4097.5446641826693</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129.55001433075378</v>
      </c>
      <c r="X170" s="676"/>
      <c r="Y170" s="676"/>
      <c r="Z170" s="676"/>
      <c r="AA170" s="676"/>
      <c r="AB170" s="676"/>
      <c r="AC170" s="676"/>
      <c r="AD170" s="676"/>
      <c r="AE170" s="676">
        <v>8.8134135855545992</v>
      </c>
      <c r="AF170" s="676">
        <v>16.766981943250215</v>
      </c>
      <c r="AG170" s="676"/>
      <c r="AH170" s="676"/>
      <c r="AI170" s="676"/>
      <c r="AJ170" s="676">
        <v>40.149995223082065</v>
      </c>
      <c r="AK170" s="676"/>
      <c r="AL170" s="676">
        <v>63.81962357886691</v>
      </c>
      <c r="AM170" s="676">
        <v>0</v>
      </c>
      <c r="AN170" s="676"/>
      <c r="AO170" s="676"/>
      <c r="AP170" s="676"/>
      <c r="AQ170" s="676"/>
      <c r="AR170" s="676"/>
      <c r="AS170" s="676"/>
      <c r="AT170" s="674">
        <v>3.7259959873889366</v>
      </c>
      <c r="AU170" s="676">
        <v>3.7259959873889366</v>
      </c>
      <c r="AV170" s="676">
        <v>0</v>
      </c>
      <c r="AW170" s="676">
        <v>0</v>
      </c>
      <c r="AX170" s="676">
        <v>0</v>
      </c>
      <c r="AY170" s="676">
        <v>0</v>
      </c>
      <c r="AZ170" s="674">
        <v>525.86701060475775</v>
      </c>
      <c r="BA170" s="676"/>
      <c r="BB170" s="676"/>
      <c r="BC170" s="676"/>
      <c r="BD170" s="676">
        <v>0</v>
      </c>
      <c r="BE170" s="676"/>
      <c r="BF170" s="676">
        <v>525.86701060475775</v>
      </c>
      <c r="BG170" s="676">
        <v>0</v>
      </c>
      <c r="BH170" s="676">
        <v>0</v>
      </c>
      <c r="BI170" s="676">
        <v>0</v>
      </c>
      <c r="BJ170" s="676">
        <v>0</v>
      </c>
      <c r="BK170" s="676">
        <v>0</v>
      </c>
      <c r="BL170" s="676">
        <v>0</v>
      </c>
      <c r="BM170" s="676">
        <v>0</v>
      </c>
      <c r="BN170" s="676">
        <v>0</v>
      </c>
      <c r="BO170" s="674">
        <v>0</v>
      </c>
      <c r="BP170" s="676">
        <v>0</v>
      </c>
      <c r="BQ170" s="676">
        <v>0</v>
      </c>
      <c r="BR170" s="675"/>
      <c r="BS170" s="675">
        <v>93.078245915735167</v>
      </c>
      <c r="BT170" s="674">
        <v>3345.3233973440333</v>
      </c>
    </row>
    <row r="171" spans="1:72">
      <c r="A171" s="681"/>
      <c r="B171" s="680" t="s">
        <v>968</v>
      </c>
      <c r="C171" s="679" t="s">
        <v>972</v>
      </c>
      <c r="D171" s="679"/>
      <c r="E171" s="679"/>
      <c r="F171" s="678" t="s">
        <v>971</v>
      </c>
      <c r="G171" s="678"/>
      <c r="H171" s="677">
        <v>311.93274099550968</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132.79831852488775</v>
      </c>
      <c r="X171" s="676"/>
      <c r="Y171" s="676"/>
      <c r="Z171" s="676"/>
      <c r="AA171" s="676"/>
      <c r="AB171" s="676"/>
      <c r="AC171" s="676"/>
      <c r="AD171" s="676"/>
      <c r="AE171" s="676"/>
      <c r="AF171" s="676"/>
      <c r="AG171" s="676"/>
      <c r="AH171" s="676"/>
      <c r="AI171" s="676"/>
      <c r="AJ171" s="676"/>
      <c r="AK171" s="676"/>
      <c r="AL171" s="676">
        <v>132.79831852488775</v>
      </c>
      <c r="AM171" s="676">
        <v>0</v>
      </c>
      <c r="AN171" s="676"/>
      <c r="AO171" s="676"/>
      <c r="AP171" s="676"/>
      <c r="AQ171" s="676"/>
      <c r="AR171" s="676"/>
      <c r="AS171" s="676"/>
      <c r="AT171" s="674">
        <v>15.262252794496989</v>
      </c>
      <c r="AU171" s="676">
        <v>15.262252794496989</v>
      </c>
      <c r="AV171" s="676">
        <v>0</v>
      </c>
      <c r="AW171" s="676">
        <v>0</v>
      </c>
      <c r="AX171" s="676">
        <v>0</v>
      </c>
      <c r="AY171" s="676">
        <v>0</v>
      </c>
      <c r="AZ171" s="674">
        <v>4.7530333428871687</v>
      </c>
      <c r="BA171" s="676"/>
      <c r="BB171" s="676"/>
      <c r="BC171" s="676"/>
      <c r="BD171" s="676">
        <v>0</v>
      </c>
      <c r="BE171" s="676"/>
      <c r="BF171" s="676">
        <v>4.7530333428871687</v>
      </c>
      <c r="BG171" s="676">
        <v>0</v>
      </c>
      <c r="BH171" s="676">
        <v>0</v>
      </c>
      <c r="BI171" s="676">
        <v>0</v>
      </c>
      <c r="BJ171" s="676">
        <v>0</v>
      </c>
      <c r="BK171" s="676">
        <v>0</v>
      </c>
      <c r="BL171" s="676">
        <v>0</v>
      </c>
      <c r="BM171" s="676">
        <v>0</v>
      </c>
      <c r="BN171" s="676">
        <v>0</v>
      </c>
      <c r="BO171" s="674">
        <v>0</v>
      </c>
      <c r="BP171" s="676">
        <v>0</v>
      </c>
      <c r="BQ171" s="676">
        <v>0</v>
      </c>
      <c r="BR171" s="675"/>
      <c r="BS171" s="675">
        <v>0.38215343460399348</v>
      </c>
      <c r="BT171" s="674">
        <v>158.73698289863378</v>
      </c>
    </row>
    <row r="172" spans="1:72">
      <c r="A172" s="681"/>
      <c r="B172" s="680" t="s">
        <v>968</v>
      </c>
      <c r="C172" s="679" t="s">
        <v>970</v>
      </c>
      <c r="D172" s="679"/>
      <c r="E172" s="679"/>
      <c r="F172" s="678" t="s">
        <v>969</v>
      </c>
      <c r="G172" s="678"/>
      <c r="H172" s="677">
        <v>456.88831565873699</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439.59587274290624</v>
      </c>
      <c r="X172" s="676"/>
      <c r="Y172" s="676"/>
      <c r="Z172" s="676"/>
      <c r="AA172" s="676"/>
      <c r="AB172" s="676"/>
      <c r="AC172" s="676"/>
      <c r="AD172" s="676"/>
      <c r="AE172" s="676"/>
      <c r="AF172" s="676">
        <v>6.2816470813031433</v>
      </c>
      <c r="AG172" s="676"/>
      <c r="AH172" s="676"/>
      <c r="AI172" s="676"/>
      <c r="AJ172" s="676"/>
      <c r="AK172" s="676"/>
      <c r="AL172" s="676">
        <v>418.98347186395335</v>
      </c>
      <c r="AM172" s="676">
        <v>14.330753797649756</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c r="A173" s="673"/>
      <c r="B173" s="672" t="s">
        <v>968</v>
      </c>
      <c r="C173" s="671" t="s">
        <v>967</v>
      </c>
      <c r="D173" s="671"/>
      <c r="E173" s="671"/>
      <c r="F173" s="670" t="s">
        <v>966</v>
      </c>
      <c r="G173" s="670"/>
      <c r="H173" s="669">
        <v>86.390560810165283</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83.381102512658828</v>
      </c>
      <c r="X173" s="668"/>
      <c r="Y173" s="668"/>
      <c r="Z173" s="668"/>
      <c r="AA173" s="668"/>
      <c r="AB173" s="668"/>
      <c r="AC173" s="668"/>
      <c r="AD173" s="668"/>
      <c r="AE173" s="668"/>
      <c r="AF173" s="668"/>
      <c r="AG173" s="668"/>
      <c r="AH173" s="668"/>
      <c r="AI173" s="668">
        <v>33.963886500429922</v>
      </c>
      <c r="AJ173" s="668"/>
      <c r="AK173" s="668"/>
      <c r="AL173" s="668">
        <v>49.417216012228906</v>
      </c>
      <c r="AM173" s="668">
        <v>0</v>
      </c>
      <c r="AN173" s="668"/>
      <c r="AO173" s="668"/>
      <c r="AP173" s="668"/>
      <c r="AQ173" s="668"/>
      <c r="AR173" s="668"/>
      <c r="AS173" s="668"/>
      <c r="AT173" s="666">
        <v>3.0094582975064488</v>
      </c>
      <c r="AU173" s="668">
        <v>3.0094582975064488</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6729.9369446832898</v>
      </c>
      <c r="I174" s="660">
        <v>7.9535683576956142</v>
      </c>
      <c r="J174" s="662">
        <v>0</v>
      </c>
      <c r="K174" s="662">
        <v>0</v>
      </c>
      <c r="L174" s="662">
        <v>-32.220311455049199</v>
      </c>
      <c r="M174" s="662">
        <v>0</v>
      </c>
      <c r="N174" s="662">
        <v>0</v>
      </c>
      <c r="O174" s="662">
        <v>0</v>
      </c>
      <c r="P174" s="662">
        <v>40.173879812744815</v>
      </c>
      <c r="Q174" s="662">
        <v>0</v>
      </c>
      <c r="R174" s="662">
        <v>0</v>
      </c>
      <c r="S174" s="662">
        <v>0</v>
      </c>
      <c r="T174" s="662">
        <v>0</v>
      </c>
      <c r="U174" s="662">
        <v>0</v>
      </c>
      <c r="V174" s="662">
        <v>0</v>
      </c>
      <c r="W174" s="660">
        <v>5810.9057036400109</v>
      </c>
      <c r="X174" s="662">
        <v>926.65042514569598</v>
      </c>
      <c r="Y174" s="662">
        <v>0</v>
      </c>
      <c r="Z174" s="662">
        <v>0</v>
      </c>
      <c r="AA174" s="662">
        <v>0</v>
      </c>
      <c r="AB174" s="662"/>
      <c r="AC174" s="662">
        <v>19.728671061431164</v>
      </c>
      <c r="AD174" s="662">
        <v>589.08951944205592</v>
      </c>
      <c r="AE174" s="662">
        <v>213.5998853539696</v>
      </c>
      <c r="AF174" s="662">
        <v>894.40622910098398</v>
      </c>
      <c r="AG174" s="662">
        <v>0</v>
      </c>
      <c r="AH174" s="662">
        <v>0</v>
      </c>
      <c r="AI174" s="662">
        <v>37.068883156587368</v>
      </c>
      <c r="AJ174" s="662">
        <v>0</v>
      </c>
      <c r="AK174" s="662">
        <v>2723.0342982707557</v>
      </c>
      <c r="AL174" s="662">
        <v>694.87436705837388</v>
      </c>
      <c r="AM174" s="662">
        <v>-277.06124008789527</v>
      </c>
      <c r="AN174" s="662">
        <v>0</v>
      </c>
      <c r="AO174" s="662">
        <v>-1.0031527658354829</v>
      </c>
      <c r="AP174" s="662">
        <v>5.5889939810834051</v>
      </c>
      <c r="AQ174" s="662">
        <v>-15.047291487532243</v>
      </c>
      <c r="AR174" s="662">
        <v>0</v>
      </c>
      <c r="AS174" s="662">
        <v>0</v>
      </c>
      <c r="AT174" s="660">
        <v>895.36161268749402</v>
      </c>
      <c r="AU174" s="662">
        <v>895.36161268749402</v>
      </c>
      <c r="AV174" s="662">
        <v>0</v>
      </c>
      <c r="AW174" s="662">
        <v>0</v>
      </c>
      <c r="AX174" s="662">
        <v>0</v>
      </c>
      <c r="AY174" s="662">
        <v>0</v>
      </c>
      <c r="AZ174" s="660">
        <v>14.689022642591</v>
      </c>
      <c r="BA174" s="662">
        <v>0</v>
      </c>
      <c r="BB174" s="662">
        <v>0</v>
      </c>
      <c r="BC174" s="662">
        <v>0</v>
      </c>
      <c r="BD174" s="662">
        <v>0</v>
      </c>
      <c r="BE174" s="662">
        <v>0</v>
      </c>
      <c r="BF174" s="662">
        <v>0</v>
      </c>
      <c r="BG174" s="662">
        <v>0</v>
      </c>
      <c r="BH174" s="662">
        <v>9.673258813413586</v>
      </c>
      <c r="BI174" s="662">
        <v>0</v>
      </c>
      <c r="BJ174" s="662">
        <v>4.4186490876086744</v>
      </c>
      <c r="BK174" s="662">
        <v>0.62099933123148943</v>
      </c>
      <c r="BL174" s="662">
        <v>0</v>
      </c>
      <c r="BM174" s="662">
        <v>0</v>
      </c>
      <c r="BN174" s="662">
        <v>0</v>
      </c>
      <c r="BO174" s="660">
        <v>0</v>
      </c>
      <c r="BP174" s="662">
        <v>0</v>
      </c>
      <c r="BQ174" s="662">
        <v>0</v>
      </c>
      <c r="BR174" s="661">
        <v>0</v>
      </c>
      <c r="BS174" s="661">
        <v>1.0270373554982324</v>
      </c>
      <c r="BT174" s="660">
        <v>0</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751"/>
      <c r="B179" s="751"/>
      <c r="C179" s="751" t="s">
        <v>962</v>
      </c>
      <c r="D179" s="751"/>
      <c r="E179" s="751"/>
      <c r="F179" s="708" t="s">
        <v>961</v>
      </c>
      <c r="G179" s="708"/>
      <c r="H179" s="708"/>
      <c r="I179" s="708"/>
      <c r="J179" s="708"/>
      <c r="K179" s="708"/>
      <c r="L179" s="708"/>
      <c r="M179" s="708"/>
      <c r="N179" s="708"/>
      <c r="O179" s="708"/>
      <c r="P179" s="708"/>
      <c r="Q179" s="708"/>
      <c r="R179" s="708"/>
      <c r="S179" s="708"/>
      <c r="T179" s="708"/>
      <c r="U179" s="708"/>
      <c r="V179" s="708"/>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08"/>
      <c r="BA179" s="751"/>
      <c r="BB179" s="751"/>
      <c r="BC179" s="751"/>
      <c r="BD179" s="751"/>
      <c r="BE179" s="751"/>
      <c r="BF179" s="751"/>
      <c r="BG179" s="751"/>
      <c r="BH179" s="751"/>
      <c r="BI179" s="751"/>
      <c r="BJ179" s="752">
        <v>10.819719117225565</v>
      </c>
      <c r="BK179" s="752">
        <v>114.88487627782554</v>
      </c>
      <c r="BL179" s="751"/>
      <c r="BM179" s="751"/>
      <c r="BN179" s="751"/>
      <c r="BO179" s="751"/>
      <c r="BP179" s="751"/>
      <c r="BQ179" s="751"/>
      <c r="BR179" s="751"/>
      <c r="BS179" s="751"/>
      <c r="BT179" s="751"/>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BU179"/>
  <sheetViews>
    <sheetView zoomScaleNormal="100" workbookViewId="0">
      <pane xSplit="7" ySplit="2" topLeftCell="U3" activePane="bottomRight" state="frozen"/>
      <selection activeCell="D27" sqref="D27"/>
      <selection pane="topRight" activeCell="D27" sqref="D27"/>
      <selection pane="bottomLeft" activeCell="D27" sqref="D27"/>
      <selection pane="bottomRight" activeCell="D27" sqref="D27"/>
    </sheetView>
  </sheetViews>
  <sheetFormatPr defaultColWidth="8.44140625" defaultRowHeight="10.199999999999999"/>
  <cols>
    <col min="1" max="3" width="2" style="654" customWidth="1"/>
    <col min="4" max="4" width="2.44140625" style="654" customWidth="1"/>
    <col min="5" max="5" width="45.44140625" style="654" customWidth="1"/>
    <col min="6" max="6" width="7.21875" style="655" customWidth="1"/>
    <col min="7" max="7" width="0.44140625" style="655" customWidth="1"/>
    <col min="8" max="22" width="10.44140625" style="655" customWidth="1"/>
    <col min="23" max="45" width="10.44140625" style="654" customWidth="1"/>
    <col min="46" max="51" width="9.44140625" style="654" customWidth="1"/>
    <col min="52" max="52" width="10.44140625" style="655" customWidth="1"/>
    <col min="53" max="57" width="9.44140625" style="654" customWidth="1"/>
    <col min="58" max="256" width="8.44140625" style="654"/>
    <col min="257" max="259" width="2" style="654" customWidth="1"/>
    <col min="260" max="260" width="2.44140625" style="654" customWidth="1"/>
    <col min="261" max="261" width="45.44140625" style="654" customWidth="1"/>
    <col min="262" max="262" width="7.21875" style="654" customWidth="1"/>
    <col min="263" max="263" width="0.44140625" style="654" customWidth="1"/>
    <col min="264" max="301" width="10.44140625" style="654" customWidth="1"/>
    <col min="302" max="307" width="9.44140625" style="654" customWidth="1"/>
    <col min="308" max="308" width="10.44140625" style="654" customWidth="1"/>
    <col min="309" max="313" width="9.44140625" style="654" customWidth="1"/>
    <col min="314" max="512" width="8.44140625" style="654"/>
    <col min="513" max="515" width="2" style="654" customWidth="1"/>
    <col min="516" max="516" width="2.44140625" style="654" customWidth="1"/>
    <col min="517" max="517" width="45.44140625" style="654" customWidth="1"/>
    <col min="518" max="518" width="7.21875" style="654" customWidth="1"/>
    <col min="519" max="519" width="0.44140625" style="654" customWidth="1"/>
    <col min="520" max="557" width="10.44140625" style="654" customWidth="1"/>
    <col min="558" max="563" width="9.44140625" style="654" customWidth="1"/>
    <col min="564" max="564" width="10.44140625" style="654" customWidth="1"/>
    <col min="565" max="569" width="9.44140625" style="654" customWidth="1"/>
    <col min="570" max="768" width="8.44140625" style="654"/>
    <col min="769" max="771" width="2" style="654" customWidth="1"/>
    <col min="772" max="772" width="2.44140625" style="654" customWidth="1"/>
    <col min="773" max="773" width="45.44140625" style="654" customWidth="1"/>
    <col min="774" max="774" width="7.21875" style="654" customWidth="1"/>
    <col min="775" max="775" width="0.44140625" style="654" customWidth="1"/>
    <col min="776" max="813" width="10.44140625" style="654" customWidth="1"/>
    <col min="814" max="819" width="9.44140625" style="654" customWidth="1"/>
    <col min="820" max="820" width="10.44140625" style="654" customWidth="1"/>
    <col min="821" max="825" width="9.44140625" style="654" customWidth="1"/>
    <col min="826" max="1024" width="8.44140625" style="654"/>
    <col min="1025" max="1027" width="2" style="654" customWidth="1"/>
    <col min="1028" max="1028" width="2.44140625" style="654" customWidth="1"/>
    <col min="1029" max="1029" width="45.44140625" style="654" customWidth="1"/>
    <col min="1030" max="1030" width="7.21875" style="654" customWidth="1"/>
    <col min="1031" max="1031" width="0.44140625" style="654" customWidth="1"/>
    <col min="1032" max="1069" width="10.44140625" style="654" customWidth="1"/>
    <col min="1070" max="1075" width="9.44140625" style="654" customWidth="1"/>
    <col min="1076" max="1076" width="10.44140625" style="654" customWidth="1"/>
    <col min="1077" max="1081" width="9.44140625" style="654" customWidth="1"/>
    <col min="1082" max="1280" width="8.44140625" style="654"/>
    <col min="1281" max="1283" width="2" style="654" customWidth="1"/>
    <col min="1284" max="1284" width="2.44140625" style="654" customWidth="1"/>
    <col min="1285" max="1285" width="45.44140625" style="654" customWidth="1"/>
    <col min="1286" max="1286" width="7.21875" style="654" customWidth="1"/>
    <col min="1287" max="1287" width="0.44140625" style="654" customWidth="1"/>
    <col min="1288" max="1325" width="10.44140625" style="654" customWidth="1"/>
    <col min="1326" max="1331" width="9.44140625" style="654" customWidth="1"/>
    <col min="1332" max="1332" width="10.44140625" style="654" customWidth="1"/>
    <col min="1333" max="1337" width="9.44140625" style="654" customWidth="1"/>
    <col min="1338" max="1536" width="8.44140625" style="654"/>
    <col min="1537" max="1539" width="2" style="654" customWidth="1"/>
    <col min="1540" max="1540" width="2.44140625" style="654" customWidth="1"/>
    <col min="1541" max="1541" width="45.44140625" style="654" customWidth="1"/>
    <col min="1542" max="1542" width="7.21875" style="654" customWidth="1"/>
    <col min="1543" max="1543" width="0.44140625" style="654" customWidth="1"/>
    <col min="1544" max="1581" width="10.44140625" style="654" customWidth="1"/>
    <col min="1582" max="1587" width="9.44140625" style="654" customWidth="1"/>
    <col min="1588" max="1588" width="10.44140625" style="654" customWidth="1"/>
    <col min="1589" max="1593" width="9.44140625" style="654" customWidth="1"/>
    <col min="1594" max="1792" width="8.44140625" style="654"/>
    <col min="1793" max="1795" width="2" style="654" customWidth="1"/>
    <col min="1796" max="1796" width="2.44140625" style="654" customWidth="1"/>
    <col min="1797" max="1797" width="45.44140625" style="654" customWidth="1"/>
    <col min="1798" max="1798" width="7.21875" style="654" customWidth="1"/>
    <col min="1799" max="1799" width="0.44140625" style="654" customWidth="1"/>
    <col min="1800" max="1837" width="10.44140625" style="654" customWidth="1"/>
    <col min="1838" max="1843" width="9.44140625" style="654" customWidth="1"/>
    <col min="1844" max="1844" width="10.44140625" style="654" customWidth="1"/>
    <col min="1845" max="1849" width="9.44140625" style="654" customWidth="1"/>
    <col min="1850" max="2048" width="8.44140625" style="654"/>
    <col min="2049" max="2051" width="2" style="654" customWidth="1"/>
    <col min="2052" max="2052" width="2.44140625" style="654" customWidth="1"/>
    <col min="2053" max="2053" width="45.44140625" style="654" customWidth="1"/>
    <col min="2054" max="2054" width="7.21875" style="654" customWidth="1"/>
    <col min="2055" max="2055" width="0.44140625" style="654" customWidth="1"/>
    <col min="2056" max="2093" width="10.44140625" style="654" customWidth="1"/>
    <col min="2094" max="2099" width="9.44140625" style="654" customWidth="1"/>
    <col min="2100" max="2100" width="10.44140625" style="654" customWidth="1"/>
    <col min="2101" max="2105" width="9.44140625" style="654" customWidth="1"/>
    <col min="2106" max="2304" width="8.44140625" style="654"/>
    <col min="2305" max="2307" width="2" style="654" customWidth="1"/>
    <col min="2308" max="2308" width="2.44140625" style="654" customWidth="1"/>
    <col min="2309" max="2309" width="45.44140625" style="654" customWidth="1"/>
    <col min="2310" max="2310" width="7.21875" style="654" customWidth="1"/>
    <col min="2311" max="2311" width="0.44140625" style="654" customWidth="1"/>
    <col min="2312" max="2349" width="10.44140625" style="654" customWidth="1"/>
    <col min="2350" max="2355" width="9.44140625" style="654" customWidth="1"/>
    <col min="2356" max="2356" width="10.44140625" style="654" customWidth="1"/>
    <col min="2357" max="2361" width="9.44140625" style="654" customWidth="1"/>
    <col min="2362" max="2560" width="8.44140625" style="654"/>
    <col min="2561" max="2563" width="2" style="654" customWidth="1"/>
    <col min="2564" max="2564" width="2.44140625" style="654" customWidth="1"/>
    <col min="2565" max="2565" width="45.44140625" style="654" customWidth="1"/>
    <col min="2566" max="2566" width="7.21875" style="654" customWidth="1"/>
    <col min="2567" max="2567" width="0.44140625" style="654" customWidth="1"/>
    <col min="2568" max="2605" width="10.44140625" style="654" customWidth="1"/>
    <col min="2606" max="2611" width="9.44140625" style="654" customWidth="1"/>
    <col min="2612" max="2612" width="10.44140625" style="654" customWidth="1"/>
    <col min="2613" max="2617" width="9.44140625" style="654" customWidth="1"/>
    <col min="2618" max="2816" width="8.44140625" style="654"/>
    <col min="2817" max="2819" width="2" style="654" customWidth="1"/>
    <col min="2820" max="2820" width="2.44140625" style="654" customWidth="1"/>
    <col min="2821" max="2821" width="45.44140625" style="654" customWidth="1"/>
    <col min="2822" max="2822" width="7.21875" style="654" customWidth="1"/>
    <col min="2823" max="2823" width="0.44140625" style="654" customWidth="1"/>
    <col min="2824" max="2861" width="10.44140625" style="654" customWidth="1"/>
    <col min="2862" max="2867" width="9.44140625" style="654" customWidth="1"/>
    <col min="2868" max="2868" width="10.44140625" style="654" customWidth="1"/>
    <col min="2869" max="2873" width="9.44140625" style="654" customWidth="1"/>
    <col min="2874" max="3072" width="8.44140625" style="654"/>
    <col min="3073" max="3075" width="2" style="654" customWidth="1"/>
    <col min="3076" max="3076" width="2.44140625" style="654" customWidth="1"/>
    <col min="3077" max="3077" width="45.44140625" style="654" customWidth="1"/>
    <col min="3078" max="3078" width="7.21875" style="654" customWidth="1"/>
    <col min="3079" max="3079" width="0.44140625" style="654" customWidth="1"/>
    <col min="3080" max="3117" width="10.44140625" style="654" customWidth="1"/>
    <col min="3118" max="3123" width="9.44140625" style="654" customWidth="1"/>
    <col min="3124" max="3124" width="10.44140625" style="654" customWidth="1"/>
    <col min="3125" max="3129" width="9.44140625" style="654" customWidth="1"/>
    <col min="3130" max="3328" width="8.44140625" style="654"/>
    <col min="3329" max="3331" width="2" style="654" customWidth="1"/>
    <col min="3332" max="3332" width="2.44140625" style="654" customWidth="1"/>
    <col min="3333" max="3333" width="45.44140625" style="654" customWidth="1"/>
    <col min="3334" max="3334" width="7.21875" style="654" customWidth="1"/>
    <col min="3335" max="3335" width="0.44140625" style="654" customWidth="1"/>
    <col min="3336" max="3373" width="10.44140625" style="654" customWidth="1"/>
    <col min="3374" max="3379" width="9.44140625" style="654" customWidth="1"/>
    <col min="3380" max="3380" width="10.44140625" style="654" customWidth="1"/>
    <col min="3381" max="3385" width="9.44140625" style="654" customWidth="1"/>
    <col min="3386" max="3584" width="8.44140625" style="654"/>
    <col min="3585" max="3587" width="2" style="654" customWidth="1"/>
    <col min="3588" max="3588" width="2.44140625" style="654" customWidth="1"/>
    <col min="3589" max="3589" width="45.44140625" style="654" customWidth="1"/>
    <col min="3590" max="3590" width="7.21875" style="654" customWidth="1"/>
    <col min="3591" max="3591" width="0.44140625" style="654" customWidth="1"/>
    <col min="3592" max="3629" width="10.44140625" style="654" customWidth="1"/>
    <col min="3630" max="3635" width="9.44140625" style="654" customWidth="1"/>
    <col min="3636" max="3636" width="10.44140625" style="654" customWidth="1"/>
    <col min="3637" max="3641" width="9.44140625" style="654" customWidth="1"/>
    <col min="3642" max="3840" width="8.44140625" style="654"/>
    <col min="3841" max="3843" width="2" style="654" customWidth="1"/>
    <col min="3844" max="3844" width="2.44140625" style="654" customWidth="1"/>
    <col min="3845" max="3845" width="45.44140625" style="654" customWidth="1"/>
    <col min="3846" max="3846" width="7.21875" style="654" customWidth="1"/>
    <col min="3847" max="3847" width="0.44140625" style="654" customWidth="1"/>
    <col min="3848" max="3885" width="10.44140625" style="654" customWidth="1"/>
    <col min="3886" max="3891" width="9.44140625" style="654" customWidth="1"/>
    <col min="3892" max="3892" width="10.44140625" style="654" customWidth="1"/>
    <col min="3893" max="3897" width="9.44140625" style="654" customWidth="1"/>
    <col min="3898" max="4096" width="8.44140625" style="654"/>
    <col min="4097" max="4099" width="2" style="654" customWidth="1"/>
    <col min="4100" max="4100" width="2.44140625" style="654" customWidth="1"/>
    <col min="4101" max="4101" width="45.44140625" style="654" customWidth="1"/>
    <col min="4102" max="4102" width="7.21875" style="654" customWidth="1"/>
    <col min="4103" max="4103" width="0.44140625" style="654" customWidth="1"/>
    <col min="4104" max="4141" width="10.44140625" style="654" customWidth="1"/>
    <col min="4142" max="4147" width="9.44140625" style="654" customWidth="1"/>
    <col min="4148" max="4148" width="10.44140625" style="654" customWidth="1"/>
    <col min="4149" max="4153" width="9.44140625" style="654" customWidth="1"/>
    <col min="4154" max="4352" width="8.44140625" style="654"/>
    <col min="4353" max="4355" width="2" style="654" customWidth="1"/>
    <col min="4356" max="4356" width="2.44140625" style="654" customWidth="1"/>
    <col min="4357" max="4357" width="45.44140625" style="654" customWidth="1"/>
    <col min="4358" max="4358" width="7.21875" style="654" customWidth="1"/>
    <col min="4359" max="4359" width="0.44140625" style="654" customWidth="1"/>
    <col min="4360" max="4397" width="10.44140625" style="654" customWidth="1"/>
    <col min="4398" max="4403" width="9.44140625" style="654" customWidth="1"/>
    <col min="4404" max="4404" width="10.44140625" style="654" customWidth="1"/>
    <col min="4405" max="4409" width="9.44140625" style="654" customWidth="1"/>
    <col min="4410" max="4608" width="8.44140625" style="654"/>
    <col min="4609" max="4611" width="2" style="654" customWidth="1"/>
    <col min="4612" max="4612" width="2.44140625" style="654" customWidth="1"/>
    <col min="4613" max="4613" width="45.44140625" style="654" customWidth="1"/>
    <col min="4614" max="4614" width="7.21875" style="654" customWidth="1"/>
    <col min="4615" max="4615" width="0.44140625" style="654" customWidth="1"/>
    <col min="4616" max="4653" width="10.44140625" style="654" customWidth="1"/>
    <col min="4654" max="4659" width="9.44140625" style="654" customWidth="1"/>
    <col min="4660" max="4660" width="10.44140625" style="654" customWidth="1"/>
    <col min="4661" max="4665" width="9.44140625" style="654" customWidth="1"/>
    <col min="4666" max="4864" width="8.44140625" style="654"/>
    <col min="4865" max="4867" width="2" style="654" customWidth="1"/>
    <col min="4868" max="4868" width="2.44140625" style="654" customWidth="1"/>
    <col min="4869" max="4869" width="45.44140625" style="654" customWidth="1"/>
    <col min="4870" max="4870" width="7.21875" style="654" customWidth="1"/>
    <col min="4871" max="4871" width="0.44140625" style="654" customWidth="1"/>
    <col min="4872" max="4909" width="10.44140625" style="654" customWidth="1"/>
    <col min="4910" max="4915" width="9.44140625" style="654" customWidth="1"/>
    <col min="4916" max="4916" width="10.44140625" style="654" customWidth="1"/>
    <col min="4917" max="4921" width="9.44140625" style="654" customWidth="1"/>
    <col min="4922" max="5120" width="8.44140625" style="654"/>
    <col min="5121" max="5123" width="2" style="654" customWidth="1"/>
    <col min="5124" max="5124" width="2.44140625" style="654" customWidth="1"/>
    <col min="5125" max="5125" width="45.44140625" style="654" customWidth="1"/>
    <col min="5126" max="5126" width="7.21875" style="654" customWidth="1"/>
    <col min="5127" max="5127" width="0.44140625" style="654" customWidth="1"/>
    <col min="5128" max="5165" width="10.44140625" style="654" customWidth="1"/>
    <col min="5166" max="5171" width="9.44140625" style="654" customWidth="1"/>
    <col min="5172" max="5172" width="10.44140625" style="654" customWidth="1"/>
    <col min="5173" max="5177" width="9.44140625" style="654" customWidth="1"/>
    <col min="5178" max="5376" width="8.44140625" style="654"/>
    <col min="5377" max="5379" width="2" style="654" customWidth="1"/>
    <col min="5380" max="5380" width="2.44140625" style="654" customWidth="1"/>
    <col min="5381" max="5381" width="45.44140625" style="654" customWidth="1"/>
    <col min="5382" max="5382" width="7.21875" style="654" customWidth="1"/>
    <col min="5383" max="5383" width="0.44140625" style="654" customWidth="1"/>
    <col min="5384" max="5421" width="10.44140625" style="654" customWidth="1"/>
    <col min="5422" max="5427" width="9.44140625" style="654" customWidth="1"/>
    <col min="5428" max="5428" width="10.44140625" style="654" customWidth="1"/>
    <col min="5429" max="5433" width="9.44140625" style="654" customWidth="1"/>
    <col min="5434" max="5632" width="8.44140625" style="654"/>
    <col min="5633" max="5635" width="2" style="654" customWidth="1"/>
    <col min="5636" max="5636" width="2.44140625" style="654" customWidth="1"/>
    <col min="5637" max="5637" width="45.44140625" style="654" customWidth="1"/>
    <col min="5638" max="5638" width="7.21875" style="654" customWidth="1"/>
    <col min="5639" max="5639" width="0.44140625" style="654" customWidth="1"/>
    <col min="5640" max="5677" width="10.44140625" style="654" customWidth="1"/>
    <col min="5678" max="5683" width="9.44140625" style="654" customWidth="1"/>
    <col min="5684" max="5684" width="10.44140625" style="654" customWidth="1"/>
    <col min="5685" max="5689" width="9.44140625" style="654" customWidth="1"/>
    <col min="5690" max="5888" width="8.44140625" style="654"/>
    <col min="5889" max="5891" width="2" style="654" customWidth="1"/>
    <col min="5892" max="5892" width="2.44140625" style="654" customWidth="1"/>
    <col min="5893" max="5893" width="45.44140625" style="654" customWidth="1"/>
    <col min="5894" max="5894" width="7.21875" style="654" customWidth="1"/>
    <col min="5895" max="5895" width="0.44140625" style="654" customWidth="1"/>
    <col min="5896" max="5933" width="10.44140625" style="654" customWidth="1"/>
    <col min="5934" max="5939" width="9.44140625" style="654" customWidth="1"/>
    <col min="5940" max="5940" width="10.44140625" style="654" customWidth="1"/>
    <col min="5941" max="5945" width="9.44140625" style="654" customWidth="1"/>
    <col min="5946" max="6144" width="8.44140625" style="654"/>
    <col min="6145" max="6147" width="2" style="654" customWidth="1"/>
    <col min="6148" max="6148" width="2.44140625" style="654" customWidth="1"/>
    <col min="6149" max="6149" width="45.44140625" style="654" customWidth="1"/>
    <col min="6150" max="6150" width="7.21875" style="654" customWidth="1"/>
    <col min="6151" max="6151" width="0.44140625" style="654" customWidth="1"/>
    <col min="6152" max="6189" width="10.44140625" style="654" customWidth="1"/>
    <col min="6190" max="6195" width="9.44140625" style="654" customWidth="1"/>
    <col min="6196" max="6196" width="10.44140625" style="654" customWidth="1"/>
    <col min="6197" max="6201" width="9.44140625" style="654" customWidth="1"/>
    <col min="6202" max="6400" width="8.44140625" style="654"/>
    <col min="6401" max="6403" width="2" style="654" customWidth="1"/>
    <col min="6404" max="6404" width="2.44140625" style="654" customWidth="1"/>
    <col min="6405" max="6405" width="45.44140625" style="654" customWidth="1"/>
    <col min="6406" max="6406" width="7.21875" style="654" customWidth="1"/>
    <col min="6407" max="6407" width="0.44140625" style="654" customWidth="1"/>
    <col min="6408" max="6445" width="10.44140625" style="654" customWidth="1"/>
    <col min="6446" max="6451" width="9.44140625" style="654" customWidth="1"/>
    <col min="6452" max="6452" width="10.44140625" style="654" customWidth="1"/>
    <col min="6453" max="6457" width="9.44140625" style="654" customWidth="1"/>
    <col min="6458" max="6656" width="8.44140625" style="654"/>
    <col min="6657" max="6659" width="2" style="654" customWidth="1"/>
    <col min="6660" max="6660" width="2.44140625" style="654" customWidth="1"/>
    <col min="6661" max="6661" width="45.44140625" style="654" customWidth="1"/>
    <col min="6662" max="6662" width="7.21875" style="654" customWidth="1"/>
    <col min="6663" max="6663" width="0.44140625" style="654" customWidth="1"/>
    <col min="6664" max="6701" width="10.44140625" style="654" customWidth="1"/>
    <col min="6702" max="6707" width="9.44140625" style="654" customWidth="1"/>
    <col min="6708" max="6708" width="10.44140625" style="654" customWidth="1"/>
    <col min="6709" max="6713" width="9.44140625" style="654" customWidth="1"/>
    <col min="6714" max="6912" width="8.44140625" style="654"/>
    <col min="6913" max="6915" width="2" style="654" customWidth="1"/>
    <col min="6916" max="6916" width="2.44140625" style="654" customWidth="1"/>
    <col min="6917" max="6917" width="45.44140625" style="654" customWidth="1"/>
    <col min="6918" max="6918" width="7.21875" style="654" customWidth="1"/>
    <col min="6919" max="6919" width="0.44140625" style="654" customWidth="1"/>
    <col min="6920" max="6957" width="10.44140625" style="654" customWidth="1"/>
    <col min="6958" max="6963" width="9.44140625" style="654" customWidth="1"/>
    <col min="6964" max="6964" width="10.44140625" style="654" customWidth="1"/>
    <col min="6965" max="6969" width="9.44140625" style="654" customWidth="1"/>
    <col min="6970" max="7168" width="8.44140625" style="654"/>
    <col min="7169" max="7171" width="2" style="654" customWidth="1"/>
    <col min="7172" max="7172" width="2.44140625" style="654" customWidth="1"/>
    <col min="7173" max="7173" width="45.44140625" style="654" customWidth="1"/>
    <col min="7174" max="7174" width="7.21875" style="654" customWidth="1"/>
    <col min="7175" max="7175" width="0.44140625" style="654" customWidth="1"/>
    <col min="7176" max="7213" width="10.44140625" style="654" customWidth="1"/>
    <col min="7214" max="7219" width="9.44140625" style="654" customWidth="1"/>
    <col min="7220" max="7220" width="10.44140625" style="654" customWidth="1"/>
    <col min="7221" max="7225" width="9.44140625" style="654" customWidth="1"/>
    <col min="7226" max="7424" width="8.44140625" style="654"/>
    <col min="7425" max="7427" width="2" style="654" customWidth="1"/>
    <col min="7428" max="7428" width="2.44140625" style="654" customWidth="1"/>
    <col min="7429" max="7429" width="45.44140625" style="654" customWidth="1"/>
    <col min="7430" max="7430" width="7.21875" style="654" customWidth="1"/>
    <col min="7431" max="7431" width="0.44140625" style="654" customWidth="1"/>
    <col min="7432" max="7469" width="10.44140625" style="654" customWidth="1"/>
    <col min="7470" max="7475" width="9.44140625" style="654" customWidth="1"/>
    <col min="7476" max="7476" width="10.44140625" style="654" customWidth="1"/>
    <col min="7477" max="7481" width="9.44140625" style="654" customWidth="1"/>
    <col min="7482" max="7680" width="8.44140625" style="654"/>
    <col min="7681" max="7683" width="2" style="654" customWidth="1"/>
    <col min="7684" max="7684" width="2.44140625" style="654" customWidth="1"/>
    <col min="7685" max="7685" width="45.44140625" style="654" customWidth="1"/>
    <col min="7686" max="7686" width="7.21875" style="654" customWidth="1"/>
    <col min="7687" max="7687" width="0.44140625" style="654" customWidth="1"/>
    <col min="7688" max="7725" width="10.44140625" style="654" customWidth="1"/>
    <col min="7726" max="7731" width="9.44140625" style="654" customWidth="1"/>
    <col min="7732" max="7732" width="10.44140625" style="654" customWidth="1"/>
    <col min="7733" max="7737" width="9.44140625" style="654" customWidth="1"/>
    <col min="7738" max="7936" width="8.44140625" style="654"/>
    <col min="7937" max="7939" width="2" style="654" customWidth="1"/>
    <col min="7940" max="7940" width="2.44140625" style="654" customWidth="1"/>
    <col min="7941" max="7941" width="45.44140625" style="654" customWidth="1"/>
    <col min="7942" max="7942" width="7.21875" style="654" customWidth="1"/>
    <col min="7943" max="7943" width="0.44140625" style="654" customWidth="1"/>
    <col min="7944" max="7981" width="10.44140625" style="654" customWidth="1"/>
    <col min="7982" max="7987" width="9.44140625" style="654" customWidth="1"/>
    <col min="7988" max="7988" width="10.44140625" style="654" customWidth="1"/>
    <col min="7989" max="7993" width="9.44140625" style="654" customWidth="1"/>
    <col min="7994" max="8192" width="8.44140625" style="654"/>
    <col min="8193" max="8195" width="2" style="654" customWidth="1"/>
    <col min="8196" max="8196" width="2.44140625" style="654" customWidth="1"/>
    <col min="8197" max="8197" width="45.44140625" style="654" customWidth="1"/>
    <col min="8198" max="8198" width="7.21875" style="654" customWidth="1"/>
    <col min="8199" max="8199" width="0.44140625" style="654" customWidth="1"/>
    <col min="8200" max="8237" width="10.44140625" style="654" customWidth="1"/>
    <col min="8238" max="8243" width="9.44140625" style="654" customWidth="1"/>
    <col min="8244" max="8244" width="10.44140625" style="654" customWidth="1"/>
    <col min="8245" max="8249" width="9.44140625" style="654" customWidth="1"/>
    <col min="8250" max="8448" width="8.44140625" style="654"/>
    <col min="8449" max="8451" width="2" style="654" customWidth="1"/>
    <col min="8452" max="8452" width="2.44140625" style="654" customWidth="1"/>
    <col min="8453" max="8453" width="45.44140625" style="654" customWidth="1"/>
    <col min="8454" max="8454" width="7.21875" style="654" customWidth="1"/>
    <col min="8455" max="8455" width="0.44140625" style="654" customWidth="1"/>
    <col min="8456" max="8493" width="10.44140625" style="654" customWidth="1"/>
    <col min="8494" max="8499" width="9.44140625" style="654" customWidth="1"/>
    <col min="8500" max="8500" width="10.44140625" style="654" customWidth="1"/>
    <col min="8501" max="8505" width="9.44140625" style="654" customWidth="1"/>
    <col min="8506" max="8704" width="8.44140625" style="654"/>
    <col min="8705" max="8707" width="2" style="654" customWidth="1"/>
    <col min="8708" max="8708" width="2.44140625" style="654" customWidth="1"/>
    <col min="8709" max="8709" width="45.44140625" style="654" customWidth="1"/>
    <col min="8710" max="8710" width="7.21875" style="654" customWidth="1"/>
    <col min="8711" max="8711" width="0.44140625" style="654" customWidth="1"/>
    <col min="8712" max="8749" width="10.44140625" style="654" customWidth="1"/>
    <col min="8750" max="8755" width="9.44140625" style="654" customWidth="1"/>
    <col min="8756" max="8756" width="10.44140625" style="654" customWidth="1"/>
    <col min="8757" max="8761" width="9.44140625" style="654" customWidth="1"/>
    <col min="8762" max="8960" width="8.44140625" style="654"/>
    <col min="8961" max="8963" width="2" style="654" customWidth="1"/>
    <col min="8964" max="8964" width="2.44140625" style="654" customWidth="1"/>
    <col min="8965" max="8965" width="45.44140625" style="654" customWidth="1"/>
    <col min="8966" max="8966" width="7.21875" style="654" customWidth="1"/>
    <col min="8967" max="8967" width="0.44140625" style="654" customWidth="1"/>
    <col min="8968" max="9005" width="10.44140625" style="654" customWidth="1"/>
    <col min="9006" max="9011" width="9.44140625" style="654" customWidth="1"/>
    <col min="9012" max="9012" width="10.44140625" style="654" customWidth="1"/>
    <col min="9013" max="9017" width="9.44140625" style="654" customWidth="1"/>
    <col min="9018" max="9216" width="8.44140625" style="654"/>
    <col min="9217" max="9219" width="2" style="654" customWidth="1"/>
    <col min="9220" max="9220" width="2.44140625" style="654" customWidth="1"/>
    <col min="9221" max="9221" width="45.44140625" style="654" customWidth="1"/>
    <col min="9222" max="9222" width="7.21875" style="654" customWidth="1"/>
    <col min="9223" max="9223" width="0.44140625" style="654" customWidth="1"/>
    <col min="9224" max="9261" width="10.44140625" style="654" customWidth="1"/>
    <col min="9262" max="9267" width="9.44140625" style="654" customWidth="1"/>
    <col min="9268" max="9268" width="10.44140625" style="654" customWidth="1"/>
    <col min="9269" max="9273" width="9.44140625" style="654" customWidth="1"/>
    <col min="9274" max="9472" width="8.44140625" style="654"/>
    <col min="9473" max="9475" width="2" style="654" customWidth="1"/>
    <col min="9476" max="9476" width="2.44140625" style="654" customWidth="1"/>
    <col min="9477" max="9477" width="45.44140625" style="654" customWidth="1"/>
    <col min="9478" max="9478" width="7.21875" style="654" customWidth="1"/>
    <col min="9479" max="9479" width="0.44140625" style="654" customWidth="1"/>
    <col min="9480" max="9517" width="10.44140625" style="654" customWidth="1"/>
    <col min="9518" max="9523" width="9.44140625" style="654" customWidth="1"/>
    <col min="9524" max="9524" width="10.44140625" style="654" customWidth="1"/>
    <col min="9525" max="9529" width="9.44140625" style="654" customWidth="1"/>
    <col min="9530" max="9728" width="8.44140625" style="654"/>
    <col min="9729" max="9731" width="2" style="654" customWidth="1"/>
    <col min="9732" max="9732" width="2.44140625" style="654" customWidth="1"/>
    <col min="9733" max="9733" width="45.44140625" style="654" customWidth="1"/>
    <col min="9734" max="9734" width="7.21875" style="654" customWidth="1"/>
    <col min="9735" max="9735" width="0.44140625" style="654" customWidth="1"/>
    <col min="9736" max="9773" width="10.44140625" style="654" customWidth="1"/>
    <col min="9774" max="9779" width="9.44140625" style="654" customWidth="1"/>
    <col min="9780" max="9780" width="10.44140625" style="654" customWidth="1"/>
    <col min="9781" max="9785" width="9.44140625" style="654" customWidth="1"/>
    <col min="9786" max="9984" width="8.44140625" style="654"/>
    <col min="9985" max="9987" width="2" style="654" customWidth="1"/>
    <col min="9988" max="9988" width="2.44140625" style="654" customWidth="1"/>
    <col min="9989" max="9989" width="45.44140625" style="654" customWidth="1"/>
    <col min="9990" max="9990" width="7.21875" style="654" customWidth="1"/>
    <col min="9991" max="9991" width="0.44140625" style="654" customWidth="1"/>
    <col min="9992" max="10029" width="10.44140625" style="654" customWidth="1"/>
    <col min="10030" max="10035" width="9.44140625" style="654" customWidth="1"/>
    <col min="10036" max="10036" width="10.44140625" style="654" customWidth="1"/>
    <col min="10037" max="10041" width="9.44140625" style="654" customWidth="1"/>
    <col min="10042" max="10240" width="8.44140625" style="654"/>
    <col min="10241" max="10243" width="2" style="654" customWidth="1"/>
    <col min="10244" max="10244" width="2.44140625" style="654" customWidth="1"/>
    <col min="10245" max="10245" width="45.44140625" style="654" customWidth="1"/>
    <col min="10246" max="10246" width="7.21875" style="654" customWidth="1"/>
    <col min="10247" max="10247" width="0.44140625" style="654" customWidth="1"/>
    <col min="10248" max="10285" width="10.44140625" style="654" customWidth="1"/>
    <col min="10286" max="10291" width="9.44140625" style="654" customWidth="1"/>
    <col min="10292" max="10292" width="10.44140625" style="654" customWidth="1"/>
    <col min="10293" max="10297" width="9.44140625" style="654" customWidth="1"/>
    <col min="10298" max="10496" width="8.44140625" style="654"/>
    <col min="10497" max="10499" width="2" style="654" customWidth="1"/>
    <col min="10500" max="10500" width="2.44140625" style="654" customWidth="1"/>
    <col min="10501" max="10501" width="45.44140625" style="654" customWidth="1"/>
    <col min="10502" max="10502" width="7.21875" style="654" customWidth="1"/>
    <col min="10503" max="10503" width="0.44140625" style="654" customWidth="1"/>
    <col min="10504" max="10541" width="10.44140625" style="654" customWidth="1"/>
    <col min="10542" max="10547" width="9.44140625" style="654" customWidth="1"/>
    <col min="10548" max="10548" width="10.44140625" style="654" customWidth="1"/>
    <col min="10549" max="10553" width="9.44140625" style="654" customWidth="1"/>
    <col min="10554" max="10752" width="8.44140625" style="654"/>
    <col min="10753" max="10755" width="2" style="654" customWidth="1"/>
    <col min="10756" max="10756" width="2.44140625" style="654" customWidth="1"/>
    <col min="10757" max="10757" width="45.44140625" style="654" customWidth="1"/>
    <col min="10758" max="10758" width="7.21875" style="654" customWidth="1"/>
    <col min="10759" max="10759" width="0.44140625" style="654" customWidth="1"/>
    <col min="10760" max="10797" width="10.44140625" style="654" customWidth="1"/>
    <col min="10798" max="10803" width="9.44140625" style="654" customWidth="1"/>
    <col min="10804" max="10804" width="10.44140625" style="654" customWidth="1"/>
    <col min="10805" max="10809" width="9.44140625" style="654" customWidth="1"/>
    <col min="10810" max="11008" width="8.44140625" style="654"/>
    <col min="11009" max="11011" width="2" style="654" customWidth="1"/>
    <col min="11012" max="11012" width="2.44140625" style="654" customWidth="1"/>
    <col min="11013" max="11013" width="45.44140625" style="654" customWidth="1"/>
    <col min="11014" max="11014" width="7.21875" style="654" customWidth="1"/>
    <col min="11015" max="11015" width="0.44140625" style="654" customWidth="1"/>
    <col min="11016" max="11053" width="10.44140625" style="654" customWidth="1"/>
    <col min="11054" max="11059" width="9.44140625" style="654" customWidth="1"/>
    <col min="11060" max="11060" width="10.44140625" style="654" customWidth="1"/>
    <col min="11061" max="11065" width="9.44140625" style="654" customWidth="1"/>
    <col min="11066" max="11264" width="8.44140625" style="654"/>
    <col min="11265" max="11267" width="2" style="654" customWidth="1"/>
    <col min="11268" max="11268" width="2.44140625" style="654" customWidth="1"/>
    <col min="11269" max="11269" width="45.44140625" style="654" customWidth="1"/>
    <col min="11270" max="11270" width="7.21875" style="654" customWidth="1"/>
    <col min="11271" max="11271" width="0.44140625" style="654" customWidth="1"/>
    <col min="11272" max="11309" width="10.44140625" style="654" customWidth="1"/>
    <col min="11310" max="11315" width="9.44140625" style="654" customWidth="1"/>
    <col min="11316" max="11316" width="10.44140625" style="654" customWidth="1"/>
    <col min="11317" max="11321" width="9.44140625" style="654" customWidth="1"/>
    <col min="11322" max="11520" width="8.44140625" style="654"/>
    <col min="11521" max="11523" width="2" style="654" customWidth="1"/>
    <col min="11524" max="11524" width="2.44140625" style="654" customWidth="1"/>
    <col min="11525" max="11525" width="45.44140625" style="654" customWidth="1"/>
    <col min="11526" max="11526" width="7.21875" style="654" customWidth="1"/>
    <col min="11527" max="11527" width="0.44140625" style="654" customWidth="1"/>
    <col min="11528" max="11565" width="10.44140625" style="654" customWidth="1"/>
    <col min="11566" max="11571" width="9.44140625" style="654" customWidth="1"/>
    <col min="11572" max="11572" width="10.44140625" style="654" customWidth="1"/>
    <col min="11573" max="11577" width="9.44140625" style="654" customWidth="1"/>
    <col min="11578" max="11776" width="8.44140625" style="654"/>
    <col min="11777" max="11779" width="2" style="654" customWidth="1"/>
    <col min="11780" max="11780" width="2.44140625" style="654" customWidth="1"/>
    <col min="11781" max="11781" width="45.44140625" style="654" customWidth="1"/>
    <col min="11782" max="11782" width="7.21875" style="654" customWidth="1"/>
    <col min="11783" max="11783" width="0.44140625" style="654" customWidth="1"/>
    <col min="11784" max="11821" width="10.44140625" style="654" customWidth="1"/>
    <col min="11822" max="11827" width="9.44140625" style="654" customWidth="1"/>
    <col min="11828" max="11828" width="10.44140625" style="654" customWidth="1"/>
    <col min="11829" max="11833" width="9.44140625" style="654" customWidth="1"/>
    <col min="11834" max="12032" width="8.44140625" style="654"/>
    <col min="12033" max="12035" width="2" style="654" customWidth="1"/>
    <col min="12036" max="12036" width="2.44140625" style="654" customWidth="1"/>
    <col min="12037" max="12037" width="45.44140625" style="654" customWidth="1"/>
    <col min="12038" max="12038" width="7.21875" style="654" customWidth="1"/>
    <col min="12039" max="12039" width="0.44140625" style="654" customWidth="1"/>
    <col min="12040" max="12077" width="10.44140625" style="654" customWidth="1"/>
    <col min="12078" max="12083" width="9.44140625" style="654" customWidth="1"/>
    <col min="12084" max="12084" width="10.44140625" style="654" customWidth="1"/>
    <col min="12085" max="12089" width="9.44140625" style="654" customWidth="1"/>
    <col min="12090" max="12288" width="8.44140625" style="654"/>
    <col min="12289" max="12291" width="2" style="654" customWidth="1"/>
    <col min="12292" max="12292" width="2.44140625" style="654" customWidth="1"/>
    <col min="12293" max="12293" width="45.44140625" style="654" customWidth="1"/>
    <col min="12294" max="12294" width="7.21875" style="654" customWidth="1"/>
    <col min="12295" max="12295" width="0.44140625" style="654" customWidth="1"/>
    <col min="12296" max="12333" width="10.44140625" style="654" customWidth="1"/>
    <col min="12334" max="12339" width="9.44140625" style="654" customWidth="1"/>
    <col min="12340" max="12340" width="10.44140625" style="654" customWidth="1"/>
    <col min="12341" max="12345" width="9.44140625" style="654" customWidth="1"/>
    <col min="12346" max="12544" width="8.44140625" style="654"/>
    <col min="12545" max="12547" width="2" style="654" customWidth="1"/>
    <col min="12548" max="12548" width="2.44140625" style="654" customWidth="1"/>
    <col min="12549" max="12549" width="45.44140625" style="654" customWidth="1"/>
    <col min="12550" max="12550" width="7.21875" style="654" customWidth="1"/>
    <col min="12551" max="12551" width="0.44140625" style="654" customWidth="1"/>
    <col min="12552" max="12589" width="10.44140625" style="654" customWidth="1"/>
    <col min="12590" max="12595" width="9.44140625" style="654" customWidth="1"/>
    <col min="12596" max="12596" width="10.44140625" style="654" customWidth="1"/>
    <col min="12597" max="12601" width="9.44140625" style="654" customWidth="1"/>
    <col min="12602" max="12800" width="8.44140625" style="654"/>
    <col min="12801" max="12803" width="2" style="654" customWidth="1"/>
    <col min="12804" max="12804" width="2.44140625" style="654" customWidth="1"/>
    <col min="12805" max="12805" width="45.44140625" style="654" customWidth="1"/>
    <col min="12806" max="12806" width="7.21875" style="654" customWidth="1"/>
    <col min="12807" max="12807" width="0.44140625" style="654" customWidth="1"/>
    <col min="12808" max="12845" width="10.44140625" style="654" customWidth="1"/>
    <col min="12846" max="12851" width="9.44140625" style="654" customWidth="1"/>
    <col min="12852" max="12852" width="10.44140625" style="654" customWidth="1"/>
    <col min="12853" max="12857" width="9.44140625" style="654" customWidth="1"/>
    <col min="12858" max="13056" width="8.44140625" style="654"/>
    <col min="13057" max="13059" width="2" style="654" customWidth="1"/>
    <col min="13060" max="13060" width="2.44140625" style="654" customWidth="1"/>
    <col min="13061" max="13061" width="45.44140625" style="654" customWidth="1"/>
    <col min="13062" max="13062" width="7.21875" style="654" customWidth="1"/>
    <col min="13063" max="13063" width="0.44140625" style="654" customWidth="1"/>
    <col min="13064" max="13101" width="10.44140625" style="654" customWidth="1"/>
    <col min="13102" max="13107" width="9.44140625" style="654" customWidth="1"/>
    <col min="13108" max="13108" width="10.44140625" style="654" customWidth="1"/>
    <col min="13109" max="13113" width="9.44140625" style="654" customWidth="1"/>
    <col min="13114" max="13312" width="8.44140625" style="654"/>
    <col min="13313" max="13315" width="2" style="654" customWidth="1"/>
    <col min="13316" max="13316" width="2.44140625" style="654" customWidth="1"/>
    <col min="13317" max="13317" width="45.44140625" style="654" customWidth="1"/>
    <col min="13318" max="13318" width="7.21875" style="654" customWidth="1"/>
    <col min="13319" max="13319" width="0.44140625" style="654" customWidth="1"/>
    <col min="13320" max="13357" width="10.44140625" style="654" customWidth="1"/>
    <col min="13358" max="13363" width="9.44140625" style="654" customWidth="1"/>
    <col min="13364" max="13364" width="10.44140625" style="654" customWidth="1"/>
    <col min="13365" max="13369" width="9.44140625" style="654" customWidth="1"/>
    <col min="13370" max="13568" width="8.44140625" style="654"/>
    <col min="13569" max="13571" width="2" style="654" customWidth="1"/>
    <col min="13572" max="13572" width="2.44140625" style="654" customWidth="1"/>
    <col min="13573" max="13573" width="45.44140625" style="654" customWidth="1"/>
    <col min="13574" max="13574" width="7.21875" style="654" customWidth="1"/>
    <col min="13575" max="13575" width="0.44140625" style="654" customWidth="1"/>
    <col min="13576" max="13613" width="10.44140625" style="654" customWidth="1"/>
    <col min="13614" max="13619" width="9.44140625" style="654" customWidth="1"/>
    <col min="13620" max="13620" width="10.44140625" style="654" customWidth="1"/>
    <col min="13621" max="13625" width="9.44140625" style="654" customWidth="1"/>
    <col min="13626" max="13824" width="8.44140625" style="654"/>
    <col min="13825" max="13827" width="2" style="654" customWidth="1"/>
    <col min="13828" max="13828" width="2.44140625" style="654" customWidth="1"/>
    <col min="13829" max="13829" width="45.44140625" style="654" customWidth="1"/>
    <col min="13830" max="13830" width="7.21875" style="654" customWidth="1"/>
    <col min="13831" max="13831" width="0.44140625" style="654" customWidth="1"/>
    <col min="13832" max="13869" width="10.44140625" style="654" customWidth="1"/>
    <col min="13870" max="13875" width="9.44140625" style="654" customWidth="1"/>
    <col min="13876" max="13876" width="10.44140625" style="654" customWidth="1"/>
    <col min="13877" max="13881" width="9.44140625" style="654" customWidth="1"/>
    <col min="13882" max="14080" width="8.44140625" style="654"/>
    <col min="14081" max="14083" width="2" style="654" customWidth="1"/>
    <col min="14084" max="14084" width="2.44140625" style="654" customWidth="1"/>
    <col min="14085" max="14085" width="45.44140625" style="654" customWidth="1"/>
    <col min="14086" max="14086" width="7.21875" style="654" customWidth="1"/>
    <col min="14087" max="14087" width="0.44140625" style="654" customWidth="1"/>
    <col min="14088" max="14125" width="10.44140625" style="654" customWidth="1"/>
    <col min="14126" max="14131" width="9.44140625" style="654" customWidth="1"/>
    <col min="14132" max="14132" width="10.44140625" style="654" customWidth="1"/>
    <col min="14133" max="14137" width="9.44140625" style="654" customWidth="1"/>
    <col min="14138" max="14336" width="8.44140625" style="654"/>
    <col min="14337" max="14339" width="2" style="654" customWidth="1"/>
    <col min="14340" max="14340" width="2.44140625" style="654" customWidth="1"/>
    <col min="14341" max="14341" width="45.44140625" style="654" customWidth="1"/>
    <col min="14342" max="14342" width="7.21875" style="654" customWidth="1"/>
    <col min="14343" max="14343" width="0.44140625" style="654" customWidth="1"/>
    <col min="14344" max="14381" width="10.44140625" style="654" customWidth="1"/>
    <col min="14382" max="14387" width="9.44140625" style="654" customWidth="1"/>
    <col min="14388" max="14388" width="10.44140625" style="654" customWidth="1"/>
    <col min="14389" max="14393" width="9.44140625" style="654" customWidth="1"/>
    <col min="14394" max="14592" width="8.44140625" style="654"/>
    <col min="14593" max="14595" width="2" style="654" customWidth="1"/>
    <col min="14596" max="14596" width="2.44140625" style="654" customWidth="1"/>
    <col min="14597" max="14597" width="45.44140625" style="654" customWidth="1"/>
    <col min="14598" max="14598" width="7.21875" style="654" customWidth="1"/>
    <col min="14599" max="14599" width="0.44140625" style="654" customWidth="1"/>
    <col min="14600" max="14637" width="10.44140625" style="654" customWidth="1"/>
    <col min="14638" max="14643" width="9.44140625" style="654" customWidth="1"/>
    <col min="14644" max="14644" width="10.44140625" style="654" customWidth="1"/>
    <col min="14645" max="14649" width="9.44140625" style="654" customWidth="1"/>
    <col min="14650" max="14848" width="8.44140625" style="654"/>
    <col min="14849" max="14851" width="2" style="654" customWidth="1"/>
    <col min="14852" max="14852" width="2.44140625" style="654" customWidth="1"/>
    <col min="14853" max="14853" width="45.44140625" style="654" customWidth="1"/>
    <col min="14854" max="14854" width="7.21875" style="654" customWidth="1"/>
    <col min="14855" max="14855" width="0.44140625" style="654" customWidth="1"/>
    <col min="14856" max="14893" width="10.44140625" style="654" customWidth="1"/>
    <col min="14894" max="14899" width="9.44140625" style="654" customWidth="1"/>
    <col min="14900" max="14900" width="10.44140625" style="654" customWidth="1"/>
    <col min="14901" max="14905" width="9.44140625" style="654" customWidth="1"/>
    <col min="14906" max="15104" width="8.44140625" style="654"/>
    <col min="15105" max="15107" width="2" style="654" customWidth="1"/>
    <col min="15108" max="15108" width="2.44140625" style="654" customWidth="1"/>
    <col min="15109" max="15109" width="45.44140625" style="654" customWidth="1"/>
    <col min="15110" max="15110" width="7.21875" style="654" customWidth="1"/>
    <col min="15111" max="15111" width="0.44140625" style="654" customWidth="1"/>
    <col min="15112" max="15149" width="10.44140625" style="654" customWidth="1"/>
    <col min="15150" max="15155" width="9.44140625" style="654" customWidth="1"/>
    <col min="15156" max="15156" width="10.44140625" style="654" customWidth="1"/>
    <col min="15157" max="15161" width="9.44140625" style="654" customWidth="1"/>
    <col min="15162" max="15360" width="8.44140625" style="654"/>
    <col min="15361" max="15363" width="2" style="654" customWidth="1"/>
    <col min="15364" max="15364" width="2.44140625" style="654" customWidth="1"/>
    <col min="15365" max="15365" width="45.44140625" style="654" customWidth="1"/>
    <col min="15366" max="15366" width="7.21875" style="654" customWidth="1"/>
    <col min="15367" max="15367" width="0.44140625" style="654" customWidth="1"/>
    <col min="15368" max="15405" width="10.44140625" style="654" customWidth="1"/>
    <col min="15406" max="15411" width="9.44140625" style="654" customWidth="1"/>
    <col min="15412" max="15412" width="10.44140625" style="654" customWidth="1"/>
    <col min="15413" max="15417" width="9.44140625" style="654" customWidth="1"/>
    <col min="15418" max="15616" width="8.44140625" style="654"/>
    <col min="15617" max="15619" width="2" style="654" customWidth="1"/>
    <col min="15620" max="15620" width="2.44140625" style="654" customWidth="1"/>
    <col min="15621" max="15621" width="45.44140625" style="654" customWidth="1"/>
    <col min="15622" max="15622" width="7.21875" style="654" customWidth="1"/>
    <col min="15623" max="15623" width="0.44140625" style="654" customWidth="1"/>
    <col min="15624" max="15661" width="10.44140625" style="654" customWidth="1"/>
    <col min="15662" max="15667" width="9.44140625" style="654" customWidth="1"/>
    <col min="15668" max="15668" width="10.44140625" style="654" customWidth="1"/>
    <col min="15669" max="15673" width="9.44140625" style="654" customWidth="1"/>
    <col min="15674" max="15872" width="8.44140625" style="654"/>
    <col min="15873" max="15875" width="2" style="654" customWidth="1"/>
    <col min="15876" max="15876" width="2.44140625" style="654" customWidth="1"/>
    <col min="15877" max="15877" width="45.44140625" style="654" customWidth="1"/>
    <col min="15878" max="15878" width="7.21875" style="654" customWidth="1"/>
    <col min="15879" max="15879" width="0.44140625" style="654" customWidth="1"/>
    <col min="15880" max="15917" width="10.44140625" style="654" customWidth="1"/>
    <col min="15918" max="15923" width="9.44140625" style="654" customWidth="1"/>
    <col min="15924" max="15924" width="10.44140625" style="654" customWidth="1"/>
    <col min="15925" max="15929" width="9.44140625" style="654" customWidth="1"/>
    <col min="15930" max="16128" width="8.44140625" style="654"/>
    <col min="16129" max="16131" width="2" style="654" customWidth="1"/>
    <col min="16132" max="16132" width="2.44140625" style="654" customWidth="1"/>
    <col min="16133" max="16133" width="45.44140625" style="654" customWidth="1"/>
    <col min="16134" max="16134" width="7.21875" style="654" customWidth="1"/>
    <col min="16135" max="16135" width="0.44140625" style="654" customWidth="1"/>
    <col min="16136" max="16173" width="10.44140625" style="654" customWidth="1"/>
    <col min="16174" max="16179" width="9.44140625" style="654" customWidth="1"/>
    <col min="16180" max="16180" width="10.44140625" style="654" customWidth="1"/>
    <col min="16181" max="16185" width="9.44140625" style="654" customWidth="1"/>
    <col min="16186" max="16384" width="8.44140625" style="654"/>
  </cols>
  <sheetData>
    <row r="1" spans="1:73">
      <c r="A1" s="656"/>
      <c r="B1" s="656"/>
      <c r="C1" s="656"/>
      <c r="D1" s="656"/>
      <c r="E1" s="757"/>
      <c r="F1" s="658"/>
      <c r="G1" s="658"/>
      <c r="H1" s="756" t="s">
        <v>1352</v>
      </c>
      <c r="I1" s="756">
        <v>2000</v>
      </c>
      <c r="J1" s="756">
        <v>2115</v>
      </c>
      <c r="K1" s="756">
        <v>2116</v>
      </c>
      <c r="L1" s="756">
        <v>2117</v>
      </c>
      <c r="M1" s="756">
        <v>2118</v>
      </c>
      <c r="N1" s="756">
        <v>2210</v>
      </c>
      <c r="O1" s="756">
        <v>2112</v>
      </c>
      <c r="P1" s="756">
        <v>2121</v>
      </c>
      <c r="Q1" s="756">
        <v>2122</v>
      </c>
      <c r="R1" s="756">
        <v>2130</v>
      </c>
      <c r="S1" s="756">
        <v>2230</v>
      </c>
      <c r="T1" s="756">
        <v>2310</v>
      </c>
      <c r="U1" s="756">
        <v>2330</v>
      </c>
      <c r="V1" s="756">
        <v>2410</v>
      </c>
      <c r="W1" s="756">
        <v>3000</v>
      </c>
      <c r="X1" s="756">
        <v>3105</v>
      </c>
      <c r="Y1" s="756">
        <v>3106</v>
      </c>
      <c r="Z1" s="756">
        <v>3191</v>
      </c>
      <c r="AA1" s="756">
        <v>3192</v>
      </c>
      <c r="AB1" s="756">
        <v>3193</v>
      </c>
      <c r="AC1" s="756">
        <v>3214</v>
      </c>
      <c r="AD1" s="756">
        <v>3215</v>
      </c>
      <c r="AE1" s="756">
        <v>3220</v>
      </c>
      <c r="AF1" s="756">
        <v>3234</v>
      </c>
      <c r="AG1" s="756">
        <v>3235</v>
      </c>
      <c r="AH1" s="756">
        <v>3246</v>
      </c>
      <c r="AI1" s="756">
        <v>3247</v>
      </c>
      <c r="AJ1" s="756">
        <v>3244</v>
      </c>
      <c r="AK1" s="756">
        <v>3250</v>
      </c>
      <c r="AL1" s="756">
        <v>3260</v>
      </c>
      <c r="AM1" s="756" t="s">
        <v>1351</v>
      </c>
      <c r="AN1" s="756">
        <v>3281</v>
      </c>
      <c r="AO1" s="756">
        <v>3282</v>
      </c>
      <c r="AP1" s="756">
        <v>3283</v>
      </c>
      <c r="AQ1" s="756">
        <v>3285</v>
      </c>
      <c r="AR1" s="756">
        <v>3286</v>
      </c>
      <c r="AS1" s="756">
        <v>3295</v>
      </c>
      <c r="AT1" s="756">
        <v>4000</v>
      </c>
      <c r="AU1" s="756">
        <v>4100</v>
      </c>
      <c r="AV1" s="756">
        <v>4210</v>
      </c>
      <c r="AW1" s="756">
        <v>4220</v>
      </c>
      <c r="AX1" s="756">
        <v>4230</v>
      </c>
      <c r="AY1" s="756">
        <v>4240</v>
      </c>
      <c r="AZ1" s="756">
        <v>5500</v>
      </c>
      <c r="BA1" s="756">
        <v>5510</v>
      </c>
      <c r="BB1" s="756">
        <v>5520</v>
      </c>
      <c r="BC1" s="756">
        <v>5535</v>
      </c>
      <c r="BD1" s="756">
        <v>5532</v>
      </c>
      <c r="BE1" s="756">
        <v>5534</v>
      </c>
      <c r="BF1" s="756">
        <v>5541</v>
      </c>
      <c r="BG1" s="756">
        <v>5544</v>
      </c>
      <c r="BH1" s="756">
        <v>5542</v>
      </c>
      <c r="BI1" s="756">
        <v>55431</v>
      </c>
      <c r="BJ1" s="756">
        <v>5546</v>
      </c>
      <c r="BK1" s="756">
        <v>5547</v>
      </c>
      <c r="BL1" s="756">
        <v>5549</v>
      </c>
      <c r="BM1" s="756">
        <v>5548</v>
      </c>
      <c r="BN1" s="756">
        <v>5550</v>
      </c>
      <c r="BO1" s="749">
        <v>7200</v>
      </c>
      <c r="BP1" s="756">
        <v>7100</v>
      </c>
      <c r="BQ1" s="756">
        <v>55432</v>
      </c>
      <c r="BR1" s="756">
        <v>5100</v>
      </c>
      <c r="BS1" s="756">
        <v>5200</v>
      </c>
      <c r="BT1" s="756">
        <v>6000</v>
      </c>
      <c r="BU1" s="747"/>
    </row>
    <row r="2" spans="1:73" ht="38.25" customHeight="1">
      <c r="A2" s="746" t="s">
        <v>1350</v>
      </c>
      <c r="B2" s="746"/>
      <c r="C2" s="746"/>
      <c r="D2" s="746"/>
      <c r="E2" s="745" t="s">
        <v>1349</v>
      </c>
      <c r="F2" s="744" t="s">
        <v>954</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196256.83099264355</v>
      </c>
      <c r="I4" s="723">
        <v>1124.1998662462979</v>
      </c>
      <c r="J4" s="725">
        <v>0</v>
      </c>
      <c r="K4" s="725">
        <v>0</v>
      </c>
      <c r="L4" s="725">
        <v>1124.1998662462979</v>
      </c>
      <c r="M4" s="725">
        <v>0</v>
      </c>
      <c r="N4" s="725">
        <v>0</v>
      </c>
      <c r="O4" s="725"/>
      <c r="P4" s="725"/>
      <c r="Q4" s="725"/>
      <c r="R4" s="725"/>
      <c r="S4" s="725"/>
      <c r="T4" s="725">
        <v>0</v>
      </c>
      <c r="U4" s="725"/>
      <c r="V4" s="725">
        <v>0</v>
      </c>
      <c r="W4" s="723">
        <v>86954.046049488868</v>
      </c>
      <c r="X4" s="725">
        <v>76948.074902073175</v>
      </c>
      <c r="Y4" s="725">
        <v>9954.117703257858</v>
      </c>
      <c r="Z4" s="725"/>
      <c r="AA4" s="725">
        <v>51.853444157829365</v>
      </c>
      <c r="AB4" s="725"/>
      <c r="AC4" s="725"/>
      <c r="AD4" s="725"/>
      <c r="AE4" s="725"/>
      <c r="AF4" s="725"/>
      <c r="AG4" s="725"/>
      <c r="AH4" s="725"/>
      <c r="AI4" s="725"/>
      <c r="AJ4" s="725"/>
      <c r="AK4" s="725"/>
      <c r="AL4" s="725"/>
      <c r="AM4" s="725"/>
      <c r="AN4" s="725"/>
      <c r="AO4" s="725"/>
      <c r="AP4" s="725"/>
      <c r="AQ4" s="725"/>
      <c r="AR4" s="725"/>
      <c r="AS4" s="725"/>
      <c r="AT4" s="723">
        <v>94989.705741855345</v>
      </c>
      <c r="AU4" s="725">
        <v>94989.705741855345</v>
      </c>
      <c r="AV4" s="725"/>
      <c r="AW4" s="725"/>
      <c r="AX4" s="725"/>
      <c r="AY4" s="725"/>
      <c r="AZ4" s="723">
        <v>12964.459730581828</v>
      </c>
      <c r="BA4" s="725">
        <v>11684.771185631031</v>
      </c>
      <c r="BB4" s="725">
        <v>190.55125632941625</v>
      </c>
      <c r="BC4" s="725">
        <v>0</v>
      </c>
      <c r="BD4" s="725">
        <v>0</v>
      </c>
      <c r="BE4" s="725">
        <v>0</v>
      </c>
      <c r="BF4" s="725">
        <v>840.52259482182092</v>
      </c>
      <c r="BG4" s="725"/>
      <c r="BH4" s="725">
        <v>23.144167383204355</v>
      </c>
      <c r="BI4" s="725">
        <v>221.95949173593198</v>
      </c>
      <c r="BJ4" s="725">
        <v>0</v>
      </c>
      <c r="BK4" s="725">
        <v>0</v>
      </c>
      <c r="BL4" s="725">
        <v>0</v>
      </c>
      <c r="BM4" s="725">
        <v>3.5110346804241903</v>
      </c>
      <c r="BN4" s="725">
        <v>0</v>
      </c>
      <c r="BO4" s="723">
        <v>224.41960447119519</v>
      </c>
      <c r="BP4" s="725">
        <v>2.4601127352632082</v>
      </c>
      <c r="BQ4" s="725">
        <v>221.95949173593198</v>
      </c>
      <c r="BR4" s="724">
        <v>0</v>
      </c>
      <c r="BS4" s="724"/>
      <c r="BT4" s="723"/>
    </row>
    <row r="5" spans="1:73">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c r="A6" s="680" t="s">
        <v>968</v>
      </c>
      <c r="B6" s="679" t="s">
        <v>1288</v>
      </c>
      <c r="C6" s="679"/>
      <c r="D6" s="679"/>
      <c r="E6" s="679"/>
      <c r="F6" s="678" t="s">
        <v>1287</v>
      </c>
      <c r="G6" s="678"/>
      <c r="H6" s="677">
        <v>0</v>
      </c>
      <c r="I6" s="674">
        <v>0</v>
      </c>
      <c r="J6" s="676">
        <v>0</v>
      </c>
      <c r="K6" s="676">
        <v>0</v>
      </c>
      <c r="L6" s="676">
        <v>0</v>
      </c>
      <c r="M6" s="676">
        <v>0</v>
      </c>
      <c r="N6" s="676">
        <v>0</v>
      </c>
      <c r="O6" s="676">
        <v>0</v>
      </c>
      <c r="P6" s="676">
        <v>0</v>
      </c>
      <c r="Q6" s="676">
        <v>0</v>
      </c>
      <c r="R6" s="676">
        <v>0</v>
      </c>
      <c r="S6" s="676">
        <v>0</v>
      </c>
      <c r="T6" s="676">
        <v>0</v>
      </c>
      <c r="U6" s="676">
        <v>0</v>
      </c>
      <c r="V6" s="676">
        <v>0</v>
      </c>
      <c r="W6" s="674">
        <v>0</v>
      </c>
      <c r="X6" s="676"/>
      <c r="Y6" s="676"/>
      <c r="Z6" s="676"/>
      <c r="AA6" s="676">
        <v>0</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c r="A9" s="681"/>
      <c r="B9" s="680" t="s">
        <v>968</v>
      </c>
      <c r="C9" s="679" t="s">
        <v>1282</v>
      </c>
      <c r="D9" s="679"/>
      <c r="E9" s="679"/>
      <c r="F9" s="678" t="s">
        <v>1281</v>
      </c>
      <c r="G9" s="678"/>
      <c r="H9" s="677">
        <v>0</v>
      </c>
      <c r="I9" s="674">
        <v>0</v>
      </c>
      <c r="J9" s="676"/>
      <c r="K9" s="676"/>
      <c r="L9" s="676"/>
      <c r="M9" s="676"/>
      <c r="N9" s="676"/>
      <c r="O9" s="676">
        <v>0</v>
      </c>
      <c r="P9" s="676">
        <v>0</v>
      </c>
      <c r="Q9" s="676">
        <v>0</v>
      </c>
      <c r="R9" s="676">
        <v>0</v>
      </c>
      <c r="S9" s="676">
        <v>0</v>
      </c>
      <c r="T9" s="676"/>
      <c r="U9" s="676">
        <v>0</v>
      </c>
      <c r="V9" s="676">
        <v>0</v>
      </c>
      <c r="W9" s="674">
        <v>0</v>
      </c>
      <c r="X9" s="676"/>
      <c r="Y9" s="676"/>
      <c r="Z9" s="676"/>
      <c r="AA9" s="676">
        <v>0</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c r="A12" s="680" t="s">
        <v>968</v>
      </c>
      <c r="B12" s="679" t="s">
        <v>164</v>
      </c>
      <c r="C12" s="679"/>
      <c r="D12" s="679"/>
      <c r="E12" s="679"/>
      <c r="F12" s="678" t="s">
        <v>1276</v>
      </c>
      <c r="G12" s="678"/>
      <c r="H12" s="677">
        <v>6989.466895958727</v>
      </c>
      <c r="I12" s="674">
        <v>820.48342409477402</v>
      </c>
      <c r="J12" s="676">
        <v>0</v>
      </c>
      <c r="K12" s="676">
        <v>0</v>
      </c>
      <c r="L12" s="676">
        <v>510.74806534823728</v>
      </c>
      <c r="M12" s="676">
        <v>0</v>
      </c>
      <c r="N12" s="676">
        <v>0</v>
      </c>
      <c r="O12" s="676">
        <v>0</v>
      </c>
      <c r="P12" s="676">
        <v>309.73535874653675</v>
      </c>
      <c r="Q12" s="676">
        <v>0</v>
      </c>
      <c r="R12" s="676">
        <v>0</v>
      </c>
      <c r="S12" s="676">
        <v>0</v>
      </c>
      <c r="T12" s="676">
        <v>0</v>
      </c>
      <c r="U12" s="676">
        <v>0</v>
      </c>
      <c r="V12" s="676">
        <v>0</v>
      </c>
      <c r="W12" s="674">
        <v>5474.1329893952416</v>
      </c>
      <c r="X12" s="676">
        <v>1241.2821247730963</v>
      </c>
      <c r="Y12" s="676"/>
      <c r="Z12" s="676"/>
      <c r="AA12" s="676"/>
      <c r="AB12" s="676"/>
      <c r="AC12" s="676"/>
      <c r="AD12" s="676">
        <v>63.867392758192409</v>
      </c>
      <c r="AE12" s="676">
        <v>183.88745581350912</v>
      </c>
      <c r="AF12" s="676">
        <v>174.04700487245628</v>
      </c>
      <c r="AG12" s="676"/>
      <c r="AH12" s="676"/>
      <c r="AI12" s="676">
        <v>396.34088086366677</v>
      </c>
      <c r="AJ12" s="676">
        <v>154.41387216967613</v>
      </c>
      <c r="AK12" s="676">
        <v>163.5616700105092</v>
      </c>
      <c r="AL12" s="676">
        <v>1145.7437661220979</v>
      </c>
      <c r="AM12" s="676">
        <v>1133.0849336008407</v>
      </c>
      <c r="AN12" s="676">
        <v>19.776440240756664</v>
      </c>
      <c r="AO12" s="676">
        <v>42.132416165090284</v>
      </c>
      <c r="AP12" s="676">
        <v>403.33906563485237</v>
      </c>
      <c r="AQ12" s="676">
        <v>333.54829464029808</v>
      </c>
      <c r="AR12" s="676"/>
      <c r="AS12" s="676">
        <v>19.107671730199673</v>
      </c>
      <c r="AT12" s="674">
        <v>0</v>
      </c>
      <c r="AU12" s="676">
        <v>0</v>
      </c>
      <c r="AV12" s="676"/>
      <c r="AW12" s="676"/>
      <c r="AX12" s="676"/>
      <c r="AY12" s="676"/>
      <c r="AZ12" s="674">
        <v>149.11149326454571</v>
      </c>
      <c r="BA12" s="676"/>
      <c r="BB12" s="676"/>
      <c r="BC12" s="676"/>
      <c r="BD12" s="676">
        <v>0</v>
      </c>
      <c r="BE12" s="676"/>
      <c r="BF12" s="676">
        <v>21.066208082545142</v>
      </c>
      <c r="BG12" s="676">
        <v>0</v>
      </c>
      <c r="BH12" s="676">
        <v>0</v>
      </c>
      <c r="BI12" s="676">
        <v>0</v>
      </c>
      <c r="BJ12" s="676">
        <v>9.8165663513900832</v>
      </c>
      <c r="BK12" s="676">
        <v>114.55049202254705</v>
      </c>
      <c r="BL12" s="676">
        <v>0</v>
      </c>
      <c r="BM12" s="676">
        <v>3.6782268080634375</v>
      </c>
      <c r="BN12" s="676">
        <v>0</v>
      </c>
      <c r="BO12" s="674">
        <v>0</v>
      </c>
      <c r="BP12" s="676">
        <v>0</v>
      </c>
      <c r="BQ12" s="676">
        <v>0</v>
      </c>
      <c r="BR12" s="675"/>
      <c r="BS12" s="675">
        <v>0</v>
      </c>
      <c r="BT12" s="674">
        <v>545.73898920416548</v>
      </c>
    </row>
    <row r="13" spans="1:73">
      <c r="A13" s="680" t="s">
        <v>968</v>
      </c>
      <c r="B13" s="679" t="s">
        <v>1275</v>
      </c>
      <c r="C13" s="679"/>
      <c r="D13" s="679"/>
      <c r="E13" s="679"/>
      <c r="F13" s="678" t="s">
        <v>1274</v>
      </c>
      <c r="G13" s="678"/>
      <c r="H13" s="677">
        <v>481.53721219069456</v>
      </c>
      <c r="I13" s="674">
        <v>-15.429444922136238</v>
      </c>
      <c r="J13" s="676">
        <v>0</v>
      </c>
      <c r="K13" s="676">
        <v>0</v>
      </c>
      <c r="L13" s="676">
        <v>-16.766981943250215</v>
      </c>
      <c r="M13" s="676">
        <v>0</v>
      </c>
      <c r="N13" s="676">
        <v>0</v>
      </c>
      <c r="O13" s="676">
        <v>0</v>
      </c>
      <c r="P13" s="676">
        <v>1.3614216107767267</v>
      </c>
      <c r="Q13" s="676">
        <v>0</v>
      </c>
      <c r="R13" s="676">
        <v>0</v>
      </c>
      <c r="S13" s="676">
        <v>0</v>
      </c>
      <c r="T13" s="676">
        <v>0</v>
      </c>
      <c r="U13" s="676">
        <v>0</v>
      </c>
      <c r="V13" s="676">
        <v>0</v>
      </c>
      <c r="W13" s="674">
        <v>496.77558039552878</v>
      </c>
      <c r="X13" s="676">
        <v>306.00936275914779</v>
      </c>
      <c r="Y13" s="676"/>
      <c r="Z13" s="676"/>
      <c r="AA13" s="676"/>
      <c r="AB13" s="676"/>
      <c r="AC13" s="676"/>
      <c r="AD13" s="676">
        <v>0</v>
      </c>
      <c r="AE13" s="676">
        <v>19.824209420082163</v>
      </c>
      <c r="AF13" s="676">
        <v>68.166618897487339</v>
      </c>
      <c r="AG13" s="676"/>
      <c r="AH13" s="676"/>
      <c r="AI13" s="676">
        <v>49.417216012228906</v>
      </c>
      <c r="AJ13" s="676">
        <v>9.2672207891468421</v>
      </c>
      <c r="AK13" s="676">
        <v>80.729913060093622</v>
      </c>
      <c r="AL13" s="676">
        <v>-39.122957867583835</v>
      </c>
      <c r="AM13" s="676">
        <v>13.375370211139773</v>
      </c>
      <c r="AN13" s="676"/>
      <c r="AO13" s="676"/>
      <c r="AP13" s="676"/>
      <c r="AQ13" s="676">
        <v>-10.867488296551064</v>
      </c>
      <c r="AR13" s="676"/>
      <c r="AS13" s="676"/>
      <c r="AT13" s="674">
        <v>0.16719212763924715</v>
      </c>
      <c r="AU13" s="676">
        <v>0.16719212763924715</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c r="A14" s="680" t="s">
        <v>1081</v>
      </c>
      <c r="B14" s="679" t="s">
        <v>170</v>
      </c>
      <c r="C14" s="679"/>
      <c r="D14" s="679"/>
      <c r="E14" s="679"/>
      <c r="F14" s="678" t="s">
        <v>1273</v>
      </c>
      <c r="G14" s="678"/>
      <c r="H14" s="677">
        <v>174346.56539600648</v>
      </c>
      <c r="I14" s="674">
        <v>1079.2251839113403</v>
      </c>
      <c r="J14" s="676">
        <v>0</v>
      </c>
      <c r="K14" s="676">
        <v>0</v>
      </c>
      <c r="L14" s="676">
        <v>1079.2251839113403</v>
      </c>
      <c r="M14" s="676">
        <v>0</v>
      </c>
      <c r="N14" s="676">
        <v>0</v>
      </c>
      <c r="O14" s="676">
        <v>0</v>
      </c>
      <c r="P14" s="676">
        <v>0</v>
      </c>
      <c r="Q14" s="676">
        <v>0</v>
      </c>
      <c r="R14" s="676">
        <v>0</v>
      </c>
      <c r="S14" s="676">
        <v>0</v>
      </c>
      <c r="T14" s="676">
        <v>0</v>
      </c>
      <c r="U14" s="676">
        <v>0</v>
      </c>
      <c r="V14" s="676">
        <v>0</v>
      </c>
      <c r="W14" s="674">
        <v>81313.676316040888</v>
      </c>
      <c r="X14" s="676">
        <v>65136.094391898347</v>
      </c>
      <c r="Y14" s="676"/>
      <c r="Z14" s="676"/>
      <c r="AA14" s="676"/>
      <c r="AB14" s="676"/>
      <c r="AC14" s="676"/>
      <c r="AD14" s="676">
        <v>1168.243049584408</v>
      </c>
      <c r="AE14" s="676">
        <v>5420.6076239610202</v>
      </c>
      <c r="AF14" s="676">
        <v>2241.7598165663512</v>
      </c>
      <c r="AG14" s="676"/>
      <c r="AH14" s="676"/>
      <c r="AI14" s="676">
        <v>12.348332855641539</v>
      </c>
      <c r="AJ14" s="676">
        <v>118.37202636858699</v>
      </c>
      <c r="AK14" s="676">
        <v>2773.3830132798316</v>
      </c>
      <c r="AL14" s="676">
        <v>2842.2422852775389</v>
      </c>
      <c r="AM14" s="676">
        <v>1502.8183815802045</v>
      </c>
      <c r="AN14" s="676"/>
      <c r="AO14" s="676"/>
      <c r="AP14" s="676">
        <v>0.93149899684723414</v>
      </c>
      <c r="AQ14" s="676">
        <v>77.744339352249924</v>
      </c>
      <c r="AR14" s="676"/>
      <c r="AS14" s="676">
        <v>19.107671730199673</v>
      </c>
      <c r="AT14" s="674">
        <v>90050.492022547041</v>
      </c>
      <c r="AU14" s="676">
        <v>90050.492022547041</v>
      </c>
      <c r="AV14" s="676"/>
      <c r="AW14" s="676"/>
      <c r="AX14" s="676"/>
      <c r="AY14" s="676"/>
      <c r="AZ14" s="674">
        <v>17.364096684818954</v>
      </c>
      <c r="BA14" s="676"/>
      <c r="BB14" s="676"/>
      <c r="BC14" s="676"/>
      <c r="BD14" s="676">
        <v>0</v>
      </c>
      <c r="BE14" s="676"/>
      <c r="BF14" s="676">
        <v>17.364096684818954</v>
      </c>
      <c r="BG14" s="676">
        <v>0</v>
      </c>
      <c r="BH14" s="676">
        <v>0</v>
      </c>
      <c r="BI14" s="676">
        <v>0</v>
      </c>
      <c r="BJ14" s="676">
        <v>0</v>
      </c>
      <c r="BK14" s="676">
        <v>0</v>
      </c>
      <c r="BL14" s="676">
        <v>0</v>
      </c>
      <c r="BM14" s="676">
        <v>0</v>
      </c>
      <c r="BN14" s="676">
        <v>0</v>
      </c>
      <c r="BO14" s="674">
        <v>0</v>
      </c>
      <c r="BP14" s="676">
        <v>0</v>
      </c>
      <c r="BQ14" s="676">
        <v>0</v>
      </c>
      <c r="BR14" s="675"/>
      <c r="BS14" s="675">
        <v>0</v>
      </c>
      <c r="BT14" s="674">
        <v>1885.8077768223941</v>
      </c>
    </row>
    <row r="15" spans="1:73">
      <c r="A15" s="680" t="s">
        <v>1081</v>
      </c>
      <c r="B15" s="679" t="s">
        <v>1272</v>
      </c>
      <c r="C15" s="679"/>
      <c r="D15" s="679"/>
      <c r="E15" s="679"/>
      <c r="F15" s="678" t="s">
        <v>1271</v>
      </c>
      <c r="G15" s="678"/>
      <c r="H15" s="677">
        <v>144.52565204929778</v>
      </c>
      <c r="I15" s="674">
        <v>0</v>
      </c>
      <c r="J15" s="676">
        <v>0</v>
      </c>
      <c r="K15" s="676">
        <v>0</v>
      </c>
      <c r="L15" s="676">
        <v>0</v>
      </c>
      <c r="M15" s="676">
        <v>0</v>
      </c>
      <c r="N15" s="676">
        <v>0</v>
      </c>
      <c r="O15" s="676">
        <v>0</v>
      </c>
      <c r="P15" s="676">
        <v>0</v>
      </c>
      <c r="Q15" s="676">
        <v>0</v>
      </c>
      <c r="R15" s="676">
        <v>0</v>
      </c>
      <c r="S15" s="676">
        <v>0</v>
      </c>
      <c r="T15" s="676">
        <v>0</v>
      </c>
      <c r="U15" s="676">
        <v>0</v>
      </c>
      <c r="V15" s="676">
        <v>0</v>
      </c>
      <c r="W15" s="674">
        <v>144.52565204929778</v>
      </c>
      <c r="X15" s="676"/>
      <c r="Y15" s="676"/>
      <c r="Z15" s="676"/>
      <c r="AA15" s="676"/>
      <c r="AB15" s="676"/>
      <c r="AC15" s="676"/>
      <c r="AD15" s="676"/>
      <c r="AE15" s="676"/>
      <c r="AF15" s="676"/>
      <c r="AG15" s="676"/>
      <c r="AH15" s="676"/>
      <c r="AI15" s="676"/>
      <c r="AJ15" s="676"/>
      <c r="AK15" s="676"/>
      <c r="AL15" s="676">
        <v>70.00573230151906</v>
      </c>
      <c r="AM15" s="676">
        <v>74.519919747778729</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c r="A17" s="755" t="s">
        <v>1268</v>
      </c>
      <c r="B17" s="755"/>
      <c r="C17" s="755"/>
      <c r="D17" s="755"/>
      <c r="E17" s="755"/>
      <c r="F17" s="658" t="s">
        <v>1267</v>
      </c>
      <c r="G17" s="658"/>
      <c r="H17" s="754">
        <v>29236.720168147509</v>
      </c>
      <c r="I17" s="704">
        <v>850.0286615075953</v>
      </c>
      <c r="J17" s="753">
        <v>0</v>
      </c>
      <c r="K17" s="753">
        <v>0</v>
      </c>
      <c r="L17" s="753">
        <v>538.93188115028181</v>
      </c>
      <c r="M17" s="753">
        <v>0</v>
      </c>
      <c r="N17" s="753">
        <v>0</v>
      </c>
      <c r="O17" s="753">
        <v>0</v>
      </c>
      <c r="P17" s="753">
        <v>311.07289576765072</v>
      </c>
      <c r="Q17" s="753">
        <v>0</v>
      </c>
      <c r="R17" s="753">
        <v>0</v>
      </c>
      <c r="S17" s="753">
        <v>0</v>
      </c>
      <c r="T17" s="753">
        <v>0</v>
      </c>
      <c r="U17" s="753">
        <v>0</v>
      </c>
      <c r="V17" s="753">
        <v>0</v>
      </c>
      <c r="W17" s="704">
        <v>11466.752651189452</v>
      </c>
      <c r="X17" s="753">
        <v>13359.248113117415</v>
      </c>
      <c r="Y17" s="753">
        <v>9954.117703257858</v>
      </c>
      <c r="Z17" s="753"/>
      <c r="AA17" s="753">
        <v>51.853444157829365</v>
      </c>
      <c r="AB17" s="753"/>
      <c r="AC17" s="753"/>
      <c r="AD17" s="753">
        <v>-1104.3756568262156</v>
      </c>
      <c r="AE17" s="753">
        <v>-5216.9198433170914</v>
      </c>
      <c r="AF17" s="753">
        <v>-1999.5461927964077</v>
      </c>
      <c r="AG17" s="753"/>
      <c r="AH17" s="753"/>
      <c r="AI17" s="753">
        <v>433.38587943059139</v>
      </c>
      <c r="AJ17" s="753">
        <v>45.285182000573229</v>
      </c>
      <c r="AK17" s="753">
        <v>-2529.0675456195663</v>
      </c>
      <c r="AL17" s="753">
        <v>-1805.603324734881</v>
      </c>
      <c r="AM17" s="753">
        <v>-430.87799751600267</v>
      </c>
      <c r="AN17" s="753">
        <v>19.776440240756664</v>
      </c>
      <c r="AO17" s="753">
        <v>42.132416165090284</v>
      </c>
      <c r="AP17" s="753">
        <v>402.40756663800516</v>
      </c>
      <c r="AQ17" s="753">
        <v>244.93646699149707</v>
      </c>
      <c r="AR17" s="753"/>
      <c r="AS17" s="753">
        <v>0</v>
      </c>
      <c r="AT17" s="704">
        <v>4939.380911435941</v>
      </c>
      <c r="AU17" s="753">
        <v>4939.380911435941</v>
      </c>
      <c r="AV17" s="753">
        <v>0</v>
      </c>
      <c r="AW17" s="753">
        <v>0</v>
      </c>
      <c r="AX17" s="753">
        <v>0</v>
      </c>
      <c r="AY17" s="753">
        <v>0</v>
      </c>
      <c r="AZ17" s="704">
        <v>13096.207127161555</v>
      </c>
      <c r="BA17" s="753">
        <v>11684.771185631031</v>
      </c>
      <c r="BB17" s="753">
        <v>190.55125632941625</v>
      </c>
      <c r="BC17" s="753">
        <v>0</v>
      </c>
      <c r="BD17" s="753">
        <v>0</v>
      </c>
      <c r="BE17" s="753">
        <v>0</v>
      </c>
      <c r="BF17" s="753">
        <v>844.2247062195471</v>
      </c>
      <c r="BG17" s="753">
        <v>0</v>
      </c>
      <c r="BH17" s="753">
        <v>23.144167383204355</v>
      </c>
      <c r="BI17" s="753">
        <v>221.95949173593198</v>
      </c>
      <c r="BJ17" s="753">
        <v>9.8165663513900832</v>
      </c>
      <c r="BK17" s="753">
        <v>114.55049202254705</v>
      </c>
      <c r="BL17" s="753">
        <v>0</v>
      </c>
      <c r="BM17" s="753">
        <v>7.1892614884876274</v>
      </c>
      <c r="BN17" s="753">
        <v>0</v>
      </c>
      <c r="BO17" s="704">
        <v>224.41960447119519</v>
      </c>
      <c r="BP17" s="753">
        <v>2.4601127352632082</v>
      </c>
      <c r="BQ17" s="753">
        <v>221.95949173593198</v>
      </c>
      <c r="BR17" s="705">
        <v>0</v>
      </c>
      <c r="BS17" s="705">
        <v>0</v>
      </c>
      <c r="BT17" s="704">
        <v>-1340.0687876182287</v>
      </c>
    </row>
    <row r="18" spans="1:72">
      <c r="A18" s="755" t="s">
        <v>1266</v>
      </c>
      <c r="B18" s="755"/>
      <c r="C18" s="755"/>
      <c r="D18" s="755"/>
      <c r="E18" s="755"/>
      <c r="F18" s="658" t="s">
        <v>1265</v>
      </c>
      <c r="G18" s="658"/>
      <c r="H18" s="754">
        <v>16106.477500716537</v>
      </c>
      <c r="I18" s="704">
        <v>101.36619852870928</v>
      </c>
      <c r="J18" s="753">
        <v>0</v>
      </c>
      <c r="K18" s="753">
        <v>0</v>
      </c>
      <c r="L18" s="753">
        <v>16.766981943250215</v>
      </c>
      <c r="M18" s="753">
        <v>0</v>
      </c>
      <c r="N18" s="753">
        <v>0</v>
      </c>
      <c r="O18" s="753">
        <v>0</v>
      </c>
      <c r="P18" s="753">
        <v>84.575331995796304</v>
      </c>
      <c r="Q18" s="753">
        <v>0</v>
      </c>
      <c r="R18" s="753">
        <v>0</v>
      </c>
      <c r="S18" s="753">
        <v>0</v>
      </c>
      <c r="T18" s="753">
        <v>0</v>
      </c>
      <c r="U18" s="753">
        <v>0</v>
      </c>
      <c r="V18" s="753">
        <v>0</v>
      </c>
      <c r="W18" s="704">
        <v>14864.932645457151</v>
      </c>
      <c r="X18" s="753">
        <v>12867.201681475111</v>
      </c>
      <c r="Y18" s="753">
        <v>1051.1607910576097</v>
      </c>
      <c r="Z18" s="753">
        <v>878.97678417884777</v>
      </c>
      <c r="AA18" s="753">
        <v>51.853444157829365</v>
      </c>
      <c r="AB18" s="753"/>
      <c r="AC18" s="753"/>
      <c r="AD18" s="753"/>
      <c r="AE18" s="753">
        <v>4.3947644979459248</v>
      </c>
      <c r="AF18" s="753"/>
      <c r="AG18" s="753"/>
      <c r="AH18" s="753"/>
      <c r="AI18" s="753"/>
      <c r="AJ18" s="753"/>
      <c r="AK18" s="753"/>
      <c r="AL18" s="753">
        <v>11.321295500143307</v>
      </c>
      <c r="AM18" s="753">
        <v>0</v>
      </c>
      <c r="AN18" s="753"/>
      <c r="AO18" s="753"/>
      <c r="AP18" s="753"/>
      <c r="AQ18" s="753"/>
      <c r="AR18" s="753"/>
      <c r="AS18" s="753"/>
      <c r="AT18" s="704">
        <v>372.12190694563867</v>
      </c>
      <c r="AU18" s="753">
        <v>357.33734594439665</v>
      </c>
      <c r="AV18" s="753">
        <v>0</v>
      </c>
      <c r="AW18" s="753">
        <v>14.784561001241999</v>
      </c>
      <c r="AX18" s="753">
        <v>0</v>
      </c>
      <c r="AY18" s="753">
        <v>0</v>
      </c>
      <c r="AZ18" s="704">
        <v>347.83127925862232</v>
      </c>
      <c r="BA18" s="753"/>
      <c r="BB18" s="753"/>
      <c r="BC18" s="753"/>
      <c r="BD18" s="753">
        <v>0</v>
      </c>
      <c r="BE18" s="753"/>
      <c r="BF18" s="753">
        <v>123.24448265978791</v>
      </c>
      <c r="BG18" s="753">
        <v>0</v>
      </c>
      <c r="BH18" s="753">
        <v>8.670106047578102</v>
      </c>
      <c r="BI18" s="753">
        <v>212.40565587083213</v>
      </c>
      <c r="BJ18" s="753">
        <v>0</v>
      </c>
      <c r="BK18" s="753">
        <v>0</v>
      </c>
      <c r="BL18" s="753">
        <v>0</v>
      </c>
      <c r="BM18" s="753">
        <v>3.5110346804241903</v>
      </c>
      <c r="BN18" s="753">
        <v>0</v>
      </c>
      <c r="BO18" s="704">
        <v>214.86576860609534</v>
      </c>
      <c r="BP18" s="753">
        <v>2.4601127352632082</v>
      </c>
      <c r="BQ18" s="753">
        <v>212.40565587083213</v>
      </c>
      <c r="BR18" s="705">
        <v>0</v>
      </c>
      <c r="BS18" s="705">
        <v>130.83978217254227</v>
      </c>
      <c r="BT18" s="704">
        <v>74.543804337441486</v>
      </c>
    </row>
    <row r="19" spans="1:72">
      <c r="A19" s="688" t="s">
        <v>968</v>
      </c>
      <c r="B19" s="687" t="s">
        <v>1222</v>
      </c>
      <c r="C19" s="687"/>
      <c r="D19" s="687"/>
      <c r="E19" s="687"/>
      <c r="F19" s="686" t="s">
        <v>1264</v>
      </c>
      <c r="G19" s="686"/>
      <c r="H19" s="685">
        <v>822.27476831948024</v>
      </c>
      <c r="I19" s="682">
        <v>16.766981943250215</v>
      </c>
      <c r="J19" s="684">
        <v>0</v>
      </c>
      <c r="K19" s="684">
        <v>0</v>
      </c>
      <c r="L19" s="684">
        <v>16.766981943250215</v>
      </c>
      <c r="M19" s="684">
        <v>0</v>
      </c>
      <c r="N19" s="684">
        <v>0</v>
      </c>
      <c r="O19" s="684">
        <v>0</v>
      </c>
      <c r="P19" s="684">
        <v>0</v>
      </c>
      <c r="Q19" s="684">
        <v>0</v>
      </c>
      <c r="R19" s="684">
        <v>0</v>
      </c>
      <c r="S19" s="684">
        <v>0</v>
      </c>
      <c r="T19" s="684">
        <v>0</v>
      </c>
      <c r="U19" s="684">
        <v>0</v>
      </c>
      <c r="V19" s="684">
        <v>0</v>
      </c>
      <c r="W19" s="682">
        <v>4.1081494219929295</v>
      </c>
      <c r="X19" s="684"/>
      <c r="Y19" s="684"/>
      <c r="Z19" s="684"/>
      <c r="AA19" s="684"/>
      <c r="AB19" s="684"/>
      <c r="AC19" s="684"/>
      <c r="AD19" s="684"/>
      <c r="AE19" s="684"/>
      <c r="AF19" s="684"/>
      <c r="AG19" s="684"/>
      <c r="AH19" s="684"/>
      <c r="AI19" s="684"/>
      <c r="AJ19" s="684"/>
      <c r="AK19" s="684"/>
      <c r="AL19" s="684">
        <v>4.1081494219929295</v>
      </c>
      <c r="AM19" s="684">
        <v>0</v>
      </c>
      <c r="AN19" s="684"/>
      <c r="AO19" s="684"/>
      <c r="AP19" s="684"/>
      <c r="AQ19" s="684"/>
      <c r="AR19" s="684"/>
      <c r="AS19" s="684"/>
      <c r="AT19" s="682">
        <v>360.60953472819335</v>
      </c>
      <c r="AU19" s="684">
        <v>346.03993503391609</v>
      </c>
      <c r="AV19" s="684">
        <v>0</v>
      </c>
      <c r="AW19" s="684">
        <v>14.569599694277251</v>
      </c>
      <c r="AX19" s="684">
        <v>0</v>
      </c>
      <c r="AY19" s="684">
        <v>0</v>
      </c>
      <c r="AZ19" s="682">
        <v>155.79917837011558</v>
      </c>
      <c r="BA19" s="684"/>
      <c r="BB19" s="684"/>
      <c r="BC19" s="684"/>
      <c r="BD19" s="684">
        <v>0</v>
      </c>
      <c r="BE19" s="684"/>
      <c r="BF19" s="684">
        <v>1.9107671730199673</v>
      </c>
      <c r="BG19" s="684"/>
      <c r="BH19" s="684">
        <v>2.2212668386357119</v>
      </c>
      <c r="BI19" s="684">
        <v>151.66714435845992</v>
      </c>
      <c r="BJ19" s="684">
        <v>0</v>
      </c>
      <c r="BK19" s="684">
        <v>0</v>
      </c>
      <c r="BL19" s="684">
        <v>0</v>
      </c>
      <c r="BM19" s="684">
        <v>0</v>
      </c>
      <c r="BN19" s="684">
        <v>0</v>
      </c>
      <c r="BO19" s="682">
        <v>154.12725709372313</v>
      </c>
      <c r="BP19" s="684">
        <v>2.4601127352632082</v>
      </c>
      <c r="BQ19" s="684">
        <v>151.66714435845992</v>
      </c>
      <c r="BR19" s="683"/>
      <c r="BS19" s="683">
        <v>130.83978217254227</v>
      </c>
      <c r="BT19" s="682"/>
    </row>
    <row r="20" spans="1:72">
      <c r="A20" s="681"/>
      <c r="B20" s="680" t="s">
        <v>968</v>
      </c>
      <c r="C20" s="679" t="s">
        <v>1220</v>
      </c>
      <c r="D20" s="679"/>
      <c r="E20" s="679"/>
      <c r="F20" s="678" t="s">
        <v>1263</v>
      </c>
      <c r="G20" s="678"/>
      <c r="H20" s="677">
        <v>336.91602178274576</v>
      </c>
      <c r="I20" s="674">
        <v>16.766981943250215</v>
      </c>
      <c r="J20" s="676">
        <v>0</v>
      </c>
      <c r="K20" s="676">
        <v>0</v>
      </c>
      <c r="L20" s="676">
        <v>16.766981943250215</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14.569599694277251</v>
      </c>
      <c r="AU20" s="676">
        <v>0</v>
      </c>
      <c r="AV20" s="676">
        <v>0</v>
      </c>
      <c r="AW20" s="676">
        <v>14.569599694277251</v>
      </c>
      <c r="AX20" s="676">
        <v>0</v>
      </c>
      <c r="AY20" s="676">
        <v>0</v>
      </c>
      <c r="AZ20" s="674">
        <v>153.88841119709562</v>
      </c>
      <c r="BA20" s="676"/>
      <c r="BB20" s="676"/>
      <c r="BC20" s="676"/>
      <c r="BD20" s="676">
        <v>0</v>
      </c>
      <c r="BE20" s="676"/>
      <c r="BF20" s="676">
        <v>0</v>
      </c>
      <c r="BG20" s="676"/>
      <c r="BH20" s="676">
        <v>2.2212668386357119</v>
      </c>
      <c r="BI20" s="676">
        <v>151.66714435845992</v>
      </c>
      <c r="BJ20" s="676">
        <v>0</v>
      </c>
      <c r="BK20" s="676">
        <v>0</v>
      </c>
      <c r="BL20" s="676">
        <v>0</v>
      </c>
      <c r="BM20" s="676">
        <v>0</v>
      </c>
      <c r="BN20" s="676">
        <v>0</v>
      </c>
      <c r="BO20" s="674">
        <v>151.66714435845992</v>
      </c>
      <c r="BP20" s="676">
        <v>0</v>
      </c>
      <c r="BQ20" s="676">
        <v>151.66714435845992</v>
      </c>
      <c r="BR20" s="675"/>
      <c r="BS20" s="675"/>
      <c r="BT20" s="674"/>
    </row>
    <row r="21" spans="1:72">
      <c r="A21" s="681"/>
      <c r="B21" s="680"/>
      <c r="C21" s="680" t="s">
        <v>968</v>
      </c>
      <c r="D21" s="679" t="s">
        <v>1262</v>
      </c>
      <c r="E21" s="679"/>
      <c r="F21" s="678" t="s">
        <v>1261</v>
      </c>
      <c r="G21" s="678"/>
      <c r="H21" s="677">
        <v>16.36094391898347</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14.569599694277251</v>
      </c>
      <c r="AU21" s="676">
        <v>0</v>
      </c>
      <c r="AV21" s="676">
        <v>0</v>
      </c>
      <c r="AW21" s="676">
        <v>14.569599694277251</v>
      </c>
      <c r="AX21" s="676">
        <v>0</v>
      </c>
      <c r="AY21" s="676">
        <v>0</v>
      </c>
      <c r="AZ21" s="674">
        <v>1.7913442247062195</v>
      </c>
      <c r="BA21" s="676"/>
      <c r="BB21" s="676"/>
      <c r="BC21" s="676"/>
      <c r="BD21" s="676">
        <v>0</v>
      </c>
      <c r="BE21" s="676"/>
      <c r="BF21" s="676">
        <v>0</v>
      </c>
      <c r="BG21" s="676"/>
      <c r="BH21" s="676">
        <v>1.7913442247062195</v>
      </c>
      <c r="BI21" s="676">
        <v>0</v>
      </c>
      <c r="BJ21" s="676">
        <v>0</v>
      </c>
      <c r="BK21" s="676">
        <v>0</v>
      </c>
      <c r="BL21" s="676">
        <v>0</v>
      </c>
      <c r="BM21" s="676">
        <v>0</v>
      </c>
      <c r="BN21" s="676">
        <v>0</v>
      </c>
      <c r="BO21" s="674">
        <v>0</v>
      </c>
      <c r="BP21" s="676">
        <v>0</v>
      </c>
      <c r="BQ21" s="676">
        <v>0</v>
      </c>
      <c r="BR21" s="675"/>
      <c r="BS21" s="675"/>
      <c r="BT21" s="674"/>
    </row>
    <row r="22" spans="1:72">
      <c r="A22" s="681"/>
      <c r="B22" s="680"/>
      <c r="C22" s="680" t="s">
        <v>968</v>
      </c>
      <c r="D22" s="679" t="s">
        <v>1260</v>
      </c>
      <c r="E22" s="679"/>
      <c r="F22" s="678" t="s">
        <v>1259</v>
      </c>
      <c r="G22" s="678"/>
      <c r="H22" s="677">
        <v>320.53119327409951</v>
      </c>
      <c r="I22" s="674">
        <v>16.766981943250215</v>
      </c>
      <c r="J22" s="676">
        <v>0</v>
      </c>
      <c r="K22" s="676">
        <v>0</v>
      </c>
      <c r="L22" s="676">
        <v>16.766981943250215</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152.0970669723894</v>
      </c>
      <c r="BA22" s="676"/>
      <c r="BB22" s="676"/>
      <c r="BC22" s="676"/>
      <c r="BD22" s="676">
        <v>0</v>
      </c>
      <c r="BE22" s="676"/>
      <c r="BF22" s="676">
        <v>0</v>
      </c>
      <c r="BG22" s="676"/>
      <c r="BH22" s="676">
        <v>0.42992261392949266</v>
      </c>
      <c r="BI22" s="676">
        <v>151.66714435845992</v>
      </c>
      <c r="BJ22" s="676">
        <v>0</v>
      </c>
      <c r="BK22" s="676">
        <v>0</v>
      </c>
      <c r="BL22" s="676">
        <v>0</v>
      </c>
      <c r="BM22" s="676">
        <v>0</v>
      </c>
      <c r="BN22" s="676">
        <v>0</v>
      </c>
      <c r="BO22" s="674">
        <v>151.66714435845992</v>
      </c>
      <c r="BP22" s="676">
        <v>0</v>
      </c>
      <c r="BQ22" s="676">
        <v>151.66714435845992</v>
      </c>
      <c r="BR22" s="675"/>
      <c r="BS22" s="675"/>
      <c r="BT22" s="674"/>
    </row>
    <row r="23" spans="1:72">
      <c r="A23" s="681"/>
      <c r="B23" s="680" t="s">
        <v>968</v>
      </c>
      <c r="C23" s="679" t="s">
        <v>1190</v>
      </c>
      <c r="D23" s="679"/>
      <c r="E23" s="679"/>
      <c r="F23" s="678" t="s">
        <v>1258</v>
      </c>
      <c r="G23" s="678"/>
      <c r="H23" s="677">
        <v>354.54284895385496</v>
      </c>
      <c r="I23" s="674">
        <v>0</v>
      </c>
      <c r="J23" s="676">
        <v>0</v>
      </c>
      <c r="K23" s="676">
        <v>0</v>
      </c>
      <c r="L23" s="676">
        <v>0</v>
      </c>
      <c r="M23" s="676">
        <v>0</v>
      </c>
      <c r="N23" s="676">
        <v>0</v>
      </c>
      <c r="O23" s="676">
        <v>0</v>
      </c>
      <c r="P23" s="676">
        <v>0</v>
      </c>
      <c r="Q23" s="676">
        <v>0</v>
      </c>
      <c r="R23" s="676">
        <v>0</v>
      </c>
      <c r="S23" s="676">
        <v>0</v>
      </c>
      <c r="T23" s="676">
        <v>0</v>
      </c>
      <c r="U23" s="676">
        <v>0</v>
      </c>
      <c r="V23" s="676">
        <v>0</v>
      </c>
      <c r="W23" s="674">
        <v>4.1081494219929295</v>
      </c>
      <c r="X23" s="676"/>
      <c r="Y23" s="676"/>
      <c r="Z23" s="676"/>
      <c r="AA23" s="676"/>
      <c r="AB23" s="676"/>
      <c r="AC23" s="676"/>
      <c r="AD23" s="676"/>
      <c r="AE23" s="676"/>
      <c r="AF23" s="676"/>
      <c r="AG23" s="676"/>
      <c r="AH23" s="676"/>
      <c r="AI23" s="676"/>
      <c r="AJ23" s="676"/>
      <c r="AK23" s="676"/>
      <c r="AL23" s="676">
        <v>4.1081494219929295</v>
      </c>
      <c r="AM23" s="676">
        <v>0</v>
      </c>
      <c r="AN23" s="676"/>
      <c r="AO23" s="676"/>
      <c r="AP23" s="676"/>
      <c r="AQ23" s="676"/>
      <c r="AR23" s="676"/>
      <c r="AS23" s="676"/>
      <c r="AT23" s="674">
        <v>346.03993503391609</v>
      </c>
      <c r="AU23" s="676">
        <v>346.03993503391609</v>
      </c>
      <c r="AV23" s="676">
        <v>0</v>
      </c>
      <c r="AW23" s="676">
        <v>0</v>
      </c>
      <c r="AX23" s="676">
        <v>0</v>
      </c>
      <c r="AY23" s="676">
        <v>0</v>
      </c>
      <c r="AZ23" s="674">
        <v>1.9107671730199673</v>
      </c>
      <c r="BA23" s="676"/>
      <c r="BB23" s="676"/>
      <c r="BC23" s="676"/>
      <c r="BD23" s="676">
        <v>0</v>
      </c>
      <c r="BE23" s="676"/>
      <c r="BF23" s="676">
        <v>1.9107671730199673</v>
      </c>
      <c r="BG23" s="676"/>
      <c r="BH23" s="676">
        <v>0</v>
      </c>
      <c r="BI23" s="676">
        <v>0</v>
      </c>
      <c r="BJ23" s="676">
        <v>0</v>
      </c>
      <c r="BK23" s="676">
        <v>0</v>
      </c>
      <c r="BL23" s="676">
        <v>0</v>
      </c>
      <c r="BM23" s="676">
        <v>0</v>
      </c>
      <c r="BN23" s="676">
        <v>0</v>
      </c>
      <c r="BO23" s="674">
        <v>2.4601127352632082</v>
      </c>
      <c r="BP23" s="676">
        <v>2.4601127352632082</v>
      </c>
      <c r="BQ23" s="676">
        <v>0</v>
      </c>
      <c r="BR23" s="675"/>
      <c r="BS23" s="675"/>
      <c r="BT23" s="674"/>
    </row>
    <row r="24" spans="1:72">
      <c r="A24" s="681"/>
      <c r="B24" s="680"/>
      <c r="C24" s="680" t="s">
        <v>968</v>
      </c>
      <c r="D24" s="679" t="s">
        <v>1257</v>
      </c>
      <c r="E24" s="679"/>
      <c r="F24" s="678" t="s">
        <v>1256</v>
      </c>
      <c r="G24" s="678"/>
      <c r="H24" s="677">
        <v>354.54284895385496</v>
      </c>
      <c r="I24" s="674">
        <v>0</v>
      </c>
      <c r="J24" s="676">
        <v>0</v>
      </c>
      <c r="K24" s="676">
        <v>0</v>
      </c>
      <c r="L24" s="676">
        <v>0</v>
      </c>
      <c r="M24" s="676">
        <v>0</v>
      </c>
      <c r="N24" s="676">
        <v>0</v>
      </c>
      <c r="O24" s="676">
        <v>0</v>
      </c>
      <c r="P24" s="676">
        <v>0</v>
      </c>
      <c r="Q24" s="676">
        <v>0</v>
      </c>
      <c r="R24" s="676">
        <v>0</v>
      </c>
      <c r="S24" s="676">
        <v>0</v>
      </c>
      <c r="T24" s="676">
        <v>0</v>
      </c>
      <c r="U24" s="676">
        <v>0</v>
      </c>
      <c r="V24" s="676">
        <v>0</v>
      </c>
      <c r="W24" s="674">
        <v>4.1081494219929295</v>
      </c>
      <c r="X24" s="676"/>
      <c r="Y24" s="676"/>
      <c r="Z24" s="676"/>
      <c r="AA24" s="676"/>
      <c r="AB24" s="676"/>
      <c r="AC24" s="676"/>
      <c r="AD24" s="676"/>
      <c r="AE24" s="676"/>
      <c r="AF24" s="676"/>
      <c r="AG24" s="676"/>
      <c r="AH24" s="676"/>
      <c r="AI24" s="676"/>
      <c r="AJ24" s="676"/>
      <c r="AK24" s="676"/>
      <c r="AL24" s="676">
        <v>4.1081494219929295</v>
      </c>
      <c r="AM24" s="676">
        <v>0</v>
      </c>
      <c r="AN24" s="676"/>
      <c r="AO24" s="676"/>
      <c r="AP24" s="676"/>
      <c r="AQ24" s="676"/>
      <c r="AR24" s="676"/>
      <c r="AS24" s="676"/>
      <c r="AT24" s="674">
        <v>346.03993503391609</v>
      </c>
      <c r="AU24" s="676">
        <v>346.03993503391609</v>
      </c>
      <c r="AV24" s="676">
        <v>0</v>
      </c>
      <c r="AW24" s="676">
        <v>0</v>
      </c>
      <c r="AX24" s="676">
        <v>0</v>
      </c>
      <c r="AY24" s="676">
        <v>0</v>
      </c>
      <c r="AZ24" s="674">
        <v>1.9107671730199673</v>
      </c>
      <c r="BA24" s="676"/>
      <c r="BB24" s="676"/>
      <c r="BC24" s="676"/>
      <c r="BD24" s="676">
        <v>0</v>
      </c>
      <c r="BE24" s="676"/>
      <c r="BF24" s="676">
        <v>1.9107671730199673</v>
      </c>
      <c r="BG24" s="676"/>
      <c r="BH24" s="676">
        <v>0</v>
      </c>
      <c r="BI24" s="676">
        <v>0</v>
      </c>
      <c r="BJ24" s="676">
        <v>0</v>
      </c>
      <c r="BK24" s="676">
        <v>0</v>
      </c>
      <c r="BL24" s="676">
        <v>0</v>
      </c>
      <c r="BM24" s="676">
        <v>0</v>
      </c>
      <c r="BN24" s="676">
        <v>0</v>
      </c>
      <c r="BO24" s="674">
        <v>2.4601127352632082</v>
      </c>
      <c r="BP24" s="676">
        <v>2.4601127352632082</v>
      </c>
      <c r="BQ24" s="676">
        <v>0</v>
      </c>
      <c r="BR24" s="675"/>
      <c r="BS24" s="675"/>
      <c r="BT24" s="674"/>
    </row>
    <row r="25" spans="1:72">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c r="A26" s="681"/>
      <c r="B26" s="680" t="s">
        <v>968</v>
      </c>
      <c r="C26" s="679" t="s">
        <v>1253</v>
      </c>
      <c r="D26" s="679"/>
      <c r="E26" s="679"/>
      <c r="F26" s="678" t="s">
        <v>1252</v>
      </c>
      <c r="G26" s="678"/>
      <c r="H26" s="677">
        <v>130.83978217254227</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130.83978217254227</v>
      </c>
      <c r="BT26" s="674"/>
    </row>
    <row r="27" spans="1:72">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c r="A29" s="680" t="s">
        <v>968</v>
      </c>
      <c r="B29" s="679" t="s">
        <v>1138</v>
      </c>
      <c r="C29" s="679"/>
      <c r="D29" s="679"/>
      <c r="E29" s="679"/>
      <c r="F29" s="678" t="s">
        <v>1248</v>
      </c>
      <c r="G29" s="678"/>
      <c r="H29" s="677">
        <v>84.575331995796304</v>
      </c>
      <c r="I29" s="674">
        <v>84.575331995796304</v>
      </c>
      <c r="J29" s="676"/>
      <c r="K29" s="676"/>
      <c r="L29" s="676"/>
      <c r="M29" s="676"/>
      <c r="N29" s="676"/>
      <c r="O29" s="676"/>
      <c r="P29" s="676">
        <v>84.575331995796304</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c r="A31" s="680" t="s">
        <v>968</v>
      </c>
      <c r="B31" s="679" t="s">
        <v>287</v>
      </c>
      <c r="C31" s="679"/>
      <c r="D31" s="679"/>
      <c r="E31" s="679"/>
      <c r="F31" s="678" t="s">
        <v>1246</v>
      </c>
      <c r="G31" s="678"/>
      <c r="H31" s="677">
        <v>14849.192700869398</v>
      </c>
      <c r="I31" s="674"/>
      <c r="J31" s="676"/>
      <c r="K31" s="676"/>
      <c r="L31" s="676"/>
      <c r="M31" s="676"/>
      <c r="N31" s="676"/>
      <c r="O31" s="676"/>
      <c r="P31" s="676"/>
      <c r="Q31" s="676"/>
      <c r="R31" s="676"/>
      <c r="S31" s="676"/>
      <c r="T31" s="676"/>
      <c r="U31" s="676"/>
      <c r="V31" s="676"/>
      <c r="W31" s="674">
        <v>14849.192700869398</v>
      </c>
      <c r="X31" s="676">
        <v>12867.201681475111</v>
      </c>
      <c r="Y31" s="676">
        <v>1051.1607910576097</v>
      </c>
      <c r="Z31" s="676">
        <v>878.97678417884777</v>
      </c>
      <c r="AA31" s="676">
        <v>51.853444157829365</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c r="A32" s="680" t="s">
        <v>968</v>
      </c>
      <c r="B32" s="679" t="s">
        <v>1245</v>
      </c>
      <c r="C32" s="679"/>
      <c r="D32" s="679"/>
      <c r="E32" s="679"/>
      <c r="F32" s="678" t="s">
        <v>1244</v>
      </c>
      <c r="G32" s="678"/>
      <c r="H32" s="677">
        <v>350.43469953186201</v>
      </c>
      <c r="I32" s="674">
        <v>0</v>
      </c>
      <c r="J32" s="676">
        <v>0</v>
      </c>
      <c r="K32" s="676">
        <v>0</v>
      </c>
      <c r="L32" s="676">
        <v>0</v>
      </c>
      <c r="M32" s="676">
        <v>0</v>
      </c>
      <c r="N32" s="676">
        <v>0</v>
      </c>
      <c r="O32" s="676">
        <v>0</v>
      </c>
      <c r="P32" s="676">
        <v>0</v>
      </c>
      <c r="Q32" s="676">
        <v>0</v>
      </c>
      <c r="R32" s="676">
        <v>0</v>
      </c>
      <c r="S32" s="676">
        <v>0</v>
      </c>
      <c r="T32" s="676">
        <v>0</v>
      </c>
      <c r="U32" s="676">
        <v>0</v>
      </c>
      <c r="V32" s="676">
        <v>0</v>
      </c>
      <c r="W32" s="674">
        <v>11.607910576096302</v>
      </c>
      <c r="X32" s="676"/>
      <c r="Y32" s="676"/>
      <c r="Z32" s="676"/>
      <c r="AA32" s="676"/>
      <c r="AB32" s="676"/>
      <c r="AC32" s="676"/>
      <c r="AD32" s="676"/>
      <c r="AE32" s="676">
        <v>4.3947644979459248</v>
      </c>
      <c r="AF32" s="676"/>
      <c r="AG32" s="676"/>
      <c r="AH32" s="676"/>
      <c r="AI32" s="676"/>
      <c r="AJ32" s="676"/>
      <c r="AK32" s="676"/>
      <c r="AL32" s="676">
        <v>7.2131460781503769</v>
      </c>
      <c r="AM32" s="676">
        <v>0</v>
      </c>
      <c r="AN32" s="676"/>
      <c r="AO32" s="676"/>
      <c r="AP32" s="676"/>
      <c r="AQ32" s="676"/>
      <c r="AR32" s="676"/>
      <c r="AS32" s="676"/>
      <c r="AT32" s="674">
        <v>11.512372217445304</v>
      </c>
      <c r="AU32" s="676">
        <v>11.273526320817808</v>
      </c>
      <c r="AV32" s="676">
        <v>0</v>
      </c>
      <c r="AW32" s="676">
        <v>0.21496130696474633</v>
      </c>
      <c r="AX32" s="676">
        <v>0</v>
      </c>
      <c r="AY32" s="676">
        <v>0</v>
      </c>
      <c r="AZ32" s="674">
        <v>192.03210088850673</v>
      </c>
      <c r="BA32" s="676"/>
      <c r="BB32" s="676"/>
      <c r="BC32" s="676"/>
      <c r="BD32" s="676">
        <v>0</v>
      </c>
      <c r="BE32" s="676"/>
      <c r="BF32" s="676">
        <v>121.33371548676793</v>
      </c>
      <c r="BG32" s="676"/>
      <c r="BH32" s="676">
        <v>6.44883920894239</v>
      </c>
      <c r="BI32" s="676">
        <v>60.738511512372213</v>
      </c>
      <c r="BJ32" s="676">
        <v>0</v>
      </c>
      <c r="BK32" s="676">
        <v>0</v>
      </c>
      <c r="BL32" s="676">
        <v>0</v>
      </c>
      <c r="BM32" s="676">
        <v>3.5110346804241903</v>
      </c>
      <c r="BN32" s="676">
        <v>0</v>
      </c>
      <c r="BO32" s="674">
        <v>60.738511512372213</v>
      </c>
      <c r="BP32" s="676">
        <v>0</v>
      </c>
      <c r="BQ32" s="676">
        <v>60.738511512372213</v>
      </c>
      <c r="BR32" s="675"/>
      <c r="BS32" s="675"/>
      <c r="BT32" s="674">
        <v>74.543804337441486</v>
      </c>
    </row>
    <row r="33" spans="1:72">
      <c r="A33" s="681"/>
      <c r="B33" s="680" t="s">
        <v>968</v>
      </c>
      <c r="C33" s="679" t="s">
        <v>1243</v>
      </c>
      <c r="D33" s="679"/>
      <c r="E33" s="679"/>
      <c r="F33" s="678" t="s">
        <v>1242</v>
      </c>
      <c r="G33" s="678"/>
      <c r="H33" s="677">
        <v>275.89089519442052</v>
      </c>
      <c r="I33" s="674">
        <v>0</v>
      </c>
      <c r="J33" s="676">
        <v>0</v>
      </c>
      <c r="K33" s="676">
        <v>0</v>
      </c>
      <c r="L33" s="676">
        <v>0</v>
      </c>
      <c r="M33" s="676">
        <v>0</v>
      </c>
      <c r="N33" s="676">
        <v>0</v>
      </c>
      <c r="O33" s="676">
        <v>0</v>
      </c>
      <c r="P33" s="676">
        <v>0</v>
      </c>
      <c r="Q33" s="676">
        <v>0</v>
      </c>
      <c r="R33" s="676">
        <v>0</v>
      </c>
      <c r="S33" s="676">
        <v>0</v>
      </c>
      <c r="T33" s="676">
        <v>0</v>
      </c>
      <c r="U33" s="676">
        <v>0</v>
      </c>
      <c r="V33" s="676">
        <v>0</v>
      </c>
      <c r="W33" s="674">
        <v>11.607910576096302</v>
      </c>
      <c r="X33" s="676"/>
      <c r="Y33" s="676"/>
      <c r="Z33" s="676"/>
      <c r="AA33" s="676"/>
      <c r="AB33" s="676"/>
      <c r="AC33" s="676"/>
      <c r="AD33" s="676"/>
      <c r="AE33" s="676">
        <v>4.3947644979459248</v>
      </c>
      <c r="AF33" s="676"/>
      <c r="AG33" s="676"/>
      <c r="AH33" s="676"/>
      <c r="AI33" s="676"/>
      <c r="AJ33" s="676"/>
      <c r="AK33" s="676"/>
      <c r="AL33" s="676">
        <v>7.2131460781503769</v>
      </c>
      <c r="AM33" s="676">
        <v>0</v>
      </c>
      <c r="AN33" s="676"/>
      <c r="AO33" s="676"/>
      <c r="AP33" s="676"/>
      <c r="AQ33" s="676"/>
      <c r="AR33" s="676"/>
      <c r="AS33" s="676"/>
      <c r="AT33" s="674">
        <v>11.512372217445304</v>
      </c>
      <c r="AU33" s="676">
        <v>11.273526320817808</v>
      </c>
      <c r="AV33" s="676">
        <v>0</v>
      </c>
      <c r="AW33" s="676">
        <v>0.21496130696474633</v>
      </c>
      <c r="AX33" s="676">
        <v>0</v>
      </c>
      <c r="AY33" s="676">
        <v>0</v>
      </c>
      <c r="AZ33" s="674">
        <v>192.03210088850673</v>
      </c>
      <c r="BA33" s="676"/>
      <c r="BB33" s="676"/>
      <c r="BC33" s="676"/>
      <c r="BD33" s="676">
        <v>0</v>
      </c>
      <c r="BE33" s="676"/>
      <c r="BF33" s="676">
        <v>121.33371548676793</v>
      </c>
      <c r="BG33" s="676"/>
      <c r="BH33" s="676">
        <v>6.44883920894239</v>
      </c>
      <c r="BI33" s="676">
        <v>60.738511512372213</v>
      </c>
      <c r="BJ33" s="676">
        <v>0</v>
      </c>
      <c r="BK33" s="676">
        <v>0</v>
      </c>
      <c r="BL33" s="676">
        <v>0</v>
      </c>
      <c r="BM33" s="676">
        <v>3.5110346804241903</v>
      </c>
      <c r="BN33" s="676">
        <v>0</v>
      </c>
      <c r="BO33" s="674">
        <v>60.738511512372213</v>
      </c>
      <c r="BP33" s="676">
        <v>0</v>
      </c>
      <c r="BQ33" s="676">
        <v>60.738511512372213</v>
      </c>
      <c r="BR33" s="675"/>
      <c r="BS33" s="675"/>
      <c r="BT33" s="674"/>
    </row>
    <row r="34" spans="1:72">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c r="A35" s="681"/>
      <c r="B35" s="680" t="s">
        <v>968</v>
      </c>
      <c r="C35" s="679" t="s">
        <v>1239</v>
      </c>
      <c r="D35" s="679"/>
      <c r="E35" s="679"/>
      <c r="F35" s="678" t="s">
        <v>1238</v>
      </c>
      <c r="G35" s="678"/>
      <c r="H35" s="677">
        <v>17.5312888124582</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17.5312888124582</v>
      </c>
    </row>
    <row r="36" spans="1:72">
      <c r="A36" s="681"/>
      <c r="B36" s="680" t="s">
        <v>968</v>
      </c>
      <c r="C36" s="679" t="s">
        <v>1237</v>
      </c>
      <c r="D36" s="679"/>
      <c r="E36" s="679"/>
      <c r="F36" s="678" t="s">
        <v>1236</v>
      </c>
      <c r="G36" s="678"/>
      <c r="H36" s="677">
        <v>57.012515524983279</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57.012515524983279</v>
      </c>
    </row>
    <row r="37" spans="1:72">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c r="A44" s="722" t="s">
        <v>1224</v>
      </c>
      <c r="B44" s="722"/>
      <c r="C44" s="722"/>
      <c r="D44" s="722"/>
      <c r="E44" s="722"/>
      <c r="F44" s="721" t="s">
        <v>1223</v>
      </c>
      <c r="G44" s="721"/>
      <c r="H44" s="720">
        <v>15842.69609248113</v>
      </c>
      <c r="I44" s="717">
        <v>0</v>
      </c>
      <c r="J44" s="719"/>
      <c r="K44" s="719"/>
      <c r="L44" s="719"/>
      <c r="M44" s="719"/>
      <c r="N44" s="719"/>
      <c r="O44" s="719">
        <v>0</v>
      </c>
      <c r="P44" s="719">
        <v>0</v>
      </c>
      <c r="Q44" s="719">
        <v>0</v>
      </c>
      <c r="R44" s="719">
        <v>0</v>
      </c>
      <c r="S44" s="719">
        <v>0</v>
      </c>
      <c r="T44" s="719"/>
      <c r="U44" s="719">
        <v>0</v>
      </c>
      <c r="V44" s="719"/>
      <c r="W44" s="717">
        <v>14837.704213241615</v>
      </c>
      <c r="X44" s="719"/>
      <c r="Y44" s="719"/>
      <c r="Z44" s="719"/>
      <c r="AA44" s="719"/>
      <c r="AB44" s="719"/>
      <c r="AC44" s="719">
        <v>500.31049966561574</v>
      </c>
      <c r="AD44" s="719"/>
      <c r="AE44" s="719">
        <v>403.00468137957387</v>
      </c>
      <c r="AF44" s="719">
        <v>3459.1095824973727</v>
      </c>
      <c r="AG44" s="719"/>
      <c r="AH44" s="719"/>
      <c r="AI44" s="719">
        <v>593.98586032291962</v>
      </c>
      <c r="AJ44" s="719">
        <v>41.177032578580295</v>
      </c>
      <c r="AK44" s="719">
        <v>1648.2994172160122</v>
      </c>
      <c r="AL44" s="719">
        <v>6419.5089328365339</v>
      </c>
      <c r="AM44" s="719">
        <v>1612.6874940288526</v>
      </c>
      <c r="AN44" s="719"/>
      <c r="AO44" s="719"/>
      <c r="AP44" s="719"/>
      <c r="AQ44" s="719">
        <v>159.66848189548102</v>
      </c>
      <c r="AR44" s="719"/>
      <c r="AS44" s="719"/>
      <c r="AT44" s="717">
        <v>84.575331995796304</v>
      </c>
      <c r="AU44" s="719"/>
      <c r="AV44" s="719">
        <v>0</v>
      </c>
      <c r="AW44" s="719">
        <v>84.575331995796304</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621.62033056272094</v>
      </c>
      <c r="BT44" s="717">
        <v>298.79621668099742</v>
      </c>
    </row>
    <row r="45" spans="1:72">
      <c r="A45" s="688" t="s">
        <v>968</v>
      </c>
      <c r="B45" s="687" t="s">
        <v>1222</v>
      </c>
      <c r="C45" s="687"/>
      <c r="D45" s="687"/>
      <c r="E45" s="687"/>
      <c r="F45" s="686" t="s">
        <v>1221</v>
      </c>
      <c r="G45" s="686"/>
      <c r="H45" s="685">
        <v>515.85936753606575</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217.0631508550683</v>
      </c>
      <c r="BT45" s="682">
        <v>298.79621668099742</v>
      </c>
    </row>
    <row r="46" spans="1:72">
      <c r="A46" s="681"/>
      <c r="B46" s="680" t="s">
        <v>968</v>
      </c>
      <c r="C46" s="679" t="s">
        <v>1220</v>
      </c>
      <c r="D46" s="679"/>
      <c r="E46" s="679"/>
      <c r="F46" s="678" t="s">
        <v>1219</v>
      </c>
      <c r="G46" s="678"/>
      <c r="H46" s="677">
        <v>261.87064106238654</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217.0631508550683</v>
      </c>
      <c r="BT46" s="674">
        <v>44.807490207318239</v>
      </c>
    </row>
    <row r="47" spans="1:72">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c r="A48" s="681"/>
      <c r="B48" s="679"/>
      <c r="C48" s="680" t="s">
        <v>968</v>
      </c>
      <c r="D48" s="679" t="s">
        <v>1216</v>
      </c>
      <c r="E48" s="679"/>
      <c r="F48" s="678" t="s">
        <v>1215</v>
      </c>
      <c r="G48" s="678"/>
      <c r="H48" s="677">
        <v>11.17798796216681</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11.17798796216681</v>
      </c>
    </row>
    <row r="49" spans="1:72">
      <c r="A49" s="681"/>
      <c r="B49" s="679"/>
      <c r="C49" s="680" t="s">
        <v>968</v>
      </c>
      <c r="D49" s="679" t="s">
        <v>1214</v>
      </c>
      <c r="E49" s="679"/>
      <c r="F49" s="678" t="s">
        <v>1213</v>
      </c>
      <c r="G49" s="678"/>
      <c r="H49" s="677">
        <v>0</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0</v>
      </c>
    </row>
    <row r="50" spans="1:72">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c r="A52" s="681"/>
      <c r="B52" s="679"/>
      <c r="C52" s="680" t="s">
        <v>968</v>
      </c>
      <c r="D52" s="679" t="s">
        <v>1208</v>
      </c>
      <c r="E52" s="679"/>
      <c r="F52" s="678" t="s">
        <v>1207</v>
      </c>
      <c r="G52" s="678"/>
      <c r="H52" s="677">
        <v>33.629502245151428</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33.629502245151428</v>
      </c>
    </row>
    <row r="53" spans="1:72">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c r="A56" s="681"/>
      <c r="B56" s="679"/>
      <c r="C56" s="680" t="s">
        <v>968</v>
      </c>
      <c r="D56" s="679" t="s">
        <v>1200</v>
      </c>
      <c r="E56" s="679"/>
      <c r="F56" s="678" t="s">
        <v>1199</v>
      </c>
      <c r="G56" s="678"/>
      <c r="H56" s="677">
        <v>216.27495939619757</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216.27495939619757</v>
      </c>
      <c r="BT56" s="674"/>
    </row>
    <row r="57" spans="1:72">
      <c r="A57" s="681"/>
      <c r="B57" s="679"/>
      <c r="C57" s="680" t="s">
        <v>968</v>
      </c>
      <c r="D57" s="679" t="s">
        <v>1198</v>
      </c>
      <c r="E57" s="679"/>
      <c r="F57" s="678" t="s">
        <v>1197</v>
      </c>
      <c r="G57" s="678"/>
      <c r="H57" s="677">
        <v>0.16719212763924715</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0.16719212763924715</v>
      </c>
      <c r="BT57" s="674"/>
    </row>
    <row r="58" spans="1:72">
      <c r="A58" s="681"/>
      <c r="B58" s="679"/>
      <c r="C58" s="680" t="s">
        <v>968</v>
      </c>
      <c r="D58" s="679" t="s">
        <v>1196</v>
      </c>
      <c r="E58" s="679"/>
      <c r="F58" s="678" t="s">
        <v>1195</v>
      </c>
      <c r="G58" s="678"/>
      <c r="H58" s="677">
        <v>0.62099933123148943</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0.62099933123148943</v>
      </c>
      <c r="BT58" s="674"/>
    </row>
    <row r="59" spans="1:72">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c r="A61" s="681"/>
      <c r="B61" s="680" t="s">
        <v>968</v>
      </c>
      <c r="C61" s="679" t="s">
        <v>1190</v>
      </c>
      <c r="D61" s="679"/>
      <c r="E61" s="679"/>
      <c r="F61" s="678" t="s">
        <v>1189</v>
      </c>
      <c r="G61" s="678"/>
      <c r="H61" s="677">
        <v>253.98872647367918</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253.98872647367918</v>
      </c>
    </row>
    <row r="62" spans="1:72">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c r="A63" s="681"/>
      <c r="B63" s="679"/>
      <c r="C63" s="680" t="s">
        <v>968</v>
      </c>
      <c r="D63" s="679" t="s">
        <v>1186</v>
      </c>
      <c r="E63" s="679"/>
      <c r="F63" s="678" t="s">
        <v>1185</v>
      </c>
      <c r="G63" s="678"/>
      <c r="H63" s="677">
        <v>227.95452374128212</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227.95452374128212</v>
      </c>
    </row>
    <row r="64" spans="1:72">
      <c r="A64" s="681"/>
      <c r="B64" s="679"/>
      <c r="C64" s="680" t="s">
        <v>968</v>
      </c>
      <c r="D64" s="679" t="s">
        <v>1184</v>
      </c>
      <c r="E64" s="679"/>
      <c r="F64" s="678" t="s">
        <v>1183</v>
      </c>
      <c r="G64" s="678"/>
      <c r="H64" s="677">
        <v>26.058087322059805</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26.058087322059805</v>
      </c>
    </row>
    <row r="65" spans="1:72">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c r="A87" s="680" t="s">
        <v>968</v>
      </c>
      <c r="B87" s="679" t="s">
        <v>1138</v>
      </c>
      <c r="C87" s="679"/>
      <c r="D87" s="679"/>
      <c r="E87" s="679"/>
      <c r="F87" s="678" t="s">
        <v>1137</v>
      </c>
      <c r="G87" s="678"/>
      <c r="H87" s="677">
        <v>84.575331995796304</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84.575331995796304</v>
      </c>
      <c r="AU87" s="676"/>
      <c r="AV87" s="676"/>
      <c r="AW87" s="676">
        <v>84.575331995796304</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c r="A89" s="680" t="s">
        <v>968</v>
      </c>
      <c r="B89" s="679" t="s">
        <v>287</v>
      </c>
      <c r="C89" s="679"/>
      <c r="D89" s="679"/>
      <c r="E89" s="679"/>
      <c r="F89" s="678" t="s">
        <v>1135</v>
      </c>
      <c r="G89" s="678"/>
      <c r="H89" s="677">
        <v>14837.704213241615</v>
      </c>
      <c r="I89" s="674"/>
      <c r="J89" s="676"/>
      <c r="K89" s="676"/>
      <c r="L89" s="676"/>
      <c r="M89" s="676"/>
      <c r="N89" s="676"/>
      <c r="O89" s="676"/>
      <c r="P89" s="676"/>
      <c r="Q89" s="676"/>
      <c r="R89" s="676"/>
      <c r="S89" s="676"/>
      <c r="T89" s="676"/>
      <c r="U89" s="676"/>
      <c r="V89" s="676"/>
      <c r="W89" s="674">
        <v>14837.704213241615</v>
      </c>
      <c r="X89" s="676"/>
      <c r="Y89" s="676"/>
      <c r="Z89" s="676"/>
      <c r="AA89" s="676"/>
      <c r="AB89" s="676"/>
      <c r="AC89" s="676">
        <v>500.31049966561574</v>
      </c>
      <c r="AD89" s="676"/>
      <c r="AE89" s="676">
        <v>403.00468137957387</v>
      </c>
      <c r="AF89" s="676">
        <v>3459.1095824973727</v>
      </c>
      <c r="AG89" s="676"/>
      <c r="AH89" s="676"/>
      <c r="AI89" s="676">
        <v>593.98586032291962</v>
      </c>
      <c r="AJ89" s="676">
        <v>41.177032578580295</v>
      </c>
      <c r="AK89" s="676">
        <v>1648.2994172160122</v>
      </c>
      <c r="AL89" s="676">
        <v>6419.5089328365339</v>
      </c>
      <c r="AM89" s="676">
        <v>1612.6874940288526</v>
      </c>
      <c r="AN89" s="676"/>
      <c r="AO89" s="676"/>
      <c r="AP89" s="676"/>
      <c r="AQ89" s="676">
        <v>159.66848189548102</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c r="A93" s="680" t="s">
        <v>968</v>
      </c>
      <c r="B93" s="679" t="s">
        <v>1129</v>
      </c>
      <c r="C93" s="679"/>
      <c r="D93" s="679"/>
      <c r="E93" s="679"/>
      <c r="F93" s="678" t="s">
        <v>1128</v>
      </c>
      <c r="G93" s="678"/>
      <c r="H93" s="677">
        <v>404.55717970765261</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404.55717970765261</v>
      </c>
      <c r="BT93" s="674"/>
    </row>
    <row r="94" spans="1:72">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c r="A96" s="681"/>
      <c r="B96" s="680" t="s">
        <v>968</v>
      </c>
      <c r="C96" s="679" t="s">
        <v>1123</v>
      </c>
      <c r="D96" s="679"/>
      <c r="E96" s="679"/>
      <c r="F96" s="678" t="s">
        <v>1122</v>
      </c>
      <c r="G96" s="678"/>
      <c r="H96" s="677">
        <v>199.84236170822584</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199.84236170822584</v>
      </c>
      <c r="BT96" s="674"/>
    </row>
    <row r="97" spans="1:72">
      <c r="A97" s="681"/>
      <c r="B97" s="680" t="s">
        <v>968</v>
      </c>
      <c r="C97" s="679" t="s">
        <v>1121</v>
      </c>
      <c r="D97" s="679"/>
      <c r="E97" s="679"/>
      <c r="F97" s="678" t="s">
        <v>1120</v>
      </c>
      <c r="G97" s="678"/>
      <c r="H97" s="677">
        <v>40.006687685105568</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40.006687685105568</v>
      </c>
      <c r="BT97" s="674"/>
    </row>
    <row r="98" spans="1:72">
      <c r="A98" s="681"/>
      <c r="B98" s="680" t="s">
        <v>968</v>
      </c>
      <c r="C98" s="679" t="s">
        <v>1119</v>
      </c>
      <c r="D98" s="679"/>
      <c r="E98" s="679"/>
      <c r="F98" s="678" t="s">
        <v>1118</v>
      </c>
      <c r="G98" s="678"/>
      <c r="H98" s="677">
        <v>56.916977166332281</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56.916977166332281</v>
      </c>
      <c r="BT98" s="674"/>
    </row>
    <row r="99" spans="1:72">
      <c r="A99" s="681"/>
      <c r="B99" s="680" t="s">
        <v>968</v>
      </c>
      <c r="C99" s="679" t="s">
        <v>1117</v>
      </c>
      <c r="D99" s="679"/>
      <c r="E99" s="679"/>
      <c r="F99" s="678" t="s">
        <v>1116</v>
      </c>
      <c r="G99" s="678"/>
      <c r="H99" s="677">
        <v>17.244673736505206</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17.244673736505206</v>
      </c>
      <c r="BT99" s="674"/>
    </row>
    <row r="100" spans="1:72">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c r="A106" s="681"/>
      <c r="B106" s="680" t="s">
        <v>968</v>
      </c>
      <c r="C106" s="679" t="s">
        <v>1103</v>
      </c>
      <c r="D106" s="679"/>
      <c r="E106" s="679"/>
      <c r="F106" s="678" t="s">
        <v>1102</v>
      </c>
      <c r="G106" s="678"/>
      <c r="H106" s="677">
        <v>76.430686920798692</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76.430686920798692</v>
      </c>
      <c r="BT106" s="674"/>
    </row>
    <row r="107" spans="1:72">
      <c r="A107" s="681"/>
      <c r="B107" s="680" t="s">
        <v>968</v>
      </c>
      <c r="C107" s="679" t="s">
        <v>1101</v>
      </c>
      <c r="D107" s="679"/>
      <c r="E107" s="679"/>
      <c r="F107" s="678" t="s">
        <v>1100</v>
      </c>
      <c r="G107" s="678"/>
      <c r="H107" s="677">
        <v>14.11579249068501</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14.11579249068501</v>
      </c>
      <c r="BT107" s="674"/>
    </row>
    <row r="108" spans="1:72">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c r="A109" s="755" t="s">
        <v>1097</v>
      </c>
      <c r="B109" s="755"/>
      <c r="C109" s="755"/>
      <c r="D109" s="755"/>
      <c r="E109" s="755"/>
      <c r="F109" s="658" t="s">
        <v>1096</v>
      </c>
      <c r="G109" s="658"/>
      <c r="H109" s="754">
        <v>435.51160791057606</v>
      </c>
      <c r="I109" s="704"/>
      <c r="J109" s="753"/>
      <c r="K109" s="753"/>
      <c r="L109" s="753"/>
      <c r="M109" s="753"/>
      <c r="N109" s="753"/>
      <c r="O109" s="753"/>
      <c r="P109" s="753"/>
      <c r="Q109" s="753"/>
      <c r="R109" s="753"/>
      <c r="S109" s="753"/>
      <c r="T109" s="753"/>
      <c r="U109" s="753"/>
      <c r="V109" s="753"/>
      <c r="W109" s="704">
        <v>435.51160791057606</v>
      </c>
      <c r="X109" s="753">
        <v>0</v>
      </c>
      <c r="Y109" s="753">
        <v>-8902.9569122002486</v>
      </c>
      <c r="Z109" s="753">
        <v>878.97678417884777</v>
      </c>
      <c r="AA109" s="753"/>
      <c r="AB109" s="753"/>
      <c r="AC109" s="753">
        <v>0</v>
      </c>
      <c r="AD109" s="753">
        <v>1852.0110824496035</v>
      </c>
      <c r="AE109" s="753">
        <v>5927.1042323492884</v>
      </c>
      <c r="AF109" s="753">
        <v>0</v>
      </c>
      <c r="AG109" s="753">
        <v>0</v>
      </c>
      <c r="AH109" s="753">
        <v>0</v>
      </c>
      <c r="AI109" s="753">
        <v>0</v>
      </c>
      <c r="AJ109" s="753">
        <v>0</v>
      </c>
      <c r="AK109" s="753">
        <v>1465.8450367822679</v>
      </c>
      <c r="AL109" s="753">
        <v>-1.0270373554982324</v>
      </c>
      <c r="AM109" s="753">
        <v>-783.41454093818663</v>
      </c>
      <c r="AN109" s="753">
        <v>-1.0509219451609821</v>
      </c>
      <c r="AO109" s="753">
        <v>0</v>
      </c>
      <c r="AP109" s="753">
        <v>0</v>
      </c>
      <c r="AQ109" s="753">
        <v>0</v>
      </c>
      <c r="AR109" s="753">
        <v>0</v>
      </c>
      <c r="AS109" s="753">
        <v>0</v>
      </c>
      <c r="AT109" s="704"/>
      <c r="AU109" s="753"/>
      <c r="AV109" s="753"/>
      <c r="AW109" s="753"/>
      <c r="AX109" s="753"/>
      <c r="AY109" s="753"/>
      <c r="AZ109" s="704">
        <v>-11875.322441960447</v>
      </c>
      <c r="BA109" s="753">
        <v>-11684.771185631031</v>
      </c>
      <c r="BB109" s="753">
        <v>-190.55125632941625</v>
      </c>
      <c r="BC109" s="753">
        <v>0</v>
      </c>
      <c r="BD109" s="753"/>
      <c r="BE109" s="753">
        <v>0</v>
      </c>
      <c r="BF109" s="753"/>
      <c r="BG109" s="753"/>
      <c r="BH109" s="753"/>
      <c r="BI109" s="753"/>
      <c r="BJ109" s="753">
        <v>0</v>
      </c>
      <c r="BK109" s="753">
        <v>0</v>
      </c>
      <c r="BL109" s="753">
        <v>0</v>
      </c>
      <c r="BM109" s="753"/>
      <c r="BN109" s="753"/>
      <c r="BO109" s="704"/>
      <c r="BP109" s="753"/>
      <c r="BQ109" s="753"/>
      <c r="BR109" s="705"/>
      <c r="BS109" s="705"/>
      <c r="BT109" s="704">
        <v>11875.322441960447</v>
      </c>
    </row>
    <row r="110" spans="1:72">
      <c r="A110" s="688" t="s">
        <v>968</v>
      </c>
      <c r="B110" s="687" t="s">
        <v>1095</v>
      </c>
      <c r="C110" s="687"/>
      <c r="D110" s="687"/>
      <c r="E110" s="687"/>
      <c r="F110" s="686" t="s">
        <v>1094</v>
      </c>
      <c r="G110" s="686"/>
      <c r="H110" s="685">
        <v>395.98261201872549</v>
      </c>
      <c r="I110" s="682"/>
      <c r="J110" s="684"/>
      <c r="K110" s="684"/>
      <c r="L110" s="684"/>
      <c r="M110" s="684"/>
      <c r="N110" s="684"/>
      <c r="O110" s="684"/>
      <c r="P110" s="684"/>
      <c r="Q110" s="684"/>
      <c r="R110" s="684"/>
      <c r="S110" s="684"/>
      <c r="T110" s="684"/>
      <c r="U110" s="684"/>
      <c r="V110" s="684"/>
      <c r="W110" s="682">
        <v>395.98261201872549</v>
      </c>
      <c r="X110" s="684"/>
      <c r="Y110" s="684">
        <v>-8902.9569122002486</v>
      </c>
      <c r="Z110" s="684"/>
      <c r="AA110" s="684"/>
      <c r="AB110" s="684"/>
      <c r="AC110" s="684"/>
      <c r="AD110" s="684">
        <v>1877.3287474921181</v>
      </c>
      <c r="AE110" s="684">
        <v>5955.7418553549251</v>
      </c>
      <c r="AF110" s="684"/>
      <c r="AG110" s="684"/>
      <c r="AH110" s="684"/>
      <c r="AI110" s="684"/>
      <c r="AJ110" s="684"/>
      <c r="AK110" s="684">
        <v>1465.8450367822679</v>
      </c>
      <c r="AL110" s="684"/>
      <c r="AM110" s="684">
        <v>0</v>
      </c>
      <c r="AN110" s="684"/>
      <c r="AO110" s="684"/>
      <c r="AP110" s="684"/>
      <c r="AQ110" s="684"/>
      <c r="AR110" s="684"/>
      <c r="AS110" s="684"/>
      <c r="AT110" s="682"/>
      <c r="AU110" s="684"/>
      <c r="AV110" s="684"/>
      <c r="AW110" s="684"/>
      <c r="AX110" s="684"/>
      <c r="AY110" s="684"/>
      <c r="AZ110" s="682">
        <v>-11875.322441960447</v>
      </c>
      <c r="BA110" s="684">
        <v>-11684.771185631031</v>
      </c>
      <c r="BB110" s="684">
        <v>-190.55125632941625</v>
      </c>
      <c r="BC110" s="684">
        <v>0</v>
      </c>
      <c r="BD110" s="684"/>
      <c r="BE110" s="684">
        <v>0</v>
      </c>
      <c r="BF110" s="684"/>
      <c r="BG110" s="684"/>
      <c r="BH110" s="684"/>
      <c r="BI110" s="684"/>
      <c r="BJ110" s="684"/>
      <c r="BK110" s="684"/>
      <c r="BL110" s="684"/>
      <c r="BM110" s="684"/>
      <c r="BN110" s="684"/>
      <c r="BO110" s="682"/>
      <c r="BP110" s="684"/>
      <c r="BQ110" s="684"/>
      <c r="BR110" s="683"/>
      <c r="BS110" s="683"/>
      <c r="BT110" s="682">
        <v>11875.322441960447</v>
      </c>
    </row>
    <row r="111" spans="1:72">
      <c r="A111" s="680" t="s">
        <v>968</v>
      </c>
      <c r="B111" s="679" t="s">
        <v>1093</v>
      </c>
      <c r="C111" s="679"/>
      <c r="D111" s="679"/>
      <c r="E111" s="679"/>
      <c r="F111" s="678" t="s">
        <v>1092</v>
      </c>
      <c r="G111" s="678"/>
      <c r="H111" s="677">
        <v>44.998566924620235</v>
      </c>
      <c r="I111" s="674"/>
      <c r="J111" s="676"/>
      <c r="K111" s="676"/>
      <c r="L111" s="676"/>
      <c r="M111" s="676"/>
      <c r="N111" s="676"/>
      <c r="O111" s="676"/>
      <c r="P111" s="676"/>
      <c r="Q111" s="676"/>
      <c r="R111" s="676"/>
      <c r="S111" s="676"/>
      <c r="T111" s="676"/>
      <c r="U111" s="676"/>
      <c r="V111" s="676"/>
      <c r="W111" s="674">
        <v>44.998566924620235</v>
      </c>
      <c r="X111" s="676"/>
      <c r="Y111" s="676"/>
      <c r="Z111" s="676">
        <v>827.45772427629686</v>
      </c>
      <c r="AA111" s="676"/>
      <c r="AB111" s="676"/>
      <c r="AC111" s="676"/>
      <c r="AD111" s="676"/>
      <c r="AE111" s="676"/>
      <c r="AF111" s="676"/>
      <c r="AG111" s="676"/>
      <c r="AH111" s="676"/>
      <c r="AI111" s="676"/>
      <c r="AJ111" s="676"/>
      <c r="AK111" s="676"/>
      <c r="AL111" s="676"/>
      <c r="AM111" s="676">
        <v>-782.45915735167671</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c r="A112" s="672" t="s">
        <v>968</v>
      </c>
      <c r="B112" s="671" t="s">
        <v>1091</v>
      </c>
      <c r="C112" s="671"/>
      <c r="D112" s="671"/>
      <c r="E112" s="671"/>
      <c r="F112" s="670" t="s">
        <v>1090</v>
      </c>
      <c r="G112" s="670"/>
      <c r="H112" s="669">
        <v>-5.445686443106907</v>
      </c>
      <c r="I112" s="666"/>
      <c r="J112" s="668"/>
      <c r="K112" s="668"/>
      <c r="L112" s="668"/>
      <c r="M112" s="668"/>
      <c r="N112" s="668"/>
      <c r="O112" s="668"/>
      <c r="P112" s="668"/>
      <c r="Q112" s="668"/>
      <c r="R112" s="668"/>
      <c r="S112" s="668"/>
      <c r="T112" s="668"/>
      <c r="U112" s="668"/>
      <c r="V112" s="668"/>
      <c r="W112" s="666">
        <v>-5.445686443106907</v>
      </c>
      <c r="X112" s="668">
        <v>0</v>
      </c>
      <c r="Y112" s="668">
        <v>0</v>
      </c>
      <c r="Z112" s="668">
        <v>51.519059902550872</v>
      </c>
      <c r="AA112" s="668"/>
      <c r="AB112" s="668"/>
      <c r="AC112" s="668">
        <v>0</v>
      </c>
      <c r="AD112" s="668">
        <v>-25.31766504251457</v>
      </c>
      <c r="AE112" s="668">
        <v>-28.637623005636762</v>
      </c>
      <c r="AF112" s="668">
        <v>0</v>
      </c>
      <c r="AG112" s="668">
        <v>0</v>
      </c>
      <c r="AH112" s="668">
        <v>0</v>
      </c>
      <c r="AI112" s="668">
        <v>0</v>
      </c>
      <c r="AJ112" s="668">
        <v>0</v>
      </c>
      <c r="AK112" s="668">
        <v>0</v>
      </c>
      <c r="AL112" s="668">
        <v>-1.0270373554982324</v>
      </c>
      <c r="AM112" s="668">
        <v>-0.95538358650998367</v>
      </c>
      <c r="AN112" s="668">
        <v>-1.0509219451609821</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c r="A113" s="755" t="s">
        <v>1089</v>
      </c>
      <c r="B113" s="755"/>
      <c r="C113" s="755"/>
      <c r="D113" s="755"/>
      <c r="E113" s="755"/>
      <c r="F113" s="658" t="s">
        <v>1088</v>
      </c>
      <c r="G113" s="658"/>
      <c r="H113" s="754">
        <v>5253.2244196044712</v>
      </c>
      <c r="I113" s="704">
        <v>0</v>
      </c>
      <c r="J113" s="753">
        <v>0</v>
      </c>
      <c r="K113" s="753">
        <v>0</v>
      </c>
      <c r="L113" s="753">
        <v>0</v>
      </c>
      <c r="M113" s="753">
        <v>0</v>
      </c>
      <c r="N113" s="753">
        <v>0</v>
      </c>
      <c r="O113" s="753">
        <v>0</v>
      </c>
      <c r="P113" s="753">
        <v>0</v>
      </c>
      <c r="Q113" s="753">
        <v>0</v>
      </c>
      <c r="R113" s="753">
        <v>0</v>
      </c>
      <c r="S113" s="753">
        <v>0</v>
      </c>
      <c r="T113" s="753">
        <v>0</v>
      </c>
      <c r="U113" s="753">
        <v>0</v>
      </c>
      <c r="V113" s="753">
        <v>0</v>
      </c>
      <c r="W113" s="704">
        <v>747.5876564440623</v>
      </c>
      <c r="X113" s="753"/>
      <c r="Y113" s="753"/>
      <c r="Z113" s="753"/>
      <c r="AA113" s="753"/>
      <c r="AB113" s="753"/>
      <c r="AC113" s="753">
        <v>484.04509410528323</v>
      </c>
      <c r="AD113" s="753"/>
      <c r="AE113" s="753"/>
      <c r="AF113" s="753"/>
      <c r="AG113" s="753"/>
      <c r="AH113" s="753"/>
      <c r="AI113" s="753"/>
      <c r="AJ113" s="753"/>
      <c r="AK113" s="753"/>
      <c r="AL113" s="753">
        <v>263.54256233877902</v>
      </c>
      <c r="AM113" s="753">
        <v>0</v>
      </c>
      <c r="AN113" s="753"/>
      <c r="AO113" s="753"/>
      <c r="AP113" s="753"/>
      <c r="AQ113" s="753"/>
      <c r="AR113" s="753"/>
      <c r="AS113" s="753"/>
      <c r="AT113" s="704">
        <v>3805.1972867106142</v>
      </c>
      <c r="AU113" s="753">
        <v>3805.1972867106142</v>
      </c>
      <c r="AV113" s="753">
        <v>0</v>
      </c>
      <c r="AW113" s="753">
        <v>0</v>
      </c>
      <c r="AX113" s="753">
        <v>0</v>
      </c>
      <c r="AY113" s="753">
        <v>0</v>
      </c>
      <c r="AZ113" s="704">
        <v>0</v>
      </c>
      <c r="BA113" s="753"/>
      <c r="BB113" s="753"/>
      <c r="BC113" s="753"/>
      <c r="BD113" s="753">
        <v>0</v>
      </c>
      <c r="BE113" s="753"/>
      <c r="BF113" s="753">
        <v>0</v>
      </c>
      <c r="BG113" s="753">
        <v>0</v>
      </c>
      <c r="BH113" s="753">
        <v>0</v>
      </c>
      <c r="BI113" s="753">
        <v>0</v>
      </c>
      <c r="BJ113" s="753">
        <v>0</v>
      </c>
      <c r="BK113" s="753">
        <v>0</v>
      </c>
      <c r="BL113" s="753">
        <v>0</v>
      </c>
      <c r="BM113" s="753">
        <v>0</v>
      </c>
      <c r="BN113" s="753">
        <v>0</v>
      </c>
      <c r="BO113" s="704">
        <v>0</v>
      </c>
      <c r="BP113" s="753">
        <v>0</v>
      </c>
      <c r="BQ113" s="753">
        <v>0</v>
      </c>
      <c r="BR113" s="705"/>
      <c r="BS113" s="705">
        <v>0.69265310021973814</v>
      </c>
      <c r="BT113" s="704">
        <v>699.74682334957481</v>
      </c>
    </row>
    <row r="114" spans="1:72">
      <c r="A114" s="688" t="s">
        <v>968</v>
      </c>
      <c r="B114" s="687" t="s">
        <v>1087</v>
      </c>
      <c r="C114" s="687"/>
      <c r="D114" s="687"/>
      <c r="E114" s="687"/>
      <c r="F114" s="686" t="s">
        <v>1086</v>
      </c>
      <c r="G114" s="686"/>
      <c r="H114" s="685">
        <v>62.697047864717682</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1.0270373554982324</v>
      </c>
      <c r="X114" s="684"/>
      <c r="Y114" s="684"/>
      <c r="Z114" s="684"/>
      <c r="AA114" s="684"/>
      <c r="AB114" s="684"/>
      <c r="AC114" s="684"/>
      <c r="AD114" s="684"/>
      <c r="AE114" s="684"/>
      <c r="AF114" s="684"/>
      <c r="AG114" s="684"/>
      <c r="AH114" s="684"/>
      <c r="AI114" s="684"/>
      <c r="AJ114" s="684"/>
      <c r="AK114" s="684"/>
      <c r="AL114" s="684">
        <v>1.0270373554982324</v>
      </c>
      <c r="AM114" s="684">
        <v>0</v>
      </c>
      <c r="AN114" s="684"/>
      <c r="AO114" s="684"/>
      <c r="AP114" s="684"/>
      <c r="AQ114" s="684"/>
      <c r="AR114" s="684"/>
      <c r="AS114" s="684"/>
      <c r="AT114" s="682">
        <v>0.19107671730199674</v>
      </c>
      <c r="AU114" s="684">
        <v>0.19107671730199674</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0.69265310021973814</v>
      </c>
      <c r="BT114" s="682">
        <v>60.786280691697712</v>
      </c>
    </row>
    <row r="115" spans="1:72">
      <c r="A115" s="680" t="s">
        <v>968</v>
      </c>
      <c r="B115" s="679" t="s">
        <v>1085</v>
      </c>
      <c r="C115" s="679"/>
      <c r="D115" s="679"/>
      <c r="E115" s="679"/>
      <c r="F115" s="678" t="s">
        <v>1084</v>
      </c>
      <c r="G115" s="678"/>
      <c r="H115" s="677">
        <v>24.672781121620329</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24.672781121620329</v>
      </c>
    </row>
    <row r="116" spans="1:72">
      <c r="A116" s="680"/>
      <c r="B116" s="680" t="s">
        <v>968</v>
      </c>
      <c r="C116" s="679" t="s">
        <v>1083</v>
      </c>
      <c r="D116" s="679"/>
      <c r="E116" s="679"/>
      <c r="F116" s="678" t="s">
        <v>1082</v>
      </c>
      <c r="G116" s="678"/>
      <c r="H116" s="677">
        <v>88.468520110824485</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88.468520110824485</v>
      </c>
    </row>
    <row r="117" spans="1:72">
      <c r="A117" s="680"/>
      <c r="B117" s="680" t="s">
        <v>1081</v>
      </c>
      <c r="C117" s="679" t="s">
        <v>1080</v>
      </c>
      <c r="D117" s="679"/>
      <c r="E117" s="679"/>
      <c r="F117" s="678" t="s">
        <v>1079</v>
      </c>
      <c r="G117" s="678"/>
      <c r="H117" s="677">
        <v>63.79573898920416</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63.79573898920416</v>
      </c>
    </row>
    <row r="118" spans="1:72">
      <c r="A118" s="680"/>
      <c r="B118" s="680"/>
      <c r="C118" s="680" t="s">
        <v>968</v>
      </c>
      <c r="D118" s="679" t="s">
        <v>1078</v>
      </c>
      <c r="E118" s="679"/>
      <c r="F118" s="678" t="s">
        <v>1077</v>
      </c>
      <c r="G118" s="678"/>
      <c r="H118" s="677">
        <v>61.908856405846947</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61.908856405846947</v>
      </c>
    </row>
    <row r="119" spans="1:72">
      <c r="A119" s="680"/>
      <c r="B119" s="680"/>
      <c r="C119" s="680" t="s">
        <v>968</v>
      </c>
      <c r="D119" s="679" t="s">
        <v>1076</v>
      </c>
      <c r="E119" s="679"/>
      <c r="F119" s="678" t="s">
        <v>1075</v>
      </c>
      <c r="G119" s="678"/>
      <c r="H119" s="677">
        <v>1.8868825833572178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1.8868825833572178</v>
      </c>
    </row>
    <row r="120" spans="1:72">
      <c r="A120" s="680" t="s">
        <v>968</v>
      </c>
      <c r="B120" s="679" t="s">
        <v>1074</v>
      </c>
      <c r="C120" s="679"/>
      <c r="D120" s="679"/>
      <c r="E120" s="679"/>
      <c r="F120" s="678" t="s">
        <v>1073</v>
      </c>
      <c r="G120" s="678"/>
      <c r="H120" s="677">
        <v>4623.2444826597875</v>
      </c>
      <c r="I120" s="674"/>
      <c r="J120" s="676"/>
      <c r="K120" s="676"/>
      <c r="L120" s="676"/>
      <c r="M120" s="676"/>
      <c r="N120" s="676"/>
      <c r="O120" s="676"/>
      <c r="P120" s="676"/>
      <c r="Q120" s="676"/>
      <c r="R120" s="676"/>
      <c r="S120" s="676"/>
      <c r="T120" s="676"/>
      <c r="U120" s="676"/>
      <c r="V120" s="676"/>
      <c r="W120" s="674">
        <v>253.24830419413394</v>
      </c>
      <c r="X120" s="676"/>
      <c r="Y120" s="676"/>
      <c r="Z120" s="676"/>
      <c r="AA120" s="676"/>
      <c r="AB120" s="676"/>
      <c r="AC120" s="676"/>
      <c r="AD120" s="676"/>
      <c r="AE120" s="676"/>
      <c r="AF120" s="676"/>
      <c r="AG120" s="676"/>
      <c r="AH120" s="676"/>
      <c r="AI120" s="676"/>
      <c r="AJ120" s="676"/>
      <c r="AK120" s="676"/>
      <c r="AL120" s="676">
        <v>253.24830419413394</v>
      </c>
      <c r="AM120" s="676">
        <v>0</v>
      </c>
      <c r="AN120" s="676"/>
      <c r="AO120" s="676"/>
      <c r="AP120" s="676"/>
      <c r="AQ120" s="676"/>
      <c r="AR120" s="676"/>
      <c r="AS120" s="676"/>
      <c r="AT120" s="674">
        <v>3805.006209993312</v>
      </c>
      <c r="AU120" s="676">
        <v>3805.006209993312</v>
      </c>
      <c r="AV120" s="676"/>
      <c r="AW120" s="676"/>
      <c r="AX120" s="676"/>
      <c r="AY120" s="676"/>
      <c r="AZ120" s="674"/>
      <c r="BA120" s="676"/>
      <c r="BB120" s="676"/>
      <c r="BC120" s="676"/>
      <c r="BD120" s="676"/>
      <c r="BE120" s="676"/>
      <c r="BF120" s="676"/>
      <c r="BG120" s="676"/>
      <c r="BH120" s="676"/>
      <c r="BI120" s="676"/>
      <c r="BJ120" s="676"/>
      <c r="BK120" s="676"/>
      <c r="BL120" s="676"/>
      <c r="BM120" s="676"/>
      <c r="BN120" s="676"/>
      <c r="BO120" s="674"/>
      <c r="BP120" s="676"/>
      <c r="BQ120" s="676"/>
      <c r="BR120" s="675"/>
      <c r="BS120" s="675">
        <v>0</v>
      </c>
      <c r="BT120" s="674">
        <v>565.01385306200439</v>
      </c>
    </row>
    <row r="121" spans="1:72">
      <c r="A121" s="680" t="s">
        <v>968</v>
      </c>
      <c r="B121" s="679" t="s">
        <v>1072</v>
      </c>
      <c r="C121" s="679"/>
      <c r="D121" s="679"/>
      <c r="E121" s="679"/>
      <c r="F121" s="678" t="s">
        <v>1071</v>
      </c>
      <c r="G121" s="678"/>
      <c r="H121" s="677">
        <v>527.6344702398012</v>
      </c>
      <c r="I121" s="674">
        <v>0</v>
      </c>
      <c r="J121" s="676">
        <v>0</v>
      </c>
      <c r="K121" s="676">
        <v>0</v>
      </c>
      <c r="L121" s="676">
        <v>0</v>
      </c>
      <c r="M121" s="676">
        <v>0</v>
      </c>
      <c r="N121" s="676">
        <v>0</v>
      </c>
      <c r="O121" s="676">
        <v>0</v>
      </c>
      <c r="P121" s="676">
        <v>0</v>
      </c>
      <c r="Q121" s="676">
        <v>0</v>
      </c>
      <c r="R121" s="676">
        <v>0</v>
      </c>
      <c r="S121" s="676">
        <v>0</v>
      </c>
      <c r="T121" s="676">
        <v>0</v>
      </c>
      <c r="U121" s="676">
        <v>0</v>
      </c>
      <c r="V121" s="676">
        <v>0</v>
      </c>
      <c r="W121" s="674">
        <v>484.04509410528323</v>
      </c>
      <c r="X121" s="676"/>
      <c r="Y121" s="676"/>
      <c r="Z121" s="676"/>
      <c r="AA121" s="676"/>
      <c r="AB121" s="676"/>
      <c r="AC121" s="676">
        <v>484.04509410528323</v>
      </c>
      <c r="AD121" s="676"/>
      <c r="AE121" s="676"/>
      <c r="AF121" s="676"/>
      <c r="AG121" s="676"/>
      <c r="AH121" s="676"/>
      <c r="AI121" s="676"/>
      <c r="AJ121" s="676"/>
      <c r="AK121" s="676"/>
      <c r="AL121" s="676"/>
      <c r="AM121" s="676">
        <v>0</v>
      </c>
      <c r="AN121" s="676"/>
      <c r="AO121" s="676"/>
      <c r="AP121" s="676"/>
      <c r="AQ121" s="676"/>
      <c r="AR121" s="676"/>
      <c r="AS121" s="676"/>
      <c r="AT121" s="674">
        <v>0</v>
      </c>
      <c r="AU121" s="676">
        <v>0</v>
      </c>
      <c r="AV121" s="676">
        <v>0</v>
      </c>
      <c r="AW121" s="676">
        <v>0</v>
      </c>
      <c r="AX121" s="676">
        <v>0</v>
      </c>
      <c r="AY121" s="676">
        <v>0</v>
      </c>
      <c r="AZ121" s="674">
        <v>0</v>
      </c>
      <c r="BA121" s="676"/>
      <c r="BB121" s="676"/>
      <c r="BC121" s="676"/>
      <c r="BD121" s="676">
        <v>0</v>
      </c>
      <c r="BE121" s="676"/>
      <c r="BF121" s="676">
        <v>0</v>
      </c>
      <c r="BG121" s="676">
        <v>0</v>
      </c>
      <c r="BH121" s="676">
        <v>0</v>
      </c>
      <c r="BI121" s="676">
        <v>0</v>
      </c>
      <c r="BJ121" s="676">
        <v>0</v>
      </c>
      <c r="BK121" s="676">
        <v>0</v>
      </c>
      <c r="BL121" s="676">
        <v>0</v>
      </c>
      <c r="BM121" s="676">
        <v>0</v>
      </c>
      <c r="BN121" s="676">
        <v>0</v>
      </c>
      <c r="BO121" s="674">
        <v>0</v>
      </c>
      <c r="BP121" s="676">
        <v>0</v>
      </c>
      <c r="BQ121" s="676">
        <v>0</v>
      </c>
      <c r="BR121" s="675"/>
      <c r="BS121" s="675">
        <v>0</v>
      </c>
      <c r="BT121" s="674">
        <v>43.589376134518005</v>
      </c>
    </row>
    <row r="122" spans="1:72">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c r="A123" s="680" t="s">
        <v>968</v>
      </c>
      <c r="B123" s="679" t="s">
        <v>1068</v>
      </c>
      <c r="C123" s="679"/>
      <c r="D123" s="679"/>
      <c r="E123" s="679"/>
      <c r="F123" s="678" t="s">
        <v>1067</v>
      </c>
      <c r="G123" s="678"/>
      <c r="H123" s="677">
        <v>11.751218114072799</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9.2672207891468421</v>
      </c>
      <c r="X123" s="676"/>
      <c r="Y123" s="676"/>
      <c r="Z123" s="676"/>
      <c r="AA123" s="676"/>
      <c r="AB123" s="676"/>
      <c r="AC123" s="676"/>
      <c r="AD123" s="676"/>
      <c r="AE123" s="676"/>
      <c r="AF123" s="676"/>
      <c r="AG123" s="676"/>
      <c r="AH123" s="676"/>
      <c r="AI123" s="676"/>
      <c r="AJ123" s="676"/>
      <c r="AK123" s="676"/>
      <c r="AL123" s="676">
        <v>9.2672207891468421</v>
      </c>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2.4839973249259577</v>
      </c>
    </row>
    <row r="124" spans="1:72">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c r="A133" s="680" t="s">
        <v>968</v>
      </c>
      <c r="B133" s="679" t="s">
        <v>1048</v>
      </c>
      <c r="C133" s="679"/>
      <c r="D133" s="679"/>
      <c r="E133" s="679"/>
      <c r="F133" s="678" t="s">
        <v>1047</v>
      </c>
      <c r="G133" s="678"/>
      <c r="H133" s="677">
        <v>3.176650425145696</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3.176650425145696</v>
      </c>
    </row>
    <row r="134" spans="1:72">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c r="A135" s="755" t="s">
        <v>1044</v>
      </c>
      <c r="B135" s="755"/>
      <c r="C135" s="755"/>
      <c r="D135" s="755"/>
      <c r="E135" s="755"/>
      <c r="F135" s="658" t="s">
        <v>1043</v>
      </c>
      <c r="G135" s="658"/>
      <c r="H135" s="754">
        <v>826.33514856214765</v>
      </c>
      <c r="I135" s="704">
        <v>0</v>
      </c>
      <c r="J135" s="753">
        <v>0</v>
      </c>
      <c r="K135" s="753">
        <v>0</v>
      </c>
      <c r="L135" s="753">
        <v>0</v>
      </c>
      <c r="M135" s="753">
        <v>0</v>
      </c>
      <c r="N135" s="753">
        <v>0</v>
      </c>
      <c r="O135" s="753">
        <v>0</v>
      </c>
      <c r="P135" s="753">
        <v>0</v>
      </c>
      <c r="Q135" s="753">
        <v>0</v>
      </c>
      <c r="R135" s="753">
        <v>0</v>
      </c>
      <c r="S135" s="753">
        <v>0</v>
      </c>
      <c r="T135" s="753">
        <v>0</v>
      </c>
      <c r="U135" s="753">
        <v>0</v>
      </c>
      <c r="V135" s="753">
        <v>0</v>
      </c>
      <c r="W135" s="704">
        <v>0</v>
      </c>
      <c r="X135" s="753"/>
      <c r="Y135" s="753"/>
      <c r="Z135" s="753"/>
      <c r="AA135" s="753"/>
      <c r="AB135" s="753"/>
      <c r="AC135" s="753"/>
      <c r="AD135" s="753"/>
      <c r="AE135" s="753"/>
      <c r="AF135" s="753"/>
      <c r="AG135" s="753"/>
      <c r="AH135" s="753"/>
      <c r="AI135" s="753"/>
      <c r="AJ135" s="753"/>
      <c r="AK135" s="753"/>
      <c r="AL135" s="753"/>
      <c r="AM135" s="753">
        <v>0</v>
      </c>
      <c r="AN135" s="753"/>
      <c r="AO135" s="753"/>
      <c r="AP135" s="753"/>
      <c r="AQ135" s="753"/>
      <c r="AR135" s="753"/>
      <c r="AS135" s="753"/>
      <c r="AT135" s="704">
        <v>0</v>
      </c>
      <c r="AU135" s="753">
        <v>0</v>
      </c>
      <c r="AV135" s="753">
        <v>0</v>
      </c>
      <c r="AW135" s="753">
        <v>0</v>
      </c>
      <c r="AX135" s="753">
        <v>0</v>
      </c>
      <c r="AY135" s="753">
        <v>0</v>
      </c>
      <c r="AZ135" s="704">
        <v>0</v>
      </c>
      <c r="BA135" s="753"/>
      <c r="BB135" s="753"/>
      <c r="BC135" s="753"/>
      <c r="BD135" s="753">
        <v>0</v>
      </c>
      <c r="BE135" s="753"/>
      <c r="BF135" s="753">
        <v>0</v>
      </c>
      <c r="BG135" s="753">
        <v>0</v>
      </c>
      <c r="BH135" s="753">
        <v>0</v>
      </c>
      <c r="BI135" s="753">
        <v>0</v>
      </c>
      <c r="BJ135" s="753">
        <v>0</v>
      </c>
      <c r="BK135" s="753">
        <v>0</v>
      </c>
      <c r="BL135" s="753">
        <v>0</v>
      </c>
      <c r="BM135" s="753">
        <v>0</v>
      </c>
      <c r="BN135" s="753">
        <v>0</v>
      </c>
      <c r="BO135" s="704">
        <v>0</v>
      </c>
      <c r="BP135" s="753">
        <v>0</v>
      </c>
      <c r="BQ135" s="753">
        <v>0</v>
      </c>
      <c r="BR135" s="705"/>
      <c r="BS135" s="705">
        <v>88.06248208655775</v>
      </c>
      <c r="BT135" s="704">
        <v>738.27266647558986</v>
      </c>
    </row>
    <row r="136" spans="1:72">
      <c r="A136" s="755" t="s">
        <v>1042</v>
      </c>
      <c r="B136" s="755"/>
      <c r="C136" s="755"/>
      <c r="D136" s="755"/>
      <c r="E136" s="755"/>
      <c r="F136" s="658" t="s">
        <v>1041</v>
      </c>
      <c r="G136" s="658"/>
      <c r="H136" s="754">
        <v>23328.914684245723</v>
      </c>
      <c r="I136" s="704">
        <v>748.66246297888597</v>
      </c>
      <c r="J136" s="753">
        <v>0</v>
      </c>
      <c r="K136" s="753">
        <v>0</v>
      </c>
      <c r="L136" s="753">
        <v>522.16489920703157</v>
      </c>
      <c r="M136" s="753">
        <v>0</v>
      </c>
      <c r="N136" s="753">
        <v>0</v>
      </c>
      <c r="O136" s="753">
        <v>0</v>
      </c>
      <c r="P136" s="753">
        <v>226.4975637718544</v>
      </c>
      <c r="Q136" s="753">
        <v>0</v>
      </c>
      <c r="R136" s="753">
        <v>0</v>
      </c>
      <c r="S136" s="753">
        <v>0</v>
      </c>
      <c r="T136" s="753">
        <v>0</v>
      </c>
      <c r="U136" s="753">
        <v>0</v>
      </c>
      <c r="V136" s="753">
        <v>0</v>
      </c>
      <c r="W136" s="704">
        <v>11127.472055030094</v>
      </c>
      <c r="X136" s="753">
        <v>492.04643164230436</v>
      </c>
      <c r="Y136" s="753">
        <v>0</v>
      </c>
      <c r="Z136" s="753">
        <v>0</v>
      </c>
      <c r="AA136" s="753">
        <v>0</v>
      </c>
      <c r="AB136" s="753"/>
      <c r="AC136" s="753">
        <v>16.241520970669722</v>
      </c>
      <c r="AD136" s="753">
        <v>747.63542562338773</v>
      </c>
      <c r="AE136" s="753">
        <v>1108.7943059138242</v>
      </c>
      <c r="AF136" s="753">
        <v>1459.5633897009648</v>
      </c>
      <c r="AG136" s="753">
        <v>0</v>
      </c>
      <c r="AH136" s="753">
        <v>0</v>
      </c>
      <c r="AI136" s="753">
        <v>1027.3717397535111</v>
      </c>
      <c r="AJ136" s="753">
        <v>86.462214579153525</v>
      </c>
      <c r="AK136" s="753">
        <v>585.07690837871405</v>
      </c>
      <c r="AL136" s="753">
        <v>4337.9908283175691</v>
      </c>
      <c r="AM136" s="753">
        <v>398.39495557466319</v>
      </c>
      <c r="AN136" s="753">
        <v>18.74940288525843</v>
      </c>
      <c r="AO136" s="753">
        <v>42.132416165090284</v>
      </c>
      <c r="AP136" s="753">
        <v>402.40756663800516</v>
      </c>
      <c r="AQ136" s="753">
        <v>404.60494888697809</v>
      </c>
      <c r="AR136" s="753">
        <v>0</v>
      </c>
      <c r="AS136" s="753">
        <v>0</v>
      </c>
      <c r="AT136" s="704">
        <v>846.6370497754848</v>
      </c>
      <c r="AU136" s="753">
        <v>776.84627878093056</v>
      </c>
      <c r="AV136" s="753">
        <v>0</v>
      </c>
      <c r="AW136" s="753">
        <v>69.790770994554308</v>
      </c>
      <c r="AX136" s="753">
        <v>0</v>
      </c>
      <c r="AY136" s="753">
        <v>0</v>
      </c>
      <c r="AZ136" s="704">
        <v>873.05340594248582</v>
      </c>
      <c r="BA136" s="753">
        <v>0</v>
      </c>
      <c r="BB136" s="753">
        <v>0</v>
      </c>
      <c r="BC136" s="753">
        <v>0</v>
      </c>
      <c r="BD136" s="753">
        <v>0</v>
      </c>
      <c r="BE136" s="753">
        <v>0</v>
      </c>
      <c r="BF136" s="753">
        <v>720.98022355975922</v>
      </c>
      <c r="BG136" s="753">
        <v>0</v>
      </c>
      <c r="BH136" s="753">
        <v>14.474061335626253</v>
      </c>
      <c r="BI136" s="753">
        <v>9.5538358650998365</v>
      </c>
      <c r="BJ136" s="753">
        <v>9.8165663513900832</v>
      </c>
      <c r="BK136" s="753">
        <v>114.55049202254705</v>
      </c>
      <c r="BL136" s="753">
        <v>0</v>
      </c>
      <c r="BM136" s="753">
        <v>3.6782268080634375</v>
      </c>
      <c r="BN136" s="753">
        <v>0</v>
      </c>
      <c r="BO136" s="704">
        <v>9.5538358650998365</v>
      </c>
      <c r="BP136" s="753">
        <v>0</v>
      </c>
      <c r="BQ136" s="753">
        <v>9.5538358650998365</v>
      </c>
      <c r="BR136" s="705">
        <v>0</v>
      </c>
      <c r="BS136" s="705">
        <v>402.02541320340117</v>
      </c>
      <c r="BT136" s="704">
        <v>9321.4865768606087</v>
      </c>
    </row>
    <row r="137" spans="1:72">
      <c r="A137" s="665" t="s">
        <v>1040</v>
      </c>
      <c r="B137" s="665"/>
      <c r="C137" s="665"/>
      <c r="D137" s="665"/>
      <c r="E137" s="665"/>
      <c r="F137" s="664" t="s">
        <v>1039</v>
      </c>
      <c r="G137" s="664"/>
      <c r="H137" s="663">
        <v>2382.0578962453424</v>
      </c>
      <c r="I137" s="660">
        <v>53.692557561861086</v>
      </c>
      <c r="J137" s="662">
        <v>0</v>
      </c>
      <c r="K137" s="662">
        <v>0</v>
      </c>
      <c r="L137" s="662">
        <v>53.692557561861086</v>
      </c>
      <c r="M137" s="662">
        <v>0</v>
      </c>
      <c r="N137" s="662">
        <v>0</v>
      </c>
      <c r="O137" s="662">
        <v>0</v>
      </c>
      <c r="P137" s="662">
        <v>0</v>
      </c>
      <c r="Q137" s="662">
        <v>0</v>
      </c>
      <c r="R137" s="662">
        <v>0</v>
      </c>
      <c r="S137" s="662">
        <v>0</v>
      </c>
      <c r="T137" s="662">
        <v>0</v>
      </c>
      <c r="U137" s="662">
        <v>0</v>
      </c>
      <c r="V137" s="662">
        <v>0</v>
      </c>
      <c r="W137" s="660">
        <v>1810.1413967708033</v>
      </c>
      <c r="X137" s="662">
        <v>0</v>
      </c>
      <c r="Y137" s="662">
        <v>0</v>
      </c>
      <c r="Z137" s="662"/>
      <c r="AA137" s="662"/>
      <c r="AB137" s="662"/>
      <c r="AC137" s="662">
        <v>0</v>
      </c>
      <c r="AD137" s="662">
        <v>331.42256616031335</v>
      </c>
      <c r="AE137" s="662">
        <v>630.9114359415305</v>
      </c>
      <c r="AF137" s="662">
        <v>0</v>
      </c>
      <c r="AG137" s="662">
        <v>0</v>
      </c>
      <c r="AH137" s="662">
        <v>0</v>
      </c>
      <c r="AI137" s="662">
        <v>0</v>
      </c>
      <c r="AJ137" s="662">
        <v>0</v>
      </c>
      <c r="AK137" s="662">
        <v>0</v>
      </c>
      <c r="AL137" s="662">
        <v>0</v>
      </c>
      <c r="AM137" s="662">
        <v>0</v>
      </c>
      <c r="AN137" s="662">
        <v>19.776440240756664</v>
      </c>
      <c r="AO137" s="662">
        <v>42.132416165090284</v>
      </c>
      <c r="AP137" s="662">
        <v>402.40756663800516</v>
      </c>
      <c r="AQ137" s="662">
        <v>378.6901691028948</v>
      </c>
      <c r="AR137" s="662">
        <v>0</v>
      </c>
      <c r="AS137" s="662">
        <v>4.7769179325499183</v>
      </c>
      <c r="AT137" s="660">
        <v>518.2239419126779</v>
      </c>
      <c r="AU137" s="662">
        <v>518.2239419126779</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c r="A140" s="680" t="s">
        <v>968</v>
      </c>
      <c r="B140" s="679" t="s">
        <v>1034</v>
      </c>
      <c r="C140" s="679"/>
      <c r="D140" s="679"/>
      <c r="E140" s="679"/>
      <c r="F140" s="678" t="s">
        <v>1033</v>
      </c>
      <c r="G140" s="678"/>
      <c r="H140" s="677">
        <v>2328.3653386834812</v>
      </c>
      <c r="I140" s="674"/>
      <c r="J140" s="676"/>
      <c r="K140" s="676"/>
      <c r="L140" s="676"/>
      <c r="M140" s="676"/>
      <c r="N140" s="676"/>
      <c r="O140" s="676"/>
      <c r="P140" s="676"/>
      <c r="Q140" s="676"/>
      <c r="R140" s="676"/>
      <c r="S140" s="676"/>
      <c r="T140" s="676"/>
      <c r="U140" s="676"/>
      <c r="V140" s="676"/>
      <c r="W140" s="674">
        <v>1810.1413967708033</v>
      </c>
      <c r="X140" s="676">
        <v>0</v>
      </c>
      <c r="Y140" s="676">
        <v>0</v>
      </c>
      <c r="Z140" s="676"/>
      <c r="AA140" s="676"/>
      <c r="AB140" s="676"/>
      <c r="AC140" s="676">
        <v>0</v>
      </c>
      <c r="AD140" s="676">
        <v>331.42256616031335</v>
      </c>
      <c r="AE140" s="676">
        <v>630.9114359415305</v>
      </c>
      <c r="AF140" s="676">
        <v>0</v>
      </c>
      <c r="AG140" s="676">
        <v>0</v>
      </c>
      <c r="AH140" s="676">
        <v>0</v>
      </c>
      <c r="AI140" s="676">
        <v>0</v>
      </c>
      <c r="AJ140" s="676">
        <v>0</v>
      </c>
      <c r="AK140" s="676">
        <v>0</v>
      </c>
      <c r="AL140" s="676">
        <v>0</v>
      </c>
      <c r="AM140" s="676">
        <v>0</v>
      </c>
      <c r="AN140" s="676">
        <v>19.776440240756664</v>
      </c>
      <c r="AO140" s="676">
        <v>42.132416165090284</v>
      </c>
      <c r="AP140" s="676">
        <v>402.40756663800516</v>
      </c>
      <c r="AQ140" s="676">
        <v>378.6901691028948</v>
      </c>
      <c r="AR140" s="676">
        <v>0</v>
      </c>
      <c r="AS140" s="676">
        <v>4.7769179325499183</v>
      </c>
      <c r="AT140" s="674">
        <v>518.2239419126779</v>
      </c>
      <c r="AU140" s="676">
        <v>518.2239419126779</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1517.6507117607719</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999.42676984809395</v>
      </c>
      <c r="X141" s="699"/>
      <c r="Y141" s="699"/>
      <c r="Z141" s="699"/>
      <c r="AA141" s="699"/>
      <c r="AB141" s="699"/>
      <c r="AC141" s="699"/>
      <c r="AD141" s="699">
        <v>331.42256616031335</v>
      </c>
      <c r="AE141" s="699">
        <v>629.81274481704406</v>
      </c>
      <c r="AF141" s="699"/>
      <c r="AG141" s="699"/>
      <c r="AH141" s="699"/>
      <c r="AI141" s="699"/>
      <c r="AJ141" s="699"/>
      <c r="AK141" s="699"/>
      <c r="AL141" s="699"/>
      <c r="AM141" s="699">
        <v>0</v>
      </c>
      <c r="AN141" s="699">
        <v>19.776440240756664</v>
      </c>
      <c r="AO141" s="699"/>
      <c r="AP141" s="699"/>
      <c r="AQ141" s="699">
        <v>18.391134040317187</v>
      </c>
      <c r="AR141" s="699"/>
      <c r="AS141" s="699"/>
      <c r="AT141" s="697">
        <v>518.2239419126779</v>
      </c>
      <c r="AU141" s="699">
        <v>518.2239419126779</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c r="A144" s="695" t="s">
        <v>968</v>
      </c>
      <c r="B144" s="694" t="s">
        <v>1026</v>
      </c>
      <c r="C144" s="694"/>
      <c r="D144" s="694"/>
      <c r="E144" s="694"/>
      <c r="F144" s="693" t="s">
        <v>1025</v>
      </c>
      <c r="G144" s="693"/>
      <c r="H144" s="692">
        <v>53.692557561861086</v>
      </c>
      <c r="I144" s="689">
        <v>53.692557561861086</v>
      </c>
      <c r="J144" s="691">
        <v>0</v>
      </c>
      <c r="K144" s="691">
        <v>0</v>
      </c>
      <c r="L144" s="691">
        <v>53.692557561861086</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c r="A145" s="665" t="s">
        <v>1024</v>
      </c>
      <c r="B145" s="665"/>
      <c r="C145" s="665"/>
      <c r="D145" s="665"/>
      <c r="E145" s="665"/>
      <c r="F145" s="664" t="s">
        <v>1023</v>
      </c>
      <c r="G145" s="664"/>
      <c r="H145" s="663">
        <v>18399.828030954428</v>
      </c>
      <c r="I145" s="660">
        <v>626.06286423999234</v>
      </c>
      <c r="J145" s="662">
        <v>0</v>
      </c>
      <c r="K145" s="662">
        <v>0</v>
      </c>
      <c r="L145" s="662">
        <v>479.88917550396479</v>
      </c>
      <c r="M145" s="662">
        <v>0</v>
      </c>
      <c r="N145" s="662">
        <v>0</v>
      </c>
      <c r="O145" s="662">
        <v>0</v>
      </c>
      <c r="P145" s="662">
        <v>146.17368873602751</v>
      </c>
      <c r="Q145" s="662">
        <v>0</v>
      </c>
      <c r="R145" s="662">
        <v>0</v>
      </c>
      <c r="S145" s="662">
        <v>0</v>
      </c>
      <c r="T145" s="662">
        <v>0</v>
      </c>
      <c r="U145" s="662">
        <v>0</v>
      </c>
      <c r="V145" s="662">
        <v>0</v>
      </c>
      <c r="W145" s="660">
        <v>6675.8383490971619</v>
      </c>
      <c r="X145" s="662"/>
      <c r="Y145" s="662"/>
      <c r="Z145" s="662"/>
      <c r="AA145" s="662"/>
      <c r="AB145" s="662"/>
      <c r="AC145" s="662"/>
      <c r="AD145" s="662">
        <v>259.86433553071555</v>
      </c>
      <c r="AE145" s="662">
        <v>162.96455526894047</v>
      </c>
      <c r="AF145" s="662">
        <v>949.96178465653952</v>
      </c>
      <c r="AG145" s="662">
        <v>2.1018438903219643</v>
      </c>
      <c r="AH145" s="662"/>
      <c r="AI145" s="662">
        <v>947.07174930734686</v>
      </c>
      <c r="AJ145" s="662">
        <v>32.936849144931685</v>
      </c>
      <c r="AK145" s="662"/>
      <c r="AL145" s="662">
        <v>4245.3425050157639</v>
      </c>
      <c r="AM145" s="662">
        <v>49.679946498519151</v>
      </c>
      <c r="AN145" s="662"/>
      <c r="AO145" s="662"/>
      <c r="AP145" s="662"/>
      <c r="AQ145" s="662">
        <v>25.914779784083308</v>
      </c>
      <c r="AR145" s="662"/>
      <c r="AS145" s="662"/>
      <c r="AT145" s="660">
        <v>499.33123148944298</v>
      </c>
      <c r="AU145" s="662">
        <v>429.54046049488869</v>
      </c>
      <c r="AV145" s="662">
        <v>0</v>
      </c>
      <c r="AW145" s="662">
        <v>69.790770994554308</v>
      </c>
      <c r="AX145" s="662">
        <v>0</v>
      </c>
      <c r="AY145" s="662">
        <v>0</v>
      </c>
      <c r="AZ145" s="660">
        <v>865.50587560905706</v>
      </c>
      <c r="BA145" s="662"/>
      <c r="BB145" s="662"/>
      <c r="BC145" s="662"/>
      <c r="BD145" s="662">
        <v>0</v>
      </c>
      <c r="BE145" s="662"/>
      <c r="BF145" s="662">
        <v>720.98022355975922</v>
      </c>
      <c r="BG145" s="662">
        <v>0</v>
      </c>
      <c r="BH145" s="662">
        <v>10.628642399923569</v>
      </c>
      <c r="BI145" s="662">
        <v>9.5538358650998365</v>
      </c>
      <c r="BJ145" s="662">
        <v>6.401070029616891</v>
      </c>
      <c r="BK145" s="662">
        <v>114.26387694659405</v>
      </c>
      <c r="BL145" s="662">
        <v>0</v>
      </c>
      <c r="BM145" s="662">
        <v>3.6782268080634375</v>
      </c>
      <c r="BN145" s="662">
        <v>0</v>
      </c>
      <c r="BO145" s="660">
        <v>9.5538358650998365</v>
      </c>
      <c r="BP145" s="662">
        <v>0</v>
      </c>
      <c r="BQ145" s="662">
        <v>9.5538358650998365</v>
      </c>
      <c r="BR145" s="661"/>
      <c r="BS145" s="661">
        <v>402.02541320340117</v>
      </c>
      <c r="BT145" s="660">
        <v>9321.4865768606087</v>
      </c>
    </row>
    <row r="146" spans="1:72">
      <c r="A146" s="688" t="s">
        <v>968</v>
      </c>
      <c r="B146" s="687" t="s">
        <v>1022</v>
      </c>
      <c r="C146" s="687"/>
      <c r="D146" s="687"/>
      <c r="E146" s="687"/>
      <c r="F146" s="686" t="s">
        <v>1021</v>
      </c>
      <c r="G146" s="686"/>
      <c r="H146" s="685">
        <v>5924.882965510652</v>
      </c>
      <c r="I146" s="682">
        <v>626.06286423999234</v>
      </c>
      <c r="J146" s="684">
        <v>0</v>
      </c>
      <c r="K146" s="684">
        <v>0</v>
      </c>
      <c r="L146" s="684">
        <v>479.88917550396479</v>
      </c>
      <c r="M146" s="684">
        <v>0</v>
      </c>
      <c r="N146" s="684">
        <v>0</v>
      </c>
      <c r="O146" s="684">
        <v>0</v>
      </c>
      <c r="P146" s="684">
        <v>146.17368873602751</v>
      </c>
      <c r="Q146" s="684">
        <v>0</v>
      </c>
      <c r="R146" s="684">
        <v>0</v>
      </c>
      <c r="S146" s="684">
        <v>0</v>
      </c>
      <c r="T146" s="684">
        <v>0</v>
      </c>
      <c r="U146" s="684">
        <v>0</v>
      </c>
      <c r="V146" s="684">
        <v>0</v>
      </c>
      <c r="W146" s="682">
        <v>769.39428680615265</v>
      </c>
      <c r="X146" s="684"/>
      <c r="Y146" s="684"/>
      <c r="Z146" s="684"/>
      <c r="AA146" s="684"/>
      <c r="AB146" s="684"/>
      <c r="AC146" s="684"/>
      <c r="AD146" s="684">
        <v>259.86433553071555</v>
      </c>
      <c r="AE146" s="684">
        <v>143.14034584885832</v>
      </c>
      <c r="AF146" s="684"/>
      <c r="AG146" s="684"/>
      <c r="AH146" s="684"/>
      <c r="AI146" s="684"/>
      <c r="AJ146" s="684"/>
      <c r="AK146" s="684"/>
      <c r="AL146" s="684">
        <v>335.60236935129456</v>
      </c>
      <c r="AM146" s="684">
        <v>5.7323015190599023</v>
      </c>
      <c r="AN146" s="684"/>
      <c r="AO146" s="684"/>
      <c r="AP146" s="684"/>
      <c r="AQ146" s="684">
        <v>25.078819145887074</v>
      </c>
      <c r="AR146" s="684"/>
      <c r="AS146" s="684"/>
      <c r="AT146" s="682">
        <v>331.73306582592909</v>
      </c>
      <c r="AU146" s="684">
        <v>261.9422948313748</v>
      </c>
      <c r="AV146" s="684">
        <v>0</v>
      </c>
      <c r="AW146" s="684">
        <v>69.790770994554308</v>
      </c>
      <c r="AX146" s="684">
        <v>0</v>
      </c>
      <c r="AY146" s="684">
        <v>0</v>
      </c>
      <c r="AZ146" s="682">
        <v>239.61020349670392</v>
      </c>
      <c r="BA146" s="684"/>
      <c r="BB146" s="684"/>
      <c r="BC146" s="684"/>
      <c r="BD146" s="684">
        <v>0</v>
      </c>
      <c r="BE146" s="684"/>
      <c r="BF146" s="684">
        <v>228.0022929206076</v>
      </c>
      <c r="BG146" s="684">
        <v>0</v>
      </c>
      <c r="BH146" s="684">
        <v>2.0540747109964648</v>
      </c>
      <c r="BI146" s="684">
        <v>9.5538358650998365</v>
      </c>
      <c r="BJ146" s="684">
        <v>0</v>
      </c>
      <c r="BK146" s="684">
        <v>0</v>
      </c>
      <c r="BL146" s="684">
        <v>0</v>
      </c>
      <c r="BM146" s="684">
        <v>0</v>
      </c>
      <c r="BN146" s="684">
        <v>0</v>
      </c>
      <c r="BO146" s="682">
        <v>9.5538358650998365</v>
      </c>
      <c r="BP146" s="684">
        <v>0</v>
      </c>
      <c r="BQ146" s="684">
        <v>9.5538358650998365</v>
      </c>
      <c r="BR146" s="683"/>
      <c r="BS146" s="683">
        <v>50.492022547052642</v>
      </c>
      <c r="BT146" s="682">
        <v>3898.0128021400592</v>
      </c>
    </row>
    <row r="147" spans="1:72">
      <c r="A147" s="681"/>
      <c r="B147" s="680" t="s">
        <v>968</v>
      </c>
      <c r="C147" s="679" t="s">
        <v>1020</v>
      </c>
      <c r="D147" s="679"/>
      <c r="E147" s="679"/>
      <c r="F147" s="678" t="s">
        <v>1019</v>
      </c>
      <c r="G147" s="678"/>
      <c r="H147" s="677">
        <v>857.88669150663986</v>
      </c>
      <c r="I147" s="674">
        <v>322.01203783318999</v>
      </c>
      <c r="J147" s="676">
        <v>0</v>
      </c>
      <c r="K147" s="676">
        <v>0</v>
      </c>
      <c r="L147" s="676">
        <v>224.84952708512466</v>
      </c>
      <c r="M147" s="676">
        <v>0</v>
      </c>
      <c r="N147" s="676">
        <v>0</v>
      </c>
      <c r="O147" s="676">
        <v>0</v>
      </c>
      <c r="P147" s="676">
        <v>97.162510748065344</v>
      </c>
      <c r="Q147" s="676">
        <v>0</v>
      </c>
      <c r="R147" s="676">
        <v>0</v>
      </c>
      <c r="S147" s="676">
        <v>0</v>
      </c>
      <c r="T147" s="676">
        <v>0</v>
      </c>
      <c r="U147" s="676">
        <v>0</v>
      </c>
      <c r="V147" s="676">
        <v>0</v>
      </c>
      <c r="W147" s="674">
        <v>26.98958631890704</v>
      </c>
      <c r="X147" s="676"/>
      <c r="Y147" s="676"/>
      <c r="Z147" s="676"/>
      <c r="AA147" s="676"/>
      <c r="AB147" s="676"/>
      <c r="AC147" s="676"/>
      <c r="AD147" s="676"/>
      <c r="AE147" s="676">
        <v>6.6160313365816368</v>
      </c>
      <c r="AF147" s="676"/>
      <c r="AG147" s="676"/>
      <c r="AH147" s="676"/>
      <c r="AI147" s="676"/>
      <c r="AJ147" s="676"/>
      <c r="AK147" s="676"/>
      <c r="AL147" s="676">
        <v>6.1861087226521443</v>
      </c>
      <c r="AM147" s="676">
        <v>0</v>
      </c>
      <c r="AN147" s="676"/>
      <c r="AO147" s="676"/>
      <c r="AP147" s="676"/>
      <c r="AQ147" s="676">
        <v>14.211330849336008</v>
      </c>
      <c r="AR147" s="676"/>
      <c r="AS147" s="676"/>
      <c r="AT147" s="674">
        <v>48.796216680997418</v>
      </c>
      <c r="AU147" s="676">
        <v>0.88372981752173496</v>
      </c>
      <c r="AV147" s="676">
        <v>0</v>
      </c>
      <c r="AW147" s="676">
        <v>47.912486863475685</v>
      </c>
      <c r="AX147" s="676">
        <v>0</v>
      </c>
      <c r="AY147" s="676">
        <v>0</v>
      </c>
      <c r="AZ147" s="674">
        <v>2.6750740422279544</v>
      </c>
      <c r="BA147" s="676"/>
      <c r="BB147" s="676"/>
      <c r="BC147" s="676"/>
      <c r="BD147" s="676">
        <v>0</v>
      </c>
      <c r="BE147" s="676"/>
      <c r="BF147" s="676">
        <v>2.6750740422279544</v>
      </c>
      <c r="BG147" s="676">
        <v>0</v>
      </c>
      <c r="BH147" s="676">
        <v>0</v>
      </c>
      <c r="BI147" s="676">
        <v>0</v>
      </c>
      <c r="BJ147" s="676">
        <v>0</v>
      </c>
      <c r="BK147" s="676">
        <v>0</v>
      </c>
      <c r="BL147" s="676">
        <v>0</v>
      </c>
      <c r="BM147" s="676">
        <v>0</v>
      </c>
      <c r="BN147" s="676">
        <v>0</v>
      </c>
      <c r="BO147" s="674">
        <v>0</v>
      </c>
      <c r="BP147" s="676">
        <v>0</v>
      </c>
      <c r="BQ147" s="676">
        <v>0</v>
      </c>
      <c r="BR147" s="675"/>
      <c r="BS147" s="675">
        <v>0.14330753797649756</v>
      </c>
      <c r="BT147" s="674">
        <v>457.27046909334098</v>
      </c>
    </row>
    <row r="148" spans="1:72">
      <c r="A148" s="681"/>
      <c r="B148" s="680" t="s">
        <v>968</v>
      </c>
      <c r="C148" s="679" t="s">
        <v>1018</v>
      </c>
      <c r="D148" s="679"/>
      <c r="E148" s="679"/>
      <c r="F148" s="678" t="s">
        <v>1017</v>
      </c>
      <c r="G148" s="678"/>
      <c r="H148" s="677">
        <v>1420.2971242954045</v>
      </c>
      <c r="I148" s="674">
        <v>227.40517817903887</v>
      </c>
      <c r="J148" s="676">
        <v>0</v>
      </c>
      <c r="K148" s="676">
        <v>0</v>
      </c>
      <c r="L148" s="676">
        <v>187.92395146651378</v>
      </c>
      <c r="M148" s="676">
        <v>0</v>
      </c>
      <c r="N148" s="676">
        <v>0</v>
      </c>
      <c r="O148" s="676">
        <v>0</v>
      </c>
      <c r="P148" s="676">
        <v>39.481226712525078</v>
      </c>
      <c r="Q148" s="676">
        <v>0</v>
      </c>
      <c r="R148" s="676">
        <v>0</v>
      </c>
      <c r="S148" s="676">
        <v>0</v>
      </c>
      <c r="T148" s="676">
        <v>0</v>
      </c>
      <c r="U148" s="676">
        <v>0</v>
      </c>
      <c r="V148" s="676">
        <v>0</v>
      </c>
      <c r="W148" s="674">
        <v>324.20942008216298</v>
      </c>
      <c r="X148" s="676"/>
      <c r="Y148" s="676"/>
      <c r="Z148" s="676"/>
      <c r="AA148" s="676"/>
      <c r="AB148" s="676"/>
      <c r="AC148" s="676"/>
      <c r="AD148" s="676">
        <v>259.86433553071555</v>
      </c>
      <c r="AE148" s="676">
        <v>39.648418840164325</v>
      </c>
      <c r="AF148" s="676"/>
      <c r="AG148" s="676"/>
      <c r="AH148" s="676"/>
      <c r="AI148" s="676"/>
      <c r="AJ148" s="676"/>
      <c r="AK148" s="676"/>
      <c r="AL148" s="676">
        <v>24.696665711283078</v>
      </c>
      <c r="AM148" s="676">
        <v>0</v>
      </c>
      <c r="AN148" s="676"/>
      <c r="AO148" s="676"/>
      <c r="AP148" s="676"/>
      <c r="AQ148" s="676"/>
      <c r="AR148" s="676"/>
      <c r="AS148" s="676"/>
      <c r="AT148" s="674">
        <v>122.40852202159166</v>
      </c>
      <c r="AU148" s="676">
        <v>104.39954141587847</v>
      </c>
      <c r="AV148" s="676">
        <v>0</v>
      </c>
      <c r="AW148" s="676">
        <v>18.008980605713194</v>
      </c>
      <c r="AX148" s="676">
        <v>0</v>
      </c>
      <c r="AY148" s="676">
        <v>0</v>
      </c>
      <c r="AZ148" s="674">
        <v>67.927773000859844</v>
      </c>
      <c r="BA148" s="676"/>
      <c r="BB148" s="676"/>
      <c r="BC148" s="676"/>
      <c r="BD148" s="676">
        <v>0</v>
      </c>
      <c r="BE148" s="676"/>
      <c r="BF148" s="676">
        <v>65.013853062004387</v>
      </c>
      <c r="BG148" s="676">
        <v>0</v>
      </c>
      <c r="BH148" s="676">
        <v>0</v>
      </c>
      <c r="BI148" s="676">
        <v>2.9139199388554502</v>
      </c>
      <c r="BJ148" s="676">
        <v>0</v>
      </c>
      <c r="BK148" s="676">
        <v>0</v>
      </c>
      <c r="BL148" s="676">
        <v>0</v>
      </c>
      <c r="BM148" s="676">
        <v>0</v>
      </c>
      <c r="BN148" s="676">
        <v>0</v>
      </c>
      <c r="BO148" s="674">
        <v>2.9139199388554502</v>
      </c>
      <c r="BP148" s="676">
        <v>0</v>
      </c>
      <c r="BQ148" s="676">
        <v>2.9139199388554502</v>
      </c>
      <c r="BR148" s="675"/>
      <c r="BS148" s="675">
        <v>12.754370879908283</v>
      </c>
      <c r="BT148" s="674">
        <v>662.67794019298742</v>
      </c>
    </row>
    <row r="149" spans="1:72">
      <c r="A149" s="681"/>
      <c r="B149" s="680" t="s">
        <v>968</v>
      </c>
      <c r="C149" s="679" t="s">
        <v>1016</v>
      </c>
      <c r="D149" s="679"/>
      <c r="E149" s="679"/>
      <c r="F149" s="678" t="s">
        <v>1015</v>
      </c>
      <c r="G149" s="678"/>
      <c r="H149" s="677">
        <v>1750.477691793255</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20.636285468615647</v>
      </c>
      <c r="X149" s="676"/>
      <c r="Y149" s="676"/>
      <c r="Z149" s="676"/>
      <c r="AA149" s="676"/>
      <c r="AB149" s="676"/>
      <c r="AC149" s="676"/>
      <c r="AD149" s="676"/>
      <c r="AE149" s="676">
        <v>16.52813604662272</v>
      </c>
      <c r="AF149" s="676"/>
      <c r="AG149" s="676"/>
      <c r="AH149" s="676"/>
      <c r="AI149" s="676"/>
      <c r="AJ149" s="676"/>
      <c r="AK149" s="676"/>
      <c r="AL149" s="676">
        <v>4.1081494219929295</v>
      </c>
      <c r="AM149" s="676">
        <v>0</v>
      </c>
      <c r="AN149" s="676"/>
      <c r="AO149" s="676"/>
      <c r="AP149" s="676"/>
      <c r="AQ149" s="676"/>
      <c r="AR149" s="676"/>
      <c r="AS149" s="676"/>
      <c r="AT149" s="674">
        <v>38.836342791630841</v>
      </c>
      <c r="AU149" s="676">
        <v>38.836342791630841</v>
      </c>
      <c r="AV149" s="676">
        <v>0</v>
      </c>
      <c r="AW149" s="676">
        <v>0</v>
      </c>
      <c r="AX149" s="676">
        <v>0</v>
      </c>
      <c r="AY149" s="676">
        <v>0</v>
      </c>
      <c r="AZ149" s="674">
        <v>0</v>
      </c>
      <c r="BA149" s="676"/>
      <c r="BB149" s="676"/>
      <c r="BC149" s="676"/>
      <c r="BD149" s="676">
        <v>0</v>
      </c>
      <c r="BE149" s="676"/>
      <c r="BF149" s="676">
        <v>0</v>
      </c>
      <c r="BG149" s="676">
        <v>0</v>
      </c>
      <c r="BH149" s="676">
        <v>0</v>
      </c>
      <c r="BI149" s="676">
        <v>0</v>
      </c>
      <c r="BJ149" s="676">
        <v>0</v>
      </c>
      <c r="BK149" s="676">
        <v>0</v>
      </c>
      <c r="BL149" s="676">
        <v>0</v>
      </c>
      <c r="BM149" s="676">
        <v>0</v>
      </c>
      <c r="BN149" s="676">
        <v>0</v>
      </c>
      <c r="BO149" s="674">
        <v>0</v>
      </c>
      <c r="BP149" s="676">
        <v>0</v>
      </c>
      <c r="BQ149" s="676">
        <v>0</v>
      </c>
      <c r="BR149" s="675"/>
      <c r="BS149" s="675">
        <v>0.62099933123148943</v>
      </c>
      <c r="BT149" s="674">
        <v>1690.3601796121143</v>
      </c>
    </row>
    <row r="150" spans="1:72">
      <c r="A150" s="681"/>
      <c r="B150" s="680" t="s">
        <v>968</v>
      </c>
      <c r="C150" s="679" t="s">
        <v>1014</v>
      </c>
      <c r="D150" s="679"/>
      <c r="E150" s="679"/>
      <c r="F150" s="678" t="s">
        <v>1013</v>
      </c>
      <c r="G150" s="678"/>
      <c r="H150" s="677">
        <v>303.66867297219829</v>
      </c>
      <c r="I150" s="674">
        <v>76.645648227763445</v>
      </c>
      <c r="J150" s="676">
        <v>0</v>
      </c>
      <c r="K150" s="676">
        <v>0</v>
      </c>
      <c r="L150" s="676">
        <v>67.11569695232636</v>
      </c>
      <c r="M150" s="676">
        <v>0</v>
      </c>
      <c r="N150" s="676">
        <v>0</v>
      </c>
      <c r="O150" s="676">
        <v>0</v>
      </c>
      <c r="P150" s="676">
        <v>9.529951275437087</v>
      </c>
      <c r="Q150" s="676">
        <v>0</v>
      </c>
      <c r="R150" s="676">
        <v>0</v>
      </c>
      <c r="S150" s="676">
        <v>0</v>
      </c>
      <c r="T150" s="676">
        <v>0</v>
      </c>
      <c r="U150" s="676">
        <v>0</v>
      </c>
      <c r="V150" s="676">
        <v>0</v>
      </c>
      <c r="W150" s="674">
        <v>54.791248686347565</v>
      </c>
      <c r="X150" s="676"/>
      <c r="Y150" s="676"/>
      <c r="Z150" s="676"/>
      <c r="AA150" s="676"/>
      <c r="AB150" s="676"/>
      <c r="AC150" s="676"/>
      <c r="AD150" s="676"/>
      <c r="AE150" s="676">
        <v>26.416356167001048</v>
      </c>
      <c r="AF150" s="676"/>
      <c r="AG150" s="676"/>
      <c r="AH150" s="676"/>
      <c r="AI150" s="676"/>
      <c r="AJ150" s="676"/>
      <c r="AK150" s="676"/>
      <c r="AL150" s="676">
        <v>17.507404222795451</v>
      </c>
      <c r="AM150" s="676">
        <v>0</v>
      </c>
      <c r="AN150" s="676"/>
      <c r="AO150" s="676"/>
      <c r="AP150" s="676"/>
      <c r="AQ150" s="676">
        <v>10.867488296551064</v>
      </c>
      <c r="AR150" s="676"/>
      <c r="AS150" s="676"/>
      <c r="AT150" s="674">
        <v>50.133753702111392</v>
      </c>
      <c r="AU150" s="676">
        <v>46.26445017674596</v>
      </c>
      <c r="AV150" s="676">
        <v>0</v>
      </c>
      <c r="AW150" s="676">
        <v>3.8693035253654342</v>
      </c>
      <c r="AX150" s="676">
        <v>0</v>
      </c>
      <c r="AY150" s="676">
        <v>0</v>
      </c>
      <c r="AZ150" s="674">
        <v>28.589853826311263</v>
      </c>
      <c r="BA150" s="676"/>
      <c r="BB150" s="676"/>
      <c r="BC150" s="676"/>
      <c r="BD150" s="676">
        <v>0</v>
      </c>
      <c r="BE150" s="676"/>
      <c r="BF150" s="676">
        <v>21.949937900066875</v>
      </c>
      <c r="BG150" s="676">
        <v>0</v>
      </c>
      <c r="BH150" s="676">
        <v>0</v>
      </c>
      <c r="BI150" s="676">
        <v>6.6399159262443872</v>
      </c>
      <c r="BJ150" s="676">
        <v>0</v>
      </c>
      <c r="BK150" s="676">
        <v>0</v>
      </c>
      <c r="BL150" s="676">
        <v>0</v>
      </c>
      <c r="BM150" s="676">
        <v>0</v>
      </c>
      <c r="BN150" s="676">
        <v>0</v>
      </c>
      <c r="BO150" s="674">
        <v>6.6399159262443872</v>
      </c>
      <c r="BP150" s="676">
        <v>0</v>
      </c>
      <c r="BQ150" s="676">
        <v>6.6399159262443872</v>
      </c>
      <c r="BR150" s="675"/>
      <c r="BS150" s="675">
        <v>0.38215343460399348</v>
      </c>
      <c r="BT150" s="674">
        <v>86.509983758479024</v>
      </c>
    </row>
    <row r="151" spans="1:72">
      <c r="A151" s="681"/>
      <c r="B151" s="680" t="s">
        <v>968</v>
      </c>
      <c r="C151" s="679" t="s">
        <v>1012</v>
      </c>
      <c r="D151" s="679"/>
      <c r="E151" s="679"/>
      <c r="F151" s="678" t="s">
        <v>1011</v>
      </c>
      <c r="G151" s="678"/>
      <c r="H151" s="677">
        <v>64.488392089423897</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8.5267985096016048</v>
      </c>
      <c r="X151" s="676"/>
      <c r="Y151" s="676"/>
      <c r="Z151" s="676"/>
      <c r="AA151" s="676"/>
      <c r="AB151" s="676"/>
      <c r="AC151" s="676"/>
      <c r="AD151" s="676"/>
      <c r="AE151" s="676">
        <v>4.3947644979459248</v>
      </c>
      <c r="AF151" s="676"/>
      <c r="AG151" s="676"/>
      <c r="AH151" s="676"/>
      <c r="AI151" s="676"/>
      <c r="AJ151" s="676"/>
      <c r="AK151" s="676"/>
      <c r="AL151" s="676">
        <v>4.1081494219929295</v>
      </c>
      <c r="AM151" s="676">
        <v>0</v>
      </c>
      <c r="AN151" s="676"/>
      <c r="AO151" s="676"/>
      <c r="AP151" s="676"/>
      <c r="AQ151" s="676"/>
      <c r="AR151" s="676"/>
      <c r="AS151" s="676"/>
      <c r="AT151" s="674">
        <v>1.1942294831374796</v>
      </c>
      <c r="AU151" s="676">
        <v>1.1942294831374796</v>
      </c>
      <c r="AV151" s="676">
        <v>0</v>
      </c>
      <c r="AW151" s="676">
        <v>0</v>
      </c>
      <c r="AX151" s="676">
        <v>0</v>
      </c>
      <c r="AY151" s="676">
        <v>0</v>
      </c>
      <c r="AZ151" s="674">
        <v>7.1653768988248781E-2</v>
      </c>
      <c r="BA151" s="676"/>
      <c r="BB151" s="676"/>
      <c r="BC151" s="676"/>
      <c r="BD151" s="676">
        <v>0</v>
      </c>
      <c r="BE151" s="676"/>
      <c r="BF151" s="676">
        <v>7.1653768988248781E-2</v>
      </c>
      <c r="BG151" s="676">
        <v>0</v>
      </c>
      <c r="BH151" s="676">
        <v>0</v>
      </c>
      <c r="BI151" s="676">
        <v>0</v>
      </c>
      <c r="BJ151" s="676">
        <v>0</v>
      </c>
      <c r="BK151" s="676">
        <v>0</v>
      </c>
      <c r="BL151" s="676">
        <v>0</v>
      </c>
      <c r="BM151" s="676">
        <v>0</v>
      </c>
      <c r="BN151" s="676">
        <v>0</v>
      </c>
      <c r="BO151" s="674">
        <v>0</v>
      </c>
      <c r="BP151" s="676">
        <v>0</v>
      </c>
      <c r="BQ151" s="676">
        <v>0</v>
      </c>
      <c r="BR151" s="675"/>
      <c r="BS151" s="675">
        <v>2.6750740422279544</v>
      </c>
      <c r="BT151" s="674">
        <v>52.020636285468612</v>
      </c>
    </row>
    <row r="152" spans="1:72">
      <c r="A152" s="681"/>
      <c r="B152" s="680" t="s">
        <v>968</v>
      </c>
      <c r="C152" s="679" t="s">
        <v>1010</v>
      </c>
      <c r="D152" s="679"/>
      <c r="E152" s="679"/>
      <c r="F152" s="678" t="s">
        <v>1009</v>
      </c>
      <c r="G152" s="678"/>
      <c r="H152" s="677">
        <v>138.96054265787714</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13.590331518104518</v>
      </c>
      <c r="X152" s="676"/>
      <c r="Y152" s="676"/>
      <c r="Z152" s="676"/>
      <c r="AA152" s="676"/>
      <c r="AB152" s="676"/>
      <c r="AC152" s="676"/>
      <c r="AD152" s="676"/>
      <c r="AE152" s="676">
        <v>3.2960733734594436</v>
      </c>
      <c r="AF152" s="676"/>
      <c r="AG152" s="676"/>
      <c r="AH152" s="676"/>
      <c r="AI152" s="676"/>
      <c r="AJ152" s="676"/>
      <c r="AK152" s="676"/>
      <c r="AL152" s="676">
        <v>10.294258144645074</v>
      </c>
      <c r="AM152" s="676">
        <v>0</v>
      </c>
      <c r="AN152" s="676"/>
      <c r="AO152" s="676"/>
      <c r="AP152" s="676"/>
      <c r="AQ152" s="676"/>
      <c r="AR152" s="676"/>
      <c r="AS152" s="676"/>
      <c r="AT152" s="674">
        <v>3.5349192700869398</v>
      </c>
      <c r="AU152" s="676">
        <v>3.5349192700869398</v>
      </c>
      <c r="AV152" s="676">
        <v>0</v>
      </c>
      <c r="AW152" s="676">
        <v>0</v>
      </c>
      <c r="AX152" s="676">
        <v>0</v>
      </c>
      <c r="AY152" s="676">
        <v>0</v>
      </c>
      <c r="AZ152" s="674">
        <v>9.553835865099837E-2</v>
      </c>
      <c r="BA152" s="676"/>
      <c r="BB152" s="676"/>
      <c r="BC152" s="676"/>
      <c r="BD152" s="676">
        <v>0</v>
      </c>
      <c r="BE152" s="676"/>
      <c r="BF152" s="676">
        <v>9.553835865099837E-2</v>
      </c>
      <c r="BG152" s="676">
        <v>0</v>
      </c>
      <c r="BH152" s="676">
        <v>0</v>
      </c>
      <c r="BI152" s="676">
        <v>0</v>
      </c>
      <c r="BJ152" s="676">
        <v>0</v>
      </c>
      <c r="BK152" s="676">
        <v>0</v>
      </c>
      <c r="BL152" s="676">
        <v>0</v>
      </c>
      <c r="BM152" s="676">
        <v>0</v>
      </c>
      <c r="BN152" s="676">
        <v>0</v>
      </c>
      <c r="BO152" s="674">
        <v>0</v>
      </c>
      <c r="BP152" s="676">
        <v>0</v>
      </c>
      <c r="BQ152" s="676">
        <v>0</v>
      </c>
      <c r="BR152" s="675"/>
      <c r="BS152" s="675">
        <v>3.3438425527849431</v>
      </c>
      <c r="BT152" s="674">
        <v>118.39591095824973</v>
      </c>
    </row>
    <row r="153" spans="1:72">
      <c r="A153" s="681"/>
      <c r="B153" s="680" t="s">
        <v>968</v>
      </c>
      <c r="C153" s="679" t="s">
        <v>1008</v>
      </c>
      <c r="D153" s="679"/>
      <c r="E153" s="679"/>
      <c r="F153" s="678" t="s">
        <v>1007</v>
      </c>
      <c r="G153" s="678"/>
      <c r="H153" s="677">
        <v>116.8911818094965</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60.810165281360462</v>
      </c>
      <c r="X153" s="676"/>
      <c r="Y153" s="676"/>
      <c r="Z153" s="676"/>
      <c r="AA153" s="676"/>
      <c r="AB153" s="676"/>
      <c r="AC153" s="676"/>
      <c r="AD153" s="676"/>
      <c r="AE153" s="676">
        <v>1.0986911244864812</v>
      </c>
      <c r="AF153" s="676"/>
      <c r="AG153" s="676"/>
      <c r="AH153" s="676"/>
      <c r="AI153" s="676"/>
      <c r="AJ153" s="676"/>
      <c r="AK153" s="676"/>
      <c r="AL153" s="676">
        <v>59.711474156873983</v>
      </c>
      <c r="AM153" s="676">
        <v>0</v>
      </c>
      <c r="AN153" s="676"/>
      <c r="AO153" s="676"/>
      <c r="AP153" s="676"/>
      <c r="AQ153" s="676"/>
      <c r="AR153" s="676"/>
      <c r="AS153" s="676"/>
      <c r="AT153" s="674">
        <v>3.9648418840164323</v>
      </c>
      <c r="AU153" s="676">
        <v>3.9648418840164323</v>
      </c>
      <c r="AV153" s="676">
        <v>0</v>
      </c>
      <c r="AW153" s="676">
        <v>0</v>
      </c>
      <c r="AX153" s="676">
        <v>0</v>
      </c>
      <c r="AY153" s="676">
        <v>0</v>
      </c>
      <c r="AZ153" s="674">
        <v>0</v>
      </c>
      <c r="BA153" s="676"/>
      <c r="BB153" s="676"/>
      <c r="BC153" s="676"/>
      <c r="BD153" s="676">
        <v>0</v>
      </c>
      <c r="BE153" s="676"/>
      <c r="BF153" s="676">
        <v>0</v>
      </c>
      <c r="BG153" s="676">
        <v>0</v>
      </c>
      <c r="BH153" s="676">
        <v>0</v>
      </c>
      <c r="BI153" s="676">
        <v>0</v>
      </c>
      <c r="BJ153" s="676">
        <v>0</v>
      </c>
      <c r="BK153" s="676">
        <v>0</v>
      </c>
      <c r="BL153" s="676">
        <v>0</v>
      </c>
      <c r="BM153" s="676">
        <v>0</v>
      </c>
      <c r="BN153" s="676">
        <v>0</v>
      </c>
      <c r="BO153" s="674">
        <v>0</v>
      </c>
      <c r="BP153" s="676">
        <v>0</v>
      </c>
      <c r="BQ153" s="676">
        <v>0</v>
      </c>
      <c r="BR153" s="675"/>
      <c r="BS153" s="675">
        <v>0.11942294831374796</v>
      </c>
      <c r="BT153" s="674">
        <v>52.020636285468612</v>
      </c>
    </row>
    <row r="154" spans="1:72">
      <c r="A154" s="681"/>
      <c r="B154" s="680" t="s">
        <v>968</v>
      </c>
      <c r="C154" s="679" t="s">
        <v>1006</v>
      </c>
      <c r="D154" s="679"/>
      <c r="E154" s="679"/>
      <c r="F154" s="678" t="s">
        <v>1005</v>
      </c>
      <c r="G154" s="678"/>
      <c r="H154" s="677">
        <v>393.14034584885832</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68.262157256138337</v>
      </c>
      <c r="X154" s="676"/>
      <c r="Y154" s="676"/>
      <c r="Z154" s="676"/>
      <c r="AA154" s="676"/>
      <c r="AB154" s="676"/>
      <c r="AC154" s="676"/>
      <c r="AD154" s="676"/>
      <c r="AE154" s="676">
        <v>20.922900544568645</v>
      </c>
      <c r="AF154" s="676"/>
      <c r="AG154" s="676"/>
      <c r="AH154" s="676"/>
      <c r="AI154" s="676"/>
      <c r="AJ154" s="676"/>
      <c r="AK154" s="676"/>
      <c r="AL154" s="676">
        <v>47.363141301232446</v>
      </c>
      <c r="AM154" s="676">
        <v>0</v>
      </c>
      <c r="AN154" s="676"/>
      <c r="AO154" s="676"/>
      <c r="AP154" s="676"/>
      <c r="AQ154" s="676"/>
      <c r="AR154" s="676"/>
      <c r="AS154" s="676"/>
      <c r="AT154" s="674">
        <v>42.490685010031527</v>
      </c>
      <c r="AU154" s="676">
        <v>42.490685010031527</v>
      </c>
      <c r="AV154" s="676">
        <v>0</v>
      </c>
      <c r="AW154" s="676">
        <v>0</v>
      </c>
      <c r="AX154" s="676">
        <v>0</v>
      </c>
      <c r="AY154" s="676">
        <v>0</v>
      </c>
      <c r="AZ154" s="674">
        <v>4.1081494219929295</v>
      </c>
      <c r="BA154" s="676"/>
      <c r="BB154" s="676"/>
      <c r="BC154" s="676"/>
      <c r="BD154" s="676">
        <v>0</v>
      </c>
      <c r="BE154" s="676"/>
      <c r="BF154" s="676">
        <v>4.1081494219929295</v>
      </c>
      <c r="BG154" s="676">
        <v>0</v>
      </c>
      <c r="BH154" s="676">
        <v>0</v>
      </c>
      <c r="BI154" s="676">
        <v>0</v>
      </c>
      <c r="BJ154" s="676">
        <v>0</v>
      </c>
      <c r="BK154" s="676">
        <v>0</v>
      </c>
      <c r="BL154" s="676">
        <v>0</v>
      </c>
      <c r="BM154" s="676">
        <v>0</v>
      </c>
      <c r="BN154" s="676">
        <v>0</v>
      </c>
      <c r="BO154" s="674">
        <v>0</v>
      </c>
      <c r="BP154" s="676">
        <v>0</v>
      </c>
      <c r="BQ154" s="676">
        <v>0</v>
      </c>
      <c r="BR154" s="675"/>
      <c r="BS154" s="675">
        <v>17.817903888411195</v>
      </c>
      <c r="BT154" s="674">
        <v>260.43756568262154</v>
      </c>
    </row>
    <row r="155" spans="1:72">
      <c r="A155" s="681"/>
      <c r="B155" s="680" t="s">
        <v>968</v>
      </c>
      <c r="C155" s="679" t="s">
        <v>1004</v>
      </c>
      <c r="D155" s="679"/>
      <c r="E155" s="679"/>
      <c r="F155" s="678" t="s">
        <v>1003</v>
      </c>
      <c r="G155" s="678"/>
      <c r="H155" s="677">
        <v>395.26607432884299</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6.7593388745581349</v>
      </c>
      <c r="X155" s="676"/>
      <c r="Y155" s="676"/>
      <c r="Z155" s="676"/>
      <c r="AA155" s="676"/>
      <c r="AB155" s="676"/>
      <c r="AC155" s="676"/>
      <c r="AD155" s="676"/>
      <c r="AE155" s="676"/>
      <c r="AF155" s="676"/>
      <c r="AG155" s="676"/>
      <c r="AH155" s="676"/>
      <c r="AI155" s="676"/>
      <c r="AJ155" s="676"/>
      <c r="AK155" s="676"/>
      <c r="AL155" s="676">
        <v>1.0270373554982324</v>
      </c>
      <c r="AM155" s="676">
        <v>5.7323015190599023</v>
      </c>
      <c r="AN155" s="676"/>
      <c r="AO155" s="676"/>
      <c r="AP155" s="676"/>
      <c r="AQ155" s="676"/>
      <c r="AR155" s="676"/>
      <c r="AS155" s="676"/>
      <c r="AT155" s="674">
        <v>14.068023311359511</v>
      </c>
      <c r="AU155" s="676">
        <v>14.068023311359511</v>
      </c>
      <c r="AV155" s="676">
        <v>0</v>
      </c>
      <c r="AW155" s="676">
        <v>0</v>
      </c>
      <c r="AX155" s="676">
        <v>0</v>
      </c>
      <c r="AY155" s="676">
        <v>0</v>
      </c>
      <c r="AZ155" s="674">
        <v>60.547434795070217</v>
      </c>
      <c r="BA155" s="676"/>
      <c r="BB155" s="676"/>
      <c r="BC155" s="676"/>
      <c r="BD155" s="676">
        <v>0</v>
      </c>
      <c r="BE155" s="676"/>
      <c r="BF155" s="676">
        <v>58.49336008407375</v>
      </c>
      <c r="BG155" s="676">
        <v>0</v>
      </c>
      <c r="BH155" s="676">
        <v>2.0540747109964648</v>
      </c>
      <c r="BI155" s="676">
        <v>0</v>
      </c>
      <c r="BJ155" s="676">
        <v>0</v>
      </c>
      <c r="BK155" s="676">
        <v>0</v>
      </c>
      <c r="BL155" s="676">
        <v>0</v>
      </c>
      <c r="BM155" s="676">
        <v>0</v>
      </c>
      <c r="BN155" s="676">
        <v>0</v>
      </c>
      <c r="BO155" s="674">
        <v>0</v>
      </c>
      <c r="BP155" s="676">
        <v>0</v>
      </c>
      <c r="BQ155" s="676">
        <v>0</v>
      </c>
      <c r="BR155" s="675"/>
      <c r="BS155" s="675">
        <v>6.9265310021973816</v>
      </c>
      <c r="BT155" s="674">
        <v>306.96474634565777</v>
      </c>
    </row>
    <row r="156" spans="1:72">
      <c r="A156" s="681"/>
      <c r="B156" s="680" t="s">
        <v>968</v>
      </c>
      <c r="C156" s="679" t="s">
        <v>1002</v>
      </c>
      <c r="D156" s="679"/>
      <c r="E156" s="679"/>
      <c r="F156" s="678" t="s">
        <v>1001</v>
      </c>
      <c r="G156" s="678"/>
      <c r="H156" s="677">
        <v>141.80280882774434</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7.2131460781503769</v>
      </c>
      <c r="X156" s="676"/>
      <c r="Y156" s="676"/>
      <c r="Z156" s="676"/>
      <c r="AA156" s="676"/>
      <c r="AB156" s="676"/>
      <c r="AC156" s="676"/>
      <c r="AD156" s="676"/>
      <c r="AE156" s="676"/>
      <c r="AF156" s="676"/>
      <c r="AG156" s="676"/>
      <c r="AH156" s="676"/>
      <c r="AI156" s="676"/>
      <c r="AJ156" s="676"/>
      <c r="AK156" s="676"/>
      <c r="AL156" s="676">
        <v>7.2131460781503769</v>
      </c>
      <c r="AM156" s="676">
        <v>0</v>
      </c>
      <c r="AN156" s="676"/>
      <c r="AO156" s="676"/>
      <c r="AP156" s="676"/>
      <c r="AQ156" s="676"/>
      <c r="AR156" s="676"/>
      <c r="AS156" s="676"/>
      <c r="AT156" s="674">
        <v>2.4839973249259577</v>
      </c>
      <c r="AU156" s="676">
        <v>2.4839973249259577</v>
      </c>
      <c r="AV156" s="676">
        <v>0</v>
      </c>
      <c r="AW156" s="676">
        <v>0</v>
      </c>
      <c r="AX156" s="676">
        <v>0</v>
      </c>
      <c r="AY156" s="676">
        <v>0</v>
      </c>
      <c r="AZ156" s="674">
        <v>68.692079870067829</v>
      </c>
      <c r="BA156" s="676"/>
      <c r="BB156" s="676"/>
      <c r="BC156" s="676"/>
      <c r="BD156" s="676">
        <v>0</v>
      </c>
      <c r="BE156" s="676"/>
      <c r="BF156" s="676">
        <v>68.692079870067829</v>
      </c>
      <c r="BG156" s="676">
        <v>0</v>
      </c>
      <c r="BH156" s="676">
        <v>0</v>
      </c>
      <c r="BI156" s="676">
        <v>0</v>
      </c>
      <c r="BJ156" s="676">
        <v>0</v>
      </c>
      <c r="BK156" s="676">
        <v>0</v>
      </c>
      <c r="BL156" s="676">
        <v>0</v>
      </c>
      <c r="BM156" s="676">
        <v>0</v>
      </c>
      <c r="BN156" s="676">
        <v>0</v>
      </c>
      <c r="BO156" s="674">
        <v>0</v>
      </c>
      <c r="BP156" s="676">
        <v>0</v>
      </c>
      <c r="BQ156" s="676">
        <v>0</v>
      </c>
      <c r="BR156" s="675"/>
      <c r="BS156" s="675">
        <v>5.3740326741186584</v>
      </c>
      <c r="BT156" s="674">
        <v>58.039552880481509</v>
      </c>
    </row>
    <row r="157" spans="1:72">
      <c r="A157" s="681"/>
      <c r="B157" s="680" t="s">
        <v>968</v>
      </c>
      <c r="C157" s="679" t="s">
        <v>1000</v>
      </c>
      <c r="D157" s="679"/>
      <c r="E157" s="679"/>
      <c r="F157" s="678" t="s">
        <v>999</v>
      </c>
      <c r="G157" s="678"/>
      <c r="H157" s="677">
        <v>276.79850960160502</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161.96140250310498</v>
      </c>
      <c r="X157" s="676"/>
      <c r="Y157" s="676"/>
      <c r="Z157" s="676"/>
      <c r="AA157" s="676"/>
      <c r="AB157" s="676"/>
      <c r="AC157" s="676"/>
      <c r="AD157" s="676"/>
      <c r="AE157" s="676">
        <v>20.922900544568645</v>
      </c>
      <c r="AF157" s="676"/>
      <c r="AG157" s="676"/>
      <c r="AH157" s="676"/>
      <c r="AI157" s="676"/>
      <c r="AJ157" s="676"/>
      <c r="AK157" s="676"/>
      <c r="AL157" s="676">
        <v>141.03850195853636</v>
      </c>
      <c r="AM157" s="676">
        <v>0</v>
      </c>
      <c r="AN157" s="676"/>
      <c r="AO157" s="676"/>
      <c r="AP157" s="676"/>
      <c r="AQ157" s="676"/>
      <c r="AR157" s="676"/>
      <c r="AS157" s="676"/>
      <c r="AT157" s="674">
        <v>0.5493455622432406</v>
      </c>
      <c r="AU157" s="676">
        <v>0.5493455622432406</v>
      </c>
      <c r="AV157" s="676">
        <v>0</v>
      </c>
      <c r="AW157" s="676">
        <v>0</v>
      </c>
      <c r="AX157" s="676">
        <v>0</v>
      </c>
      <c r="AY157" s="676">
        <v>0</v>
      </c>
      <c r="AZ157" s="674">
        <v>4.4903028565969239</v>
      </c>
      <c r="BA157" s="676"/>
      <c r="BB157" s="676"/>
      <c r="BC157" s="676"/>
      <c r="BD157" s="676">
        <v>0</v>
      </c>
      <c r="BE157" s="676"/>
      <c r="BF157" s="676">
        <v>4.4903028565969239</v>
      </c>
      <c r="BG157" s="676">
        <v>0</v>
      </c>
      <c r="BH157" s="676">
        <v>0</v>
      </c>
      <c r="BI157" s="676">
        <v>0</v>
      </c>
      <c r="BJ157" s="676">
        <v>0</v>
      </c>
      <c r="BK157" s="676">
        <v>0</v>
      </c>
      <c r="BL157" s="676">
        <v>0</v>
      </c>
      <c r="BM157" s="676">
        <v>0</v>
      </c>
      <c r="BN157" s="676">
        <v>0</v>
      </c>
      <c r="BO157" s="674">
        <v>0</v>
      </c>
      <c r="BP157" s="676">
        <v>0</v>
      </c>
      <c r="BQ157" s="676">
        <v>0</v>
      </c>
      <c r="BR157" s="675"/>
      <c r="BS157" s="675">
        <v>0</v>
      </c>
      <c r="BT157" s="674">
        <v>109.79745867965988</v>
      </c>
    </row>
    <row r="158" spans="1:72">
      <c r="A158" s="681"/>
      <c r="B158" s="680" t="s">
        <v>968</v>
      </c>
      <c r="C158" s="679" t="s">
        <v>998</v>
      </c>
      <c r="D158" s="679"/>
      <c r="E158" s="679"/>
      <c r="F158" s="678" t="s">
        <v>997</v>
      </c>
      <c r="G158" s="678"/>
      <c r="H158" s="677">
        <v>10.986911244864812</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2.1257284799847138</v>
      </c>
      <c r="X158" s="676"/>
      <c r="Y158" s="676"/>
      <c r="Z158" s="676"/>
      <c r="AA158" s="676"/>
      <c r="AB158" s="676"/>
      <c r="AC158" s="676"/>
      <c r="AD158" s="676"/>
      <c r="AE158" s="676">
        <v>1.0986911244864812</v>
      </c>
      <c r="AF158" s="676"/>
      <c r="AG158" s="676"/>
      <c r="AH158" s="676"/>
      <c r="AI158" s="676"/>
      <c r="AJ158" s="676"/>
      <c r="AK158" s="676"/>
      <c r="AL158" s="676">
        <v>1.0270373554982324</v>
      </c>
      <c r="AM158" s="676">
        <v>0</v>
      </c>
      <c r="AN158" s="676"/>
      <c r="AO158" s="676"/>
      <c r="AP158" s="676"/>
      <c r="AQ158" s="676"/>
      <c r="AR158" s="676"/>
      <c r="AS158" s="676"/>
      <c r="AT158" s="674">
        <v>0.5493455622432406</v>
      </c>
      <c r="AU158" s="676">
        <v>0.5493455622432406</v>
      </c>
      <c r="AV158" s="676">
        <v>0</v>
      </c>
      <c r="AW158" s="676">
        <v>0</v>
      </c>
      <c r="AX158" s="676">
        <v>0</v>
      </c>
      <c r="AY158" s="676">
        <v>0</v>
      </c>
      <c r="AZ158" s="674">
        <v>2.3884589662749593E-2</v>
      </c>
      <c r="BA158" s="676"/>
      <c r="BB158" s="676"/>
      <c r="BC158" s="676"/>
      <c r="BD158" s="676">
        <v>0</v>
      </c>
      <c r="BE158" s="676"/>
      <c r="BF158" s="676">
        <v>2.3884589662749593E-2</v>
      </c>
      <c r="BG158" s="676">
        <v>0</v>
      </c>
      <c r="BH158" s="676">
        <v>0</v>
      </c>
      <c r="BI158" s="676">
        <v>0</v>
      </c>
      <c r="BJ158" s="676">
        <v>0</v>
      </c>
      <c r="BK158" s="676">
        <v>0</v>
      </c>
      <c r="BL158" s="676">
        <v>0</v>
      </c>
      <c r="BM158" s="676">
        <v>0</v>
      </c>
      <c r="BN158" s="676">
        <v>0</v>
      </c>
      <c r="BO158" s="674">
        <v>0</v>
      </c>
      <c r="BP158" s="676">
        <v>0</v>
      </c>
      <c r="BQ158" s="676">
        <v>0</v>
      </c>
      <c r="BR158" s="675"/>
      <c r="BS158" s="675">
        <v>2.3884589662749593E-2</v>
      </c>
      <c r="BT158" s="674">
        <v>8.2640680233113599</v>
      </c>
    </row>
    <row r="159" spans="1:72">
      <c r="A159" s="681"/>
      <c r="B159" s="680" t="s">
        <v>968</v>
      </c>
      <c r="C159" s="679" t="s">
        <v>996</v>
      </c>
      <c r="D159" s="679"/>
      <c r="E159" s="679"/>
      <c r="F159" s="678" t="s">
        <v>995</v>
      </c>
      <c r="G159" s="678"/>
      <c r="H159" s="677">
        <v>54.194133944778827</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13.51867774911627</v>
      </c>
      <c r="X159" s="676"/>
      <c r="Y159" s="676"/>
      <c r="Z159" s="676"/>
      <c r="AA159" s="676"/>
      <c r="AB159" s="676"/>
      <c r="AC159" s="676"/>
      <c r="AD159" s="676"/>
      <c r="AE159" s="676">
        <v>2.1973822489729624</v>
      </c>
      <c r="AF159" s="676"/>
      <c r="AG159" s="676"/>
      <c r="AH159" s="676"/>
      <c r="AI159" s="676"/>
      <c r="AJ159" s="676"/>
      <c r="AK159" s="676"/>
      <c r="AL159" s="676">
        <v>11.321295500143307</v>
      </c>
      <c r="AM159" s="676">
        <v>0</v>
      </c>
      <c r="AN159" s="676"/>
      <c r="AO159" s="676"/>
      <c r="AP159" s="676"/>
      <c r="AQ159" s="676"/>
      <c r="AR159" s="676"/>
      <c r="AS159" s="676"/>
      <c r="AT159" s="674">
        <v>2.698958631890704</v>
      </c>
      <c r="AU159" s="676">
        <v>2.698958631890704</v>
      </c>
      <c r="AV159" s="676">
        <v>0</v>
      </c>
      <c r="AW159" s="676">
        <v>0</v>
      </c>
      <c r="AX159" s="676">
        <v>0</v>
      </c>
      <c r="AY159" s="676">
        <v>0</v>
      </c>
      <c r="AZ159" s="674">
        <v>2.3884589662749591</v>
      </c>
      <c r="BA159" s="676"/>
      <c r="BB159" s="676"/>
      <c r="BC159" s="676"/>
      <c r="BD159" s="676">
        <v>0</v>
      </c>
      <c r="BE159" s="676"/>
      <c r="BF159" s="676">
        <v>2.3884589662749591</v>
      </c>
      <c r="BG159" s="676">
        <v>0</v>
      </c>
      <c r="BH159" s="676">
        <v>0</v>
      </c>
      <c r="BI159" s="676">
        <v>0</v>
      </c>
      <c r="BJ159" s="676">
        <v>0</v>
      </c>
      <c r="BK159" s="676">
        <v>0</v>
      </c>
      <c r="BL159" s="676">
        <v>0</v>
      </c>
      <c r="BM159" s="676">
        <v>0</v>
      </c>
      <c r="BN159" s="676">
        <v>0</v>
      </c>
      <c r="BO159" s="674">
        <v>0</v>
      </c>
      <c r="BP159" s="676">
        <v>0</v>
      </c>
      <c r="BQ159" s="676">
        <v>0</v>
      </c>
      <c r="BR159" s="675"/>
      <c r="BS159" s="675">
        <v>0.31049966561574471</v>
      </c>
      <c r="BT159" s="674">
        <v>35.253654342218397</v>
      </c>
    </row>
    <row r="160" spans="1:72">
      <c r="A160" s="680" t="s">
        <v>968</v>
      </c>
      <c r="B160" s="679" t="s">
        <v>994</v>
      </c>
      <c r="C160" s="679"/>
      <c r="D160" s="679"/>
      <c r="E160" s="679"/>
      <c r="F160" s="678" t="s">
        <v>993</v>
      </c>
      <c r="G160" s="678"/>
      <c r="H160" s="677">
        <v>5361.5888029043663</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5048.6767937326831</v>
      </c>
      <c r="X160" s="676"/>
      <c r="Y160" s="676"/>
      <c r="Z160" s="676"/>
      <c r="AA160" s="676"/>
      <c r="AB160" s="676"/>
      <c r="AC160" s="676"/>
      <c r="AD160" s="676"/>
      <c r="AE160" s="676">
        <v>2.1973822489729624</v>
      </c>
      <c r="AF160" s="676">
        <v>926.91315563198623</v>
      </c>
      <c r="AG160" s="676">
        <v>2.1018438903219643</v>
      </c>
      <c r="AH160" s="676"/>
      <c r="AI160" s="676">
        <v>914.13490016241519</v>
      </c>
      <c r="AJ160" s="676"/>
      <c r="AK160" s="676"/>
      <c r="AL160" s="676">
        <v>3173.7126206171774</v>
      </c>
      <c r="AM160" s="676">
        <v>29.616891181809496</v>
      </c>
      <c r="AN160" s="676"/>
      <c r="AO160" s="676"/>
      <c r="AP160" s="676"/>
      <c r="AQ160" s="676"/>
      <c r="AR160" s="676"/>
      <c r="AS160" s="676"/>
      <c r="AT160" s="674">
        <v>120.85602369351294</v>
      </c>
      <c r="AU160" s="676">
        <v>120.85602369351294</v>
      </c>
      <c r="AV160" s="676">
        <v>0</v>
      </c>
      <c r="AW160" s="676">
        <v>0</v>
      </c>
      <c r="AX160" s="676">
        <v>0</v>
      </c>
      <c r="AY160" s="676">
        <v>0</v>
      </c>
      <c r="AZ160" s="674">
        <v>126.54055603324734</v>
      </c>
      <c r="BA160" s="676"/>
      <c r="BB160" s="676"/>
      <c r="BC160" s="676"/>
      <c r="BD160" s="676">
        <v>0</v>
      </c>
      <c r="BE160" s="676"/>
      <c r="BF160" s="676">
        <v>0</v>
      </c>
      <c r="BG160" s="676">
        <v>0</v>
      </c>
      <c r="BH160" s="676">
        <v>2.1973822489729624</v>
      </c>
      <c r="BI160" s="676">
        <v>0</v>
      </c>
      <c r="BJ160" s="676">
        <v>6.401070029616891</v>
      </c>
      <c r="BK160" s="676">
        <v>114.26387694659405</v>
      </c>
      <c r="BL160" s="676">
        <v>0</v>
      </c>
      <c r="BM160" s="676">
        <v>3.6782268080634375</v>
      </c>
      <c r="BN160" s="676">
        <v>0</v>
      </c>
      <c r="BO160" s="674">
        <v>0</v>
      </c>
      <c r="BP160" s="676">
        <v>0</v>
      </c>
      <c r="BQ160" s="676">
        <v>0</v>
      </c>
      <c r="BR160" s="675"/>
      <c r="BS160" s="675"/>
      <c r="BT160" s="674">
        <v>65.515429444922134</v>
      </c>
    </row>
    <row r="161" spans="1:72">
      <c r="A161" s="681"/>
      <c r="B161" s="680" t="s">
        <v>968</v>
      </c>
      <c r="C161" s="679" t="s">
        <v>992</v>
      </c>
      <c r="D161" s="679"/>
      <c r="E161" s="679"/>
      <c r="F161" s="678" t="s">
        <v>991</v>
      </c>
      <c r="G161" s="678"/>
      <c r="H161" s="677">
        <v>73.325690264641253</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13.375370211139773</v>
      </c>
      <c r="X161" s="676"/>
      <c r="Y161" s="676"/>
      <c r="Z161" s="676"/>
      <c r="AA161" s="676"/>
      <c r="AB161" s="676"/>
      <c r="AC161" s="676"/>
      <c r="AD161" s="676"/>
      <c r="AE161" s="676"/>
      <c r="AF161" s="676"/>
      <c r="AG161" s="676"/>
      <c r="AH161" s="676"/>
      <c r="AI161" s="676"/>
      <c r="AJ161" s="676"/>
      <c r="AK161" s="676"/>
      <c r="AL161" s="676">
        <v>13.375370211139773</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59.926435463838729</v>
      </c>
    </row>
    <row r="162" spans="1:72">
      <c r="A162" s="681"/>
      <c r="B162" s="680" t="s">
        <v>968</v>
      </c>
      <c r="C162" s="679" t="s">
        <v>990</v>
      </c>
      <c r="D162" s="679"/>
      <c r="E162" s="679"/>
      <c r="F162" s="678" t="s">
        <v>989</v>
      </c>
      <c r="G162" s="678"/>
      <c r="H162" s="677">
        <v>3639.4382344511318</v>
      </c>
      <c r="I162" s="674"/>
      <c r="J162" s="676"/>
      <c r="K162" s="676"/>
      <c r="L162" s="676"/>
      <c r="M162" s="676"/>
      <c r="N162" s="676"/>
      <c r="O162" s="676"/>
      <c r="P162" s="676"/>
      <c r="Q162" s="676"/>
      <c r="R162" s="676"/>
      <c r="S162" s="676"/>
      <c r="T162" s="676"/>
      <c r="U162" s="676"/>
      <c r="V162" s="676"/>
      <c r="W162" s="674">
        <v>3491.6403936180373</v>
      </c>
      <c r="X162" s="676"/>
      <c r="Y162" s="676"/>
      <c r="Z162" s="676"/>
      <c r="AA162" s="676"/>
      <c r="AB162" s="676"/>
      <c r="AC162" s="676"/>
      <c r="AD162" s="676"/>
      <c r="AE162" s="676">
        <v>2.1973822489729624</v>
      </c>
      <c r="AF162" s="676">
        <v>886.02273812935891</v>
      </c>
      <c r="AG162" s="676"/>
      <c r="AH162" s="676"/>
      <c r="AI162" s="676"/>
      <c r="AJ162" s="676"/>
      <c r="AK162" s="676"/>
      <c r="AL162" s="676">
        <v>2603.4202732397057</v>
      </c>
      <c r="AM162" s="676">
        <v>0</v>
      </c>
      <c r="AN162" s="676"/>
      <c r="AO162" s="676"/>
      <c r="AP162" s="676"/>
      <c r="AQ162" s="676"/>
      <c r="AR162" s="676"/>
      <c r="AS162" s="676"/>
      <c r="AT162" s="674">
        <v>15.668290818763733</v>
      </c>
      <c r="AU162" s="676">
        <v>15.668290818763733</v>
      </c>
      <c r="AV162" s="676"/>
      <c r="AW162" s="676"/>
      <c r="AX162" s="676"/>
      <c r="AY162" s="676"/>
      <c r="AZ162" s="674">
        <v>126.54055603324734</v>
      </c>
      <c r="BA162" s="676"/>
      <c r="BB162" s="676"/>
      <c r="BC162" s="676"/>
      <c r="BD162" s="676">
        <v>0</v>
      </c>
      <c r="BE162" s="676"/>
      <c r="BF162" s="676">
        <v>0</v>
      </c>
      <c r="BG162" s="676">
        <v>0</v>
      </c>
      <c r="BH162" s="676">
        <v>2.1973822489729624</v>
      </c>
      <c r="BI162" s="676">
        <v>0</v>
      </c>
      <c r="BJ162" s="676">
        <v>6.401070029616891</v>
      </c>
      <c r="BK162" s="676">
        <v>114.26387694659405</v>
      </c>
      <c r="BL162" s="676">
        <v>0</v>
      </c>
      <c r="BM162" s="676">
        <v>3.6782268080634375</v>
      </c>
      <c r="BN162" s="676">
        <v>0</v>
      </c>
      <c r="BO162" s="674">
        <v>0</v>
      </c>
      <c r="BP162" s="676">
        <v>0</v>
      </c>
      <c r="BQ162" s="676">
        <v>0</v>
      </c>
      <c r="BR162" s="675"/>
      <c r="BS162" s="675"/>
      <c r="BT162" s="674">
        <v>5.5889939810834051</v>
      </c>
    </row>
    <row r="163" spans="1:72">
      <c r="A163" s="681"/>
      <c r="B163" s="680" t="s">
        <v>968</v>
      </c>
      <c r="C163" s="679" t="s">
        <v>988</v>
      </c>
      <c r="D163" s="679"/>
      <c r="E163" s="679"/>
      <c r="F163" s="678" t="s">
        <v>987</v>
      </c>
      <c r="G163" s="678"/>
      <c r="H163" s="677">
        <v>505.44568644310687</v>
      </c>
      <c r="I163" s="674"/>
      <c r="J163" s="676"/>
      <c r="K163" s="676"/>
      <c r="L163" s="676"/>
      <c r="M163" s="676"/>
      <c r="N163" s="676"/>
      <c r="O163" s="676"/>
      <c r="P163" s="676"/>
      <c r="Q163" s="676"/>
      <c r="R163" s="676"/>
      <c r="S163" s="676"/>
      <c r="T163" s="676"/>
      <c r="U163" s="676"/>
      <c r="V163" s="676"/>
      <c r="W163" s="674">
        <v>505.44568644310687</v>
      </c>
      <c r="X163" s="676"/>
      <c r="Y163" s="676"/>
      <c r="Z163" s="676"/>
      <c r="AA163" s="676"/>
      <c r="AB163" s="676"/>
      <c r="AC163" s="676"/>
      <c r="AD163" s="676"/>
      <c r="AE163" s="676"/>
      <c r="AF163" s="676"/>
      <c r="AG163" s="676"/>
      <c r="AH163" s="676"/>
      <c r="AI163" s="676">
        <v>505.44568644310687</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c r="A164" s="681"/>
      <c r="B164" s="680" t="s">
        <v>968</v>
      </c>
      <c r="C164" s="679" t="s">
        <v>986</v>
      </c>
      <c r="D164" s="679"/>
      <c r="E164" s="679"/>
      <c r="F164" s="678" t="s">
        <v>985</v>
      </c>
      <c r="G164" s="678"/>
      <c r="H164" s="677">
        <v>440.38406420177699</v>
      </c>
      <c r="I164" s="674"/>
      <c r="J164" s="676"/>
      <c r="K164" s="676"/>
      <c r="L164" s="676"/>
      <c r="M164" s="676"/>
      <c r="N164" s="676"/>
      <c r="O164" s="676"/>
      <c r="P164" s="676"/>
      <c r="Q164" s="676"/>
      <c r="R164" s="676"/>
      <c r="S164" s="676"/>
      <c r="T164" s="676"/>
      <c r="U164" s="676"/>
      <c r="V164" s="676"/>
      <c r="W164" s="674">
        <v>440.38406420177699</v>
      </c>
      <c r="X164" s="676"/>
      <c r="Y164" s="676"/>
      <c r="Z164" s="676"/>
      <c r="AA164" s="676"/>
      <c r="AB164" s="676"/>
      <c r="AC164" s="676"/>
      <c r="AD164" s="676"/>
      <c r="AE164" s="676"/>
      <c r="AF164" s="676"/>
      <c r="AG164" s="676">
        <v>2.1018438903219643</v>
      </c>
      <c r="AH164" s="676"/>
      <c r="AI164" s="676">
        <v>408.68921371930827</v>
      </c>
      <c r="AJ164" s="676"/>
      <c r="AK164" s="676"/>
      <c r="AL164" s="676"/>
      <c r="AM164" s="676">
        <v>29.616891181809496</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c r="A165" s="681"/>
      <c r="B165" s="680" t="s">
        <v>968</v>
      </c>
      <c r="C165" s="679" t="s">
        <v>984</v>
      </c>
      <c r="D165" s="679"/>
      <c r="E165" s="679"/>
      <c r="F165" s="678" t="s">
        <v>983</v>
      </c>
      <c r="G165" s="678"/>
      <c r="H165" s="677">
        <v>597.80739466895955</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597.80739466895955</v>
      </c>
      <c r="X165" s="676"/>
      <c r="Y165" s="676"/>
      <c r="Z165" s="676"/>
      <c r="AA165" s="676"/>
      <c r="AB165" s="676"/>
      <c r="AC165" s="676"/>
      <c r="AD165" s="676"/>
      <c r="AE165" s="676"/>
      <c r="AF165" s="676">
        <v>40.890417502627301</v>
      </c>
      <c r="AG165" s="676"/>
      <c r="AH165" s="676"/>
      <c r="AI165" s="676"/>
      <c r="AJ165" s="676"/>
      <c r="AK165" s="676"/>
      <c r="AL165" s="676">
        <v>556.91697716633223</v>
      </c>
      <c r="AM165" s="676">
        <v>0</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c r="A167" s="681"/>
      <c r="B167" s="680" t="s">
        <v>968</v>
      </c>
      <c r="C167" s="679" t="s">
        <v>980</v>
      </c>
      <c r="D167" s="679"/>
      <c r="E167" s="679"/>
      <c r="F167" s="678" t="s">
        <v>979</v>
      </c>
      <c r="G167" s="678"/>
      <c r="H167" s="677">
        <v>105.1877328747492</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105.1877328747492</v>
      </c>
      <c r="AU167" s="676">
        <v>105.1877328747492</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c r="A168" s="680" t="s">
        <v>968</v>
      </c>
      <c r="B168" s="679" t="s">
        <v>978</v>
      </c>
      <c r="C168" s="679"/>
      <c r="D168" s="679"/>
      <c r="E168" s="679"/>
      <c r="F168" s="678" t="s">
        <v>977</v>
      </c>
      <c r="G168" s="678"/>
      <c r="H168" s="677">
        <v>7113.3562625394088</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857.76726855832612</v>
      </c>
      <c r="X168" s="676"/>
      <c r="Y168" s="676"/>
      <c r="Z168" s="676"/>
      <c r="AA168" s="676"/>
      <c r="AB168" s="676"/>
      <c r="AC168" s="676"/>
      <c r="AD168" s="676"/>
      <c r="AE168" s="676">
        <v>17.626827171109198</v>
      </c>
      <c r="AF168" s="676">
        <v>23.072513614216106</v>
      </c>
      <c r="AG168" s="676"/>
      <c r="AH168" s="676"/>
      <c r="AI168" s="676">
        <v>32.936849144931685</v>
      </c>
      <c r="AJ168" s="676">
        <v>32.936849144931685</v>
      </c>
      <c r="AK168" s="676"/>
      <c r="AL168" s="676">
        <v>736.02751504729144</v>
      </c>
      <c r="AM168" s="676">
        <v>14.330753797649756</v>
      </c>
      <c r="AN168" s="676"/>
      <c r="AO168" s="676"/>
      <c r="AP168" s="676"/>
      <c r="AQ168" s="676">
        <v>0.83596063819623578</v>
      </c>
      <c r="AR168" s="676"/>
      <c r="AS168" s="676"/>
      <c r="AT168" s="674">
        <v>46.742141970000951</v>
      </c>
      <c r="AU168" s="676">
        <v>46.742141970000951</v>
      </c>
      <c r="AV168" s="676">
        <v>0</v>
      </c>
      <c r="AW168" s="676">
        <v>0</v>
      </c>
      <c r="AX168" s="676">
        <v>0</v>
      </c>
      <c r="AY168" s="676">
        <v>0</v>
      </c>
      <c r="AZ168" s="674">
        <v>499.35511607910576</v>
      </c>
      <c r="BA168" s="676"/>
      <c r="BB168" s="676"/>
      <c r="BC168" s="676"/>
      <c r="BD168" s="676">
        <v>0</v>
      </c>
      <c r="BE168" s="676"/>
      <c r="BF168" s="676">
        <v>492.97793063915162</v>
      </c>
      <c r="BG168" s="676">
        <v>0</v>
      </c>
      <c r="BH168" s="676">
        <v>6.3771854399541414</v>
      </c>
      <c r="BI168" s="676">
        <v>0</v>
      </c>
      <c r="BJ168" s="676">
        <v>0</v>
      </c>
      <c r="BK168" s="676">
        <v>0</v>
      </c>
      <c r="BL168" s="676">
        <v>0</v>
      </c>
      <c r="BM168" s="676">
        <v>0</v>
      </c>
      <c r="BN168" s="676">
        <v>0</v>
      </c>
      <c r="BO168" s="674">
        <v>0</v>
      </c>
      <c r="BP168" s="676">
        <v>0</v>
      </c>
      <c r="BQ168" s="676">
        <v>0</v>
      </c>
      <c r="BR168" s="675"/>
      <c r="BS168" s="675">
        <v>351.5333906563485</v>
      </c>
      <c r="BT168" s="674">
        <v>5357.9583452756278</v>
      </c>
    </row>
    <row r="169" spans="1:72">
      <c r="A169" s="681"/>
      <c r="B169" s="680" t="s">
        <v>968</v>
      </c>
      <c r="C169" s="679" t="s">
        <v>976</v>
      </c>
      <c r="D169" s="679"/>
      <c r="E169" s="679"/>
      <c r="F169" s="678" t="s">
        <v>975</v>
      </c>
      <c r="G169" s="678"/>
      <c r="H169" s="677">
        <v>2487.9382822203115</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168.98347186395335</v>
      </c>
      <c r="X169" s="676"/>
      <c r="Y169" s="676"/>
      <c r="Z169" s="676"/>
      <c r="AA169" s="676"/>
      <c r="AB169" s="676"/>
      <c r="AC169" s="676"/>
      <c r="AD169" s="676"/>
      <c r="AE169" s="676">
        <v>8.8134135855545992</v>
      </c>
      <c r="AF169" s="676"/>
      <c r="AG169" s="676"/>
      <c r="AH169" s="676"/>
      <c r="AI169" s="676"/>
      <c r="AJ169" s="676">
        <v>3.0811120664946974</v>
      </c>
      <c r="AK169" s="676"/>
      <c r="AL169" s="676">
        <v>153.38683481417789</v>
      </c>
      <c r="AM169" s="676">
        <v>2.8661507595299511</v>
      </c>
      <c r="AN169" s="676"/>
      <c r="AO169" s="676"/>
      <c r="AP169" s="676"/>
      <c r="AQ169" s="676">
        <v>0.83596063819623578</v>
      </c>
      <c r="AR169" s="676"/>
      <c r="AS169" s="676"/>
      <c r="AT169" s="674">
        <v>18.462787809305436</v>
      </c>
      <c r="AU169" s="676">
        <v>18.462787809305436</v>
      </c>
      <c r="AV169" s="676">
        <v>0</v>
      </c>
      <c r="AW169" s="676">
        <v>0</v>
      </c>
      <c r="AX169" s="676">
        <v>0</v>
      </c>
      <c r="AY169" s="676">
        <v>0</v>
      </c>
      <c r="AZ169" s="674">
        <v>41.606955192509794</v>
      </c>
      <c r="BA169" s="676"/>
      <c r="BB169" s="676"/>
      <c r="BC169" s="676"/>
      <c r="BD169" s="676">
        <v>0</v>
      </c>
      <c r="BE169" s="676"/>
      <c r="BF169" s="676">
        <v>35.229769752555647</v>
      </c>
      <c r="BG169" s="676">
        <v>0</v>
      </c>
      <c r="BH169" s="676">
        <v>6.3771854399541414</v>
      </c>
      <c r="BI169" s="676">
        <v>0</v>
      </c>
      <c r="BJ169" s="676">
        <v>0</v>
      </c>
      <c r="BK169" s="676">
        <v>0</v>
      </c>
      <c r="BL169" s="676">
        <v>0</v>
      </c>
      <c r="BM169" s="676">
        <v>0</v>
      </c>
      <c r="BN169" s="676">
        <v>0</v>
      </c>
      <c r="BO169" s="674">
        <v>0</v>
      </c>
      <c r="BP169" s="676">
        <v>0</v>
      </c>
      <c r="BQ169" s="676">
        <v>0</v>
      </c>
      <c r="BR169" s="675"/>
      <c r="BS169" s="675">
        <v>265.23836820483422</v>
      </c>
      <c r="BT169" s="674">
        <v>1993.6466991497084</v>
      </c>
    </row>
    <row r="170" spans="1:72">
      <c r="A170" s="681"/>
      <c r="B170" s="680" t="s">
        <v>968</v>
      </c>
      <c r="C170" s="679" t="s">
        <v>974</v>
      </c>
      <c r="D170" s="679"/>
      <c r="E170" s="679"/>
      <c r="F170" s="678" t="s">
        <v>973</v>
      </c>
      <c r="G170" s="678"/>
      <c r="H170" s="677">
        <v>3835.8412152479218</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100.74519919747779</v>
      </c>
      <c r="X170" s="676"/>
      <c r="Y170" s="676"/>
      <c r="Z170" s="676"/>
      <c r="AA170" s="676"/>
      <c r="AB170" s="676"/>
      <c r="AC170" s="676"/>
      <c r="AD170" s="676"/>
      <c r="AE170" s="676">
        <v>8.8134135855545992</v>
      </c>
      <c r="AF170" s="676">
        <v>16.766981943250215</v>
      </c>
      <c r="AG170" s="676"/>
      <c r="AH170" s="676"/>
      <c r="AI170" s="676"/>
      <c r="AJ170" s="676">
        <v>28.828699722938758</v>
      </c>
      <c r="AK170" s="676"/>
      <c r="AL170" s="676">
        <v>46.336103945734209</v>
      </c>
      <c r="AM170" s="676">
        <v>0</v>
      </c>
      <c r="AN170" s="676"/>
      <c r="AO170" s="676"/>
      <c r="AP170" s="676"/>
      <c r="AQ170" s="676"/>
      <c r="AR170" s="676"/>
      <c r="AS170" s="676"/>
      <c r="AT170" s="674">
        <v>3.7976497563771852</v>
      </c>
      <c r="AU170" s="676">
        <v>3.7976497563771852</v>
      </c>
      <c r="AV170" s="676">
        <v>0</v>
      </c>
      <c r="AW170" s="676">
        <v>0</v>
      </c>
      <c r="AX170" s="676">
        <v>0</v>
      </c>
      <c r="AY170" s="676">
        <v>0</v>
      </c>
      <c r="AZ170" s="674">
        <v>453.257858029999</v>
      </c>
      <c r="BA170" s="676"/>
      <c r="BB170" s="676"/>
      <c r="BC170" s="676"/>
      <c r="BD170" s="676">
        <v>0</v>
      </c>
      <c r="BE170" s="676"/>
      <c r="BF170" s="676">
        <v>453.257858029999</v>
      </c>
      <c r="BG170" s="676">
        <v>0</v>
      </c>
      <c r="BH170" s="676">
        <v>0</v>
      </c>
      <c r="BI170" s="676">
        <v>0</v>
      </c>
      <c r="BJ170" s="676">
        <v>0</v>
      </c>
      <c r="BK170" s="676">
        <v>0</v>
      </c>
      <c r="BL170" s="676">
        <v>0</v>
      </c>
      <c r="BM170" s="676">
        <v>0</v>
      </c>
      <c r="BN170" s="676">
        <v>0</v>
      </c>
      <c r="BO170" s="674">
        <v>0</v>
      </c>
      <c r="BP170" s="676">
        <v>0</v>
      </c>
      <c r="BQ170" s="676">
        <v>0</v>
      </c>
      <c r="BR170" s="675"/>
      <c r="BS170" s="675">
        <v>85.960638196235777</v>
      </c>
      <c r="BT170" s="674">
        <v>3192.079870067832</v>
      </c>
    </row>
    <row r="171" spans="1:72">
      <c r="A171" s="681"/>
      <c r="B171" s="680" t="s">
        <v>968</v>
      </c>
      <c r="C171" s="679" t="s">
        <v>972</v>
      </c>
      <c r="D171" s="679"/>
      <c r="E171" s="679"/>
      <c r="F171" s="678" t="s">
        <v>971</v>
      </c>
      <c r="G171" s="678"/>
      <c r="H171" s="677">
        <v>307.25136142161074</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134.85239323588419</v>
      </c>
      <c r="X171" s="676"/>
      <c r="Y171" s="676"/>
      <c r="Z171" s="676"/>
      <c r="AA171" s="676"/>
      <c r="AB171" s="676"/>
      <c r="AC171" s="676"/>
      <c r="AD171" s="676"/>
      <c r="AE171" s="676"/>
      <c r="AF171" s="676"/>
      <c r="AG171" s="676"/>
      <c r="AH171" s="676"/>
      <c r="AI171" s="676"/>
      <c r="AJ171" s="676"/>
      <c r="AK171" s="676"/>
      <c r="AL171" s="676">
        <v>134.85239323588419</v>
      </c>
      <c r="AM171" s="676">
        <v>0</v>
      </c>
      <c r="AN171" s="676"/>
      <c r="AO171" s="676"/>
      <c r="AP171" s="676"/>
      <c r="AQ171" s="676"/>
      <c r="AR171" s="676"/>
      <c r="AS171" s="676"/>
      <c r="AT171" s="674">
        <v>12.634947931594535</v>
      </c>
      <c r="AU171" s="676">
        <v>12.634947931594535</v>
      </c>
      <c r="AV171" s="676">
        <v>0</v>
      </c>
      <c r="AW171" s="676">
        <v>0</v>
      </c>
      <c r="AX171" s="676">
        <v>0</v>
      </c>
      <c r="AY171" s="676">
        <v>0</v>
      </c>
      <c r="AZ171" s="674">
        <v>4.4903028565969239</v>
      </c>
      <c r="BA171" s="676"/>
      <c r="BB171" s="676"/>
      <c r="BC171" s="676"/>
      <c r="BD171" s="676">
        <v>0</v>
      </c>
      <c r="BE171" s="676"/>
      <c r="BF171" s="676">
        <v>4.4903028565969239</v>
      </c>
      <c r="BG171" s="676">
        <v>0</v>
      </c>
      <c r="BH171" s="676">
        <v>0</v>
      </c>
      <c r="BI171" s="676">
        <v>0</v>
      </c>
      <c r="BJ171" s="676">
        <v>0</v>
      </c>
      <c r="BK171" s="676">
        <v>0</v>
      </c>
      <c r="BL171" s="676">
        <v>0</v>
      </c>
      <c r="BM171" s="676">
        <v>0</v>
      </c>
      <c r="BN171" s="676">
        <v>0</v>
      </c>
      <c r="BO171" s="674">
        <v>0</v>
      </c>
      <c r="BP171" s="676">
        <v>0</v>
      </c>
      <c r="BQ171" s="676">
        <v>0</v>
      </c>
      <c r="BR171" s="675"/>
      <c r="BS171" s="675">
        <v>0.3343842552784943</v>
      </c>
      <c r="BT171" s="674">
        <v>154.9393331422566</v>
      </c>
    </row>
    <row r="172" spans="1:72">
      <c r="A172" s="681"/>
      <c r="B172" s="680" t="s">
        <v>968</v>
      </c>
      <c r="C172" s="679" t="s">
        <v>970</v>
      </c>
      <c r="D172" s="679"/>
      <c r="E172" s="679"/>
      <c r="F172" s="678" t="s">
        <v>969</v>
      </c>
      <c r="G172" s="678"/>
      <c r="H172" s="677">
        <v>394.31069074233301</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377.01824782650232</v>
      </c>
      <c r="X172" s="676"/>
      <c r="Y172" s="676"/>
      <c r="Z172" s="676"/>
      <c r="AA172" s="676"/>
      <c r="AB172" s="676"/>
      <c r="AC172" s="676"/>
      <c r="AD172" s="676"/>
      <c r="AE172" s="676"/>
      <c r="AF172" s="676">
        <v>6.2816470813031433</v>
      </c>
      <c r="AG172" s="676"/>
      <c r="AH172" s="676"/>
      <c r="AI172" s="676"/>
      <c r="AJ172" s="676">
        <v>1.0270373554982324</v>
      </c>
      <c r="AK172" s="676"/>
      <c r="AL172" s="676">
        <v>358.24496035158114</v>
      </c>
      <c r="AM172" s="676">
        <v>11.464603038119805</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c r="A173" s="673"/>
      <c r="B173" s="672" t="s">
        <v>968</v>
      </c>
      <c r="C173" s="671" t="s">
        <v>967</v>
      </c>
      <c r="D173" s="671"/>
      <c r="E173" s="671"/>
      <c r="F173" s="670" t="s">
        <v>966</v>
      </c>
      <c r="G173" s="670"/>
      <c r="H173" s="669">
        <v>87.990828317569495</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76.167956434508454</v>
      </c>
      <c r="X173" s="668"/>
      <c r="Y173" s="668"/>
      <c r="Z173" s="668"/>
      <c r="AA173" s="668"/>
      <c r="AB173" s="668"/>
      <c r="AC173" s="668"/>
      <c r="AD173" s="668"/>
      <c r="AE173" s="668"/>
      <c r="AF173" s="668"/>
      <c r="AG173" s="668"/>
      <c r="AH173" s="668"/>
      <c r="AI173" s="668">
        <v>32.936849144931685</v>
      </c>
      <c r="AJ173" s="668"/>
      <c r="AK173" s="668"/>
      <c r="AL173" s="668">
        <v>43.231107289576762</v>
      </c>
      <c r="AM173" s="668">
        <v>0</v>
      </c>
      <c r="AN173" s="668"/>
      <c r="AO173" s="668"/>
      <c r="AP173" s="668"/>
      <c r="AQ173" s="668"/>
      <c r="AR173" s="668"/>
      <c r="AS173" s="668"/>
      <c r="AT173" s="666">
        <v>11.822871883061049</v>
      </c>
      <c r="AU173" s="668">
        <v>11.822871883061049</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2547.0287570459536</v>
      </c>
      <c r="I174" s="660">
        <v>68.907041177032582</v>
      </c>
      <c r="J174" s="662">
        <v>0</v>
      </c>
      <c r="K174" s="662">
        <v>0</v>
      </c>
      <c r="L174" s="662">
        <v>-11.416833858794305</v>
      </c>
      <c r="M174" s="662">
        <v>0</v>
      </c>
      <c r="N174" s="662">
        <v>0</v>
      </c>
      <c r="O174" s="662">
        <v>0</v>
      </c>
      <c r="P174" s="662">
        <v>80.323875035826887</v>
      </c>
      <c r="Q174" s="662">
        <v>0</v>
      </c>
      <c r="R174" s="662">
        <v>0</v>
      </c>
      <c r="S174" s="662">
        <v>0</v>
      </c>
      <c r="T174" s="662">
        <v>0</v>
      </c>
      <c r="U174" s="662">
        <v>0</v>
      </c>
      <c r="V174" s="662">
        <v>0</v>
      </c>
      <c r="W174" s="660">
        <v>2641.4923091621285</v>
      </c>
      <c r="X174" s="662">
        <v>492.04643164230436</v>
      </c>
      <c r="Y174" s="662">
        <v>0</v>
      </c>
      <c r="Z174" s="662">
        <v>0</v>
      </c>
      <c r="AA174" s="662">
        <v>0</v>
      </c>
      <c r="AB174" s="662"/>
      <c r="AC174" s="662">
        <v>16.241520970669722</v>
      </c>
      <c r="AD174" s="662">
        <v>156.34852393235883</v>
      </c>
      <c r="AE174" s="662">
        <v>314.91831470335336</v>
      </c>
      <c r="AF174" s="662">
        <v>509.57772045476258</v>
      </c>
      <c r="AG174" s="662">
        <v>-2.1018438903219643</v>
      </c>
      <c r="AH174" s="662">
        <v>0</v>
      </c>
      <c r="AI174" s="662">
        <v>80.299990446164131</v>
      </c>
      <c r="AJ174" s="662">
        <v>53.52536543422184</v>
      </c>
      <c r="AK174" s="662">
        <v>585.07690837871405</v>
      </c>
      <c r="AL174" s="662">
        <v>92.648323301805675</v>
      </c>
      <c r="AM174" s="662">
        <v>348.71500907614404</v>
      </c>
      <c r="AN174" s="662">
        <v>-1.0509219451609821</v>
      </c>
      <c r="AO174" s="662">
        <v>0</v>
      </c>
      <c r="AP174" s="662">
        <v>0</v>
      </c>
      <c r="AQ174" s="662">
        <v>0</v>
      </c>
      <c r="AR174" s="662">
        <v>0</v>
      </c>
      <c r="AS174" s="662">
        <v>-4.7769179325499183</v>
      </c>
      <c r="AT174" s="660">
        <v>-170.91812362663609</v>
      </c>
      <c r="AU174" s="662">
        <v>-170.91812362663609</v>
      </c>
      <c r="AV174" s="662">
        <v>0</v>
      </c>
      <c r="AW174" s="662">
        <v>0</v>
      </c>
      <c r="AX174" s="662">
        <v>0</v>
      </c>
      <c r="AY174" s="662">
        <v>0</v>
      </c>
      <c r="AZ174" s="660">
        <v>7.5475303334288713</v>
      </c>
      <c r="BA174" s="662">
        <v>0</v>
      </c>
      <c r="BB174" s="662">
        <v>0</v>
      </c>
      <c r="BC174" s="662">
        <v>0</v>
      </c>
      <c r="BD174" s="662">
        <v>0</v>
      </c>
      <c r="BE174" s="662">
        <v>0</v>
      </c>
      <c r="BF174" s="662">
        <v>0</v>
      </c>
      <c r="BG174" s="662">
        <v>0</v>
      </c>
      <c r="BH174" s="662">
        <v>3.8454189357026842</v>
      </c>
      <c r="BI174" s="662">
        <v>0</v>
      </c>
      <c r="BJ174" s="662">
        <v>3.4154963217731917</v>
      </c>
      <c r="BK174" s="662">
        <v>0.28661507595299512</v>
      </c>
      <c r="BL174" s="662">
        <v>0</v>
      </c>
      <c r="BM174" s="662">
        <v>0</v>
      </c>
      <c r="BN174" s="662">
        <v>0</v>
      </c>
      <c r="BO174" s="660">
        <v>0</v>
      </c>
      <c r="BP174" s="662">
        <v>0</v>
      </c>
      <c r="BQ174" s="662">
        <v>0</v>
      </c>
      <c r="BR174" s="661">
        <v>0</v>
      </c>
      <c r="BS174" s="661">
        <v>0</v>
      </c>
      <c r="BT174" s="660">
        <v>0</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751"/>
      <c r="B179" s="751"/>
      <c r="C179" s="751" t="s">
        <v>962</v>
      </c>
      <c r="D179" s="751"/>
      <c r="E179" s="751"/>
      <c r="F179" s="708" t="s">
        <v>961</v>
      </c>
      <c r="G179" s="708"/>
      <c r="H179" s="708"/>
      <c r="I179" s="708"/>
      <c r="J179" s="708"/>
      <c r="K179" s="708"/>
      <c r="L179" s="708"/>
      <c r="M179" s="708"/>
      <c r="N179" s="708"/>
      <c r="O179" s="708"/>
      <c r="P179" s="708"/>
      <c r="Q179" s="708"/>
      <c r="R179" s="708"/>
      <c r="S179" s="708"/>
      <c r="T179" s="708"/>
      <c r="U179" s="708"/>
      <c r="V179" s="708"/>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08"/>
      <c r="BA179" s="751"/>
      <c r="BB179" s="751"/>
      <c r="BC179" s="751"/>
      <c r="BD179" s="751"/>
      <c r="BE179" s="751"/>
      <c r="BF179" s="751"/>
      <c r="BG179" s="751"/>
      <c r="BH179" s="751"/>
      <c r="BI179" s="751"/>
      <c r="BJ179" s="752">
        <v>9.8165663513900832</v>
      </c>
      <c r="BK179" s="752">
        <v>114.55049202254705</v>
      </c>
      <c r="BL179" s="751"/>
      <c r="BM179" s="751"/>
      <c r="BN179" s="751"/>
      <c r="BO179" s="751"/>
      <c r="BP179" s="751"/>
      <c r="BQ179" s="751"/>
      <c r="BR179" s="751"/>
      <c r="BS179" s="751"/>
      <c r="BT179" s="751"/>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H79"/>
  <sheetViews>
    <sheetView workbookViewId="0">
      <selection activeCell="D27" sqref="D27"/>
    </sheetView>
  </sheetViews>
  <sheetFormatPr defaultColWidth="9.21875" defaultRowHeight="13.2"/>
  <cols>
    <col min="1" max="1" width="17.21875" style="606" customWidth="1"/>
    <col min="2" max="2" width="11.44140625" style="606" customWidth="1"/>
    <col min="3" max="3" width="5.44140625" style="606" customWidth="1"/>
    <col min="4" max="4" width="8.44140625" style="606" customWidth="1"/>
    <col min="5" max="6" width="6.21875" style="606" customWidth="1"/>
    <col min="7" max="7" width="9.21875" style="606"/>
    <col min="8" max="8" width="17.44140625" style="606" customWidth="1"/>
    <col min="9" max="9" width="13" style="606" customWidth="1"/>
    <col min="10" max="10" width="7.44140625" style="606" customWidth="1"/>
    <col min="11" max="11" width="6.44140625" style="606" customWidth="1"/>
    <col min="12" max="12" width="7.21875" style="606" customWidth="1"/>
    <col min="13" max="13" width="6.44140625" style="606" customWidth="1"/>
    <col min="14" max="14" width="5.44140625" style="606" customWidth="1"/>
    <col min="15" max="15" width="7.21875" style="606" customWidth="1"/>
    <col min="16" max="19" width="8.44140625" style="606" customWidth="1"/>
    <col min="20" max="41" width="5.44140625" style="606" customWidth="1"/>
    <col min="42" max="43" width="9.21875" style="606"/>
    <col min="44" max="44" width="18.44140625" style="606" customWidth="1"/>
    <col min="45" max="45" width="11" style="606" customWidth="1"/>
    <col min="46" max="84" width="6.44140625" style="606" customWidth="1"/>
    <col min="85" max="16384" width="9.21875" style="606"/>
  </cols>
  <sheetData>
    <row r="1" spans="1:86" ht="13.8" thickBot="1"/>
    <row r="2" spans="1:86">
      <c r="F2" s="637" t="s">
        <v>1398</v>
      </c>
      <c r="G2" s="775"/>
      <c r="H2" s="775"/>
      <c r="I2" s="775"/>
      <c r="J2" s="775"/>
      <c r="K2" s="775"/>
      <c r="L2" s="775"/>
      <c r="M2" s="774"/>
    </row>
    <row r="3" spans="1:86" ht="14.4">
      <c r="F3" s="773" t="s">
        <v>1397</v>
      </c>
      <c r="G3" s="772"/>
      <c r="H3" s="772"/>
      <c r="I3" s="772"/>
      <c r="J3" s="772"/>
      <c r="K3" s="762"/>
      <c r="L3" s="762"/>
      <c r="M3" s="771"/>
    </row>
    <row r="4" spans="1:86" ht="14.4">
      <c r="F4" s="640"/>
      <c r="H4" s="762" t="s">
        <v>1396</v>
      </c>
      <c r="I4" s="772" t="s">
        <v>1395</v>
      </c>
      <c r="J4" s="772"/>
      <c r="K4" s="762"/>
      <c r="L4" s="762"/>
      <c r="M4" s="771"/>
      <c r="N4" s="762"/>
      <c r="O4" s="762"/>
      <c r="P4" s="762"/>
    </row>
    <row r="5" spans="1:86" ht="15" thickBot="1">
      <c r="F5" s="770"/>
      <c r="G5" s="769"/>
      <c r="H5" s="767"/>
      <c r="I5" s="768">
        <v>7.4587000000000003</v>
      </c>
      <c r="J5" s="767"/>
      <c r="K5" s="767"/>
      <c r="L5" s="767"/>
      <c r="M5" s="766"/>
      <c r="N5" s="762"/>
      <c r="O5" s="762"/>
      <c r="P5" s="762"/>
    </row>
    <row r="6" spans="1:86" ht="14.4">
      <c r="A6" s="762"/>
      <c r="B6" s="762"/>
      <c r="C6" s="762"/>
      <c r="D6" s="762"/>
      <c r="E6" s="762"/>
      <c r="F6" s="762"/>
      <c r="G6" s="762"/>
      <c r="H6" s="762"/>
      <c r="I6" s="762"/>
      <c r="J6" s="762"/>
      <c r="K6" s="762"/>
      <c r="L6" s="762"/>
      <c r="M6" s="762"/>
      <c r="N6" s="762"/>
      <c r="O6" s="762"/>
      <c r="P6" s="762"/>
      <c r="Q6" s="762"/>
      <c r="R6" s="762"/>
      <c r="S6" s="762"/>
      <c r="T6" s="762"/>
      <c r="U6" s="762"/>
      <c r="V6" s="762"/>
      <c r="W6" s="762"/>
      <c r="X6" s="762"/>
      <c r="Y6" s="762"/>
      <c r="Z6" s="762"/>
      <c r="AA6" s="762"/>
      <c r="AB6" s="762"/>
      <c r="AC6" s="762"/>
      <c r="AD6" s="762"/>
      <c r="AE6" s="762"/>
      <c r="AF6" s="762"/>
      <c r="AG6" s="762"/>
      <c r="AH6" s="762"/>
      <c r="AI6" s="762"/>
      <c r="AJ6" s="762"/>
      <c r="AK6" s="762"/>
      <c r="AL6" s="762"/>
      <c r="AM6" s="762"/>
      <c r="AN6" s="762"/>
      <c r="AO6" s="762"/>
      <c r="AP6" s="762"/>
      <c r="AQ6" s="762"/>
      <c r="AR6" s="762"/>
    </row>
    <row r="7" spans="1:86" ht="14.4">
      <c r="A7" s="764" t="s">
        <v>1393</v>
      </c>
      <c r="B7" s="764" t="s">
        <v>1394</v>
      </c>
      <c r="C7" s="764"/>
      <c r="D7" s="762"/>
      <c r="E7" s="762"/>
      <c r="H7" s="764" t="s">
        <v>1393</v>
      </c>
      <c r="I7" s="764" t="s">
        <v>1394</v>
      </c>
      <c r="J7" s="762"/>
      <c r="K7" s="762"/>
      <c r="L7" s="762"/>
      <c r="N7" s="762"/>
      <c r="O7" s="762"/>
      <c r="P7" s="762"/>
      <c r="Q7" s="762"/>
      <c r="R7" s="762"/>
      <c r="S7" s="762"/>
      <c r="T7" s="762"/>
      <c r="U7" s="762"/>
      <c r="V7" s="762"/>
      <c r="W7" s="762"/>
      <c r="X7" s="762"/>
      <c r="Y7" s="762"/>
      <c r="Z7" s="762"/>
      <c r="AA7" s="762"/>
      <c r="AB7" s="762"/>
      <c r="AC7" s="762"/>
      <c r="AD7" s="762"/>
      <c r="AE7" s="762"/>
      <c r="AF7" s="762"/>
      <c r="AG7" s="762"/>
      <c r="AH7" s="762"/>
      <c r="AI7" s="762"/>
      <c r="AJ7" s="762"/>
      <c r="AK7" s="762"/>
      <c r="AL7" s="762"/>
      <c r="AM7" s="762"/>
      <c r="AN7" s="762"/>
      <c r="AO7" s="762"/>
      <c r="AP7" s="762"/>
      <c r="AQ7" s="762"/>
      <c r="AW7" s="762"/>
      <c r="AX7" s="762"/>
      <c r="AY7" s="762"/>
      <c r="AZ7" s="762"/>
      <c r="BA7" s="762"/>
      <c r="BB7" s="762"/>
      <c r="BC7" s="762"/>
      <c r="BD7" s="762"/>
      <c r="BE7" s="762"/>
      <c r="BF7" s="762"/>
      <c r="BG7" s="762"/>
      <c r="BH7" s="762"/>
      <c r="BI7" s="762"/>
      <c r="BJ7" s="762"/>
      <c r="BK7" s="762"/>
      <c r="BL7" s="762"/>
      <c r="BM7" s="762"/>
      <c r="BN7" s="762"/>
      <c r="BO7" s="762"/>
      <c r="BP7" s="762"/>
      <c r="BQ7" s="762"/>
      <c r="BR7" s="762"/>
      <c r="BS7" s="762"/>
      <c r="BT7" s="762"/>
      <c r="BU7" s="762"/>
      <c r="BV7" s="762"/>
      <c r="BW7" s="762"/>
      <c r="BX7" s="762"/>
      <c r="BY7" s="762"/>
      <c r="BZ7" s="762"/>
      <c r="CA7" s="762"/>
      <c r="CB7" s="762"/>
      <c r="CC7" s="762"/>
      <c r="CD7" s="762"/>
      <c r="CE7" s="762"/>
      <c r="CF7" s="762"/>
    </row>
    <row r="8" spans="1:86" ht="14.4">
      <c r="A8" s="764"/>
      <c r="B8" s="764"/>
      <c r="C8" s="764"/>
      <c r="D8" s="762"/>
      <c r="E8" s="762"/>
      <c r="H8" s="764"/>
      <c r="I8" s="764"/>
      <c r="J8" s="762"/>
      <c r="K8" s="762"/>
      <c r="L8" s="762"/>
      <c r="N8" s="762"/>
      <c r="T8" s="762"/>
      <c r="U8" s="762"/>
      <c r="V8" s="762"/>
      <c r="W8" s="762"/>
      <c r="X8" s="762"/>
      <c r="Y8" s="762"/>
      <c r="Z8" s="762"/>
      <c r="AA8" s="762"/>
      <c r="AB8" s="762"/>
      <c r="AC8" s="762"/>
      <c r="AD8" s="762"/>
      <c r="AE8" s="762"/>
      <c r="AF8" s="762"/>
      <c r="AG8" s="762"/>
      <c r="AH8" s="762"/>
      <c r="AI8" s="762"/>
      <c r="AJ8" s="762"/>
      <c r="AK8" s="762"/>
      <c r="AL8" s="762"/>
      <c r="AM8" s="762"/>
      <c r="AN8" s="762"/>
      <c r="AO8" s="762"/>
      <c r="AP8" s="762"/>
      <c r="AQ8" s="762"/>
      <c r="AW8" s="762"/>
      <c r="AX8" s="762"/>
      <c r="AY8" s="762"/>
      <c r="AZ8" s="762"/>
      <c r="BA8" s="762"/>
      <c r="BB8" s="762"/>
      <c r="BC8" s="762"/>
      <c r="BD8" s="762"/>
      <c r="BE8" s="762"/>
      <c r="BF8" s="762"/>
      <c r="BG8" s="762"/>
      <c r="BH8" s="762"/>
      <c r="BI8" s="762"/>
      <c r="BJ8" s="762"/>
      <c r="BK8" s="762"/>
      <c r="BL8" s="762"/>
      <c r="BM8" s="762"/>
      <c r="BN8" s="762"/>
      <c r="BO8" s="762"/>
      <c r="BP8" s="762"/>
      <c r="BQ8" s="762"/>
      <c r="BR8" s="762"/>
      <c r="BS8" s="762"/>
      <c r="BT8" s="762"/>
      <c r="BU8" s="762"/>
      <c r="BV8" s="762"/>
      <c r="BW8" s="762"/>
      <c r="BX8" s="762"/>
      <c r="BY8" s="762"/>
      <c r="BZ8" s="762"/>
      <c r="CA8" s="762"/>
      <c r="CB8" s="762"/>
      <c r="CC8" s="762"/>
      <c r="CD8" s="762"/>
      <c r="CE8" s="762"/>
      <c r="CF8" s="762"/>
    </row>
    <row r="9" spans="1:86" ht="14.4">
      <c r="A9" s="764" t="s">
        <v>1391</v>
      </c>
      <c r="B9" s="764" t="s">
        <v>1390</v>
      </c>
      <c r="C9" s="764"/>
      <c r="D9" s="762"/>
      <c r="E9" s="762"/>
      <c r="H9" s="764" t="s">
        <v>1391</v>
      </c>
      <c r="I9" s="764" t="s">
        <v>1390</v>
      </c>
      <c r="J9" s="762"/>
      <c r="K9" s="762"/>
      <c r="L9" s="762"/>
      <c r="N9" s="762"/>
      <c r="T9" s="762"/>
      <c r="U9" s="762"/>
      <c r="V9" s="762"/>
      <c r="W9" s="762"/>
      <c r="X9" s="762"/>
      <c r="Y9" s="762"/>
      <c r="Z9" s="762"/>
      <c r="AA9" s="762"/>
      <c r="AB9" s="762"/>
      <c r="AC9" s="762"/>
      <c r="AD9" s="762"/>
      <c r="AE9" s="762"/>
      <c r="AF9" s="762"/>
      <c r="AG9" s="762"/>
      <c r="AH9" s="762"/>
      <c r="AI9" s="762"/>
      <c r="AJ9" s="762"/>
      <c r="AK9" s="762"/>
      <c r="AL9" s="762"/>
      <c r="AM9" s="762"/>
      <c r="AN9" s="762"/>
      <c r="AO9" s="762"/>
      <c r="AP9" s="762"/>
      <c r="AQ9" s="762"/>
      <c r="AW9" s="762"/>
      <c r="AX9" s="762"/>
      <c r="AY9" s="762"/>
      <c r="AZ9" s="762"/>
      <c r="BA9" s="762"/>
      <c r="BB9" s="762"/>
      <c r="BC9" s="762"/>
      <c r="BD9" s="762"/>
      <c r="BE9" s="762"/>
      <c r="BF9" s="762"/>
      <c r="BG9" s="762"/>
      <c r="BH9" s="762"/>
      <c r="BI9" s="762"/>
      <c r="BJ9" s="762"/>
      <c r="BK9" s="762"/>
      <c r="BL9" s="762"/>
      <c r="BM9" s="762"/>
      <c r="BN9" s="762"/>
      <c r="BO9" s="762"/>
      <c r="BP9" s="762"/>
      <c r="BQ9" s="762"/>
      <c r="BR9" s="762"/>
      <c r="BS9" s="762"/>
      <c r="BT9" s="762"/>
      <c r="BU9" s="762"/>
      <c r="BV9" s="762"/>
      <c r="BW9" s="762"/>
      <c r="BX9" s="762"/>
      <c r="BY9" s="762"/>
      <c r="BZ9" s="762"/>
      <c r="CA9" s="762"/>
      <c r="CB9" s="762"/>
      <c r="CC9" s="762"/>
      <c r="CD9" s="762"/>
      <c r="CE9" s="762"/>
      <c r="CF9" s="762"/>
    </row>
    <row r="10" spans="1:86" ht="14.4">
      <c r="A10" s="764"/>
      <c r="B10" s="764" t="s">
        <v>1389</v>
      </c>
      <c r="C10" s="764"/>
      <c r="D10" s="762"/>
      <c r="E10" s="762"/>
      <c r="F10" s="762"/>
      <c r="G10" s="762"/>
      <c r="H10" s="764"/>
      <c r="I10" s="764" t="s">
        <v>1389</v>
      </c>
      <c r="J10" s="762"/>
      <c r="K10" s="762"/>
      <c r="L10" s="762"/>
      <c r="M10" s="762"/>
      <c r="N10" s="762"/>
      <c r="T10" s="762"/>
      <c r="U10" s="762"/>
      <c r="V10" s="762"/>
      <c r="W10" s="762"/>
      <c r="X10" s="762"/>
      <c r="Y10" s="762"/>
      <c r="Z10" s="762"/>
      <c r="AA10" s="762"/>
      <c r="AB10" s="762"/>
      <c r="AC10" s="762"/>
      <c r="AD10" s="762"/>
      <c r="AE10" s="762"/>
      <c r="AF10" s="762"/>
      <c r="AG10" s="762"/>
      <c r="AH10" s="762"/>
      <c r="AI10" s="762"/>
      <c r="AJ10" s="762"/>
      <c r="AK10" s="762"/>
      <c r="AL10" s="762"/>
      <c r="AM10" s="762"/>
      <c r="AN10" s="762"/>
      <c r="AO10" s="762"/>
      <c r="AP10" s="762"/>
      <c r="AQ10" s="762"/>
      <c r="AW10" s="762"/>
      <c r="AX10" s="762"/>
      <c r="AY10" s="762"/>
      <c r="AZ10" s="762"/>
      <c r="BA10" s="762"/>
      <c r="BB10" s="762"/>
      <c r="BC10" s="762"/>
      <c r="BD10" s="762"/>
      <c r="BE10" s="762"/>
      <c r="BF10" s="762"/>
      <c r="BG10" s="762"/>
      <c r="BH10" s="762"/>
      <c r="BI10" s="762"/>
      <c r="BJ10" s="762"/>
      <c r="BK10" s="762"/>
      <c r="BL10" s="762"/>
      <c r="BM10" s="762"/>
      <c r="BN10" s="762"/>
      <c r="BO10" s="762"/>
      <c r="BP10" s="762"/>
      <c r="BQ10" s="762"/>
      <c r="BR10" s="762"/>
      <c r="BS10" s="762"/>
      <c r="BT10" s="762"/>
      <c r="BU10" s="762"/>
      <c r="BV10" s="762"/>
      <c r="BW10" s="762"/>
      <c r="BX10" s="762"/>
      <c r="BY10" s="762"/>
      <c r="BZ10" s="762"/>
      <c r="CA10" s="762"/>
      <c r="CB10" s="762"/>
      <c r="CC10" s="762"/>
      <c r="CD10" s="762"/>
      <c r="CE10" s="762"/>
      <c r="CF10" s="762"/>
    </row>
    <row r="11" spans="1:86" ht="14.4">
      <c r="A11" s="764"/>
      <c r="B11" s="764" t="s">
        <v>1388</v>
      </c>
      <c r="C11" s="764"/>
      <c r="D11" s="762"/>
      <c r="E11" s="762"/>
      <c r="F11" s="762"/>
      <c r="G11" s="762"/>
      <c r="H11" s="764"/>
      <c r="I11" s="764" t="s">
        <v>1388</v>
      </c>
      <c r="J11" s="762"/>
      <c r="K11" s="762"/>
      <c r="L11" s="762"/>
      <c r="M11" s="762"/>
      <c r="N11" s="762"/>
      <c r="T11" s="762"/>
      <c r="U11" s="762"/>
      <c r="V11" s="762"/>
      <c r="W11" s="762"/>
      <c r="X11" s="762"/>
      <c r="Y11" s="762"/>
      <c r="Z11" s="762"/>
      <c r="AA11" s="762"/>
      <c r="AB11" s="762"/>
      <c r="AC11" s="762"/>
      <c r="AD11" s="762"/>
      <c r="AE11" s="762"/>
      <c r="AF11" s="762"/>
      <c r="AG11" s="762"/>
      <c r="AH11" s="762"/>
      <c r="AI11" s="762"/>
      <c r="AJ11" s="762"/>
      <c r="AK11" s="762"/>
      <c r="AL11" s="762"/>
      <c r="AM11" s="762"/>
      <c r="AN11" s="762"/>
      <c r="AO11" s="762"/>
      <c r="AP11" s="762"/>
      <c r="AQ11" s="762"/>
      <c r="AW11" s="762"/>
      <c r="AX11" s="762"/>
      <c r="AY11" s="762"/>
      <c r="AZ11" s="762"/>
      <c r="BA11" s="762"/>
      <c r="BB11" s="762"/>
      <c r="BC11" s="762"/>
      <c r="BD11" s="762"/>
      <c r="BE11" s="762"/>
      <c r="BF11" s="762"/>
      <c r="BG11" s="762"/>
      <c r="BH11" s="762"/>
      <c r="BI11" s="762"/>
      <c r="BJ11" s="762"/>
      <c r="BK11" s="762"/>
      <c r="BL11" s="762"/>
      <c r="BM11" s="762"/>
      <c r="BN11" s="762"/>
      <c r="BO11" s="762"/>
      <c r="BP11" s="762"/>
      <c r="BQ11" s="762"/>
      <c r="BR11" s="762"/>
      <c r="BS11" s="762"/>
      <c r="BT11" s="762"/>
      <c r="BU11" s="762"/>
      <c r="BV11" s="762"/>
      <c r="BW11" s="762"/>
      <c r="BX11" s="762"/>
      <c r="BY11" s="762"/>
      <c r="BZ11" s="762"/>
      <c r="CA11" s="762"/>
      <c r="CB11" s="762"/>
      <c r="CC11" s="762"/>
      <c r="CD11" s="762"/>
      <c r="CE11" s="762"/>
      <c r="CF11" s="762"/>
    </row>
    <row r="12" spans="1:86" s="765" customFormat="1" ht="14.4">
      <c r="A12" s="764" t="s">
        <v>1387</v>
      </c>
      <c r="B12" s="764" t="s">
        <v>954</v>
      </c>
      <c r="C12" s="764" t="s">
        <v>1386</v>
      </c>
      <c r="D12" s="764" t="s">
        <v>1385</v>
      </c>
      <c r="E12" s="764" t="s">
        <v>1384</v>
      </c>
      <c r="F12" s="764" t="s">
        <v>1383</v>
      </c>
      <c r="G12" s="764"/>
      <c r="H12" s="764" t="s">
        <v>1387</v>
      </c>
      <c r="I12" s="764" t="s">
        <v>954</v>
      </c>
      <c r="J12" s="764" t="s">
        <v>1386</v>
      </c>
      <c r="K12" s="764" t="s">
        <v>1385</v>
      </c>
      <c r="L12" s="764" t="s">
        <v>1384</v>
      </c>
      <c r="M12" s="764" t="s">
        <v>1383</v>
      </c>
      <c r="N12" s="764"/>
      <c r="T12" s="764"/>
      <c r="V12" s="764"/>
      <c r="W12" s="764"/>
      <c r="X12" s="764"/>
      <c r="Y12" s="764"/>
      <c r="Z12" s="764"/>
      <c r="AA12" s="764"/>
      <c r="AB12" s="764"/>
      <c r="AC12" s="764"/>
      <c r="AD12" s="764"/>
      <c r="AF12" s="764"/>
      <c r="AG12" s="764"/>
      <c r="AH12" s="764"/>
      <c r="AI12" s="764"/>
      <c r="AJ12" s="764"/>
      <c r="AK12" s="764"/>
      <c r="AL12" s="764"/>
      <c r="AM12" s="764"/>
      <c r="AN12" s="764"/>
      <c r="AW12" s="764"/>
      <c r="AX12" s="764"/>
      <c r="AY12" s="764"/>
      <c r="AZ12" s="764"/>
      <c r="BA12" s="764"/>
      <c r="BC12" s="764"/>
      <c r="BD12" s="764"/>
      <c r="BE12" s="764"/>
      <c r="BF12" s="764"/>
      <c r="BG12" s="764"/>
      <c r="BH12" s="764"/>
      <c r="BI12" s="764"/>
      <c r="BJ12" s="764"/>
      <c r="BK12" s="764"/>
      <c r="BM12" s="764"/>
      <c r="BN12" s="764"/>
      <c r="BO12" s="764"/>
      <c r="BP12" s="764"/>
      <c r="BQ12" s="764"/>
      <c r="BR12" s="764"/>
      <c r="BS12" s="764"/>
      <c r="BT12" s="764"/>
      <c r="BU12" s="764"/>
      <c r="BW12" s="764"/>
      <c r="BX12" s="764"/>
      <c r="BY12" s="764"/>
      <c r="BZ12" s="764"/>
      <c r="CA12" s="764"/>
      <c r="CB12" s="764"/>
      <c r="CC12" s="764"/>
      <c r="CD12" s="764"/>
      <c r="CE12" s="764"/>
    </row>
    <row r="13" spans="1:86" ht="19.8">
      <c r="A13" s="764"/>
      <c r="B13" s="763" t="s">
        <v>1382</v>
      </c>
      <c r="C13" s="762"/>
      <c r="D13" s="762"/>
      <c r="E13" s="762"/>
      <c r="F13" s="762"/>
      <c r="G13" s="762"/>
      <c r="H13" s="764"/>
      <c r="I13" s="762"/>
      <c r="J13" s="762"/>
      <c r="K13" s="762"/>
      <c r="L13" s="762"/>
      <c r="M13" s="762"/>
      <c r="N13" s="762"/>
      <c r="T13" s="762"/>
      <c r="V13" s="762"/>
      <c r="W13" s="762"/>
      <c r="X13" s="762"/>
      <c r="Y13" s="762"/>
      <c r="Z13" s="762"/>
      <c r="AA13" s="762"/>
      <c r="AB13" s="762"/>
      <c r="AC13" s="762"/>
      <c r="AD13" s="762"/>
      <c r="AF13" s="762"/>
      <c r="AG13" s="762"/>
      <c r="AH13" s="762"/>
      <c r="AI13" s="762"/>
      <c r="AJ13" s="762"/>
      <c r="AK13" s="762"/>
      <c r="AL13" s="762"/>
      <c r="AM13" s="762"/>
      <c r="AN13" s="762"/>
      <c r="AW13" s="762"/>
      <c r="AX13" s="762"/>
      <c r="AY13" s="762"/>
      <c r="AZ13" s="762"/>
      <c r="BA13" s="762"/>
      <c r="BC13" s="762"/>
      <c r="BD13" s="762"/>
      <c r="BE13" s="762"/>
      <c r="BF13" s="762"/>
      <c r="BG13" s="762"/>
      <c r="BH13" s="762"/>
      <c r="BI13" s="762"/>
      <c r="BJ13" s="762"/>
      <c r="BK13" s="762"/>
      <c r="BM13" s="762"/>
      <c r="BN13" s="762"/>
      <c r="BO13" s="762"/>
      <c r="BP13" s="762"/>
      <c r="BQ13" s="762"/>
      <c r="BR13" s="762"/>
      <c r="BS13" s="762"/>
      <c r="BT13" s="762"/>
      <c r="BU13" s="762"/>
      <c r="BW13" s="762"/>
      <c r="BX13" s="762"/>
      <c r="BY13" s="762"/>
      <c r="BZ13" s="762"/>
      <c r="CA13" s="762"/>
      <c r="CB13" s="762"/>
      <c r="CC13" s="762"/>
      <c r="CD13" s="762"/>
      <c r="CE13" s="762"/>
    </row>
    <row r="14" spans="1:86" ht="14.4">
      <c r="A14" s="760" t="s">
        <v>1380</v>
      </c>
      <c r="B14" s="759">
        <v>27.870653586999996</v>
      </c>
      <c r="C14" s="762">
        <v>18.523454098999995</v>
      </c>
      <c r="D14" s="762">
        <v>25.333034976000011</v>
      </c>
      <c r="E14" s="762">
        <v>25.045913969000015</v>
      </c>
      <c r="F14" s="762">
        <v>24.76045262100001</v>
      </c>
      <c r="G14" s="762"/>
      <c r="H14" s="760" t="s">
        <v>1380</v>
      </c>
      <c r="I14" s="759">
        <f t="shared" ref="I14:I41" si="0">B14*$I$5</f>
        <v>207.87884390935687</v>
      </c>
      <c r="J14" s="762">
        <f t="shared" ref="J14:J41" si="1">C14*$I$5</f>
        <v>138.16088708821127</v>
      </c>
      <c r="K14" s="762">
        <f t="shared" ref="K14:K41" si="2">D14*$I$5</f>
        <v>188.9515079754913</v>
      </c>
      <c r="L14" s="762">
        <f t="shared" ref="L14:L41" si="3">E14*$I$5</f>
        <v>186.80995852058041</v>
      </c>
      <c r="M14" s="762">
        <f t="shared" ref="M14:M41" si="4">F14*$I$5</f>
        <v>184.68078796425277</v>
      </c>
      <c r="N14" s="762"/>
      <c r="T14" s="762"/>
      <c r="V14" s="762"/>
      <c r="W14" s="762"/>
      <c r="X14" s="762"/>
      <c r="Y14" s="762"/>
      <c r="Z14" s="762"/>
      <c r="AA14" s="762"/>
      <c r="AB14" s="762"/>
      <c r="AC14" s="762"/>
      <c r="AD14" s="762"/>
      <c r="AF14" s="762"/>
      <c r="AG14" s="762"/>
      <c r="AH14" s="762"/>
      <c r="AI14" s="762"/>
      <c r="AJ14" s="762"/>
      <c r="AK14" s="762"/>
      <c r="AL14" s="762"/>
      <c r="AM14" s="762"/>
      <c r="AN14" s="762"/>
      <c r="AW14" s="762"/>
      <c r="AX14" s="762"/>
      <c r="AY14" s="762"/>
      <c r="AZ14" s="762"/>
      <c r="BA14" s="762"/>
      <c r="BC14" s="762"/>
      <c r="BD14" s="762"/>
      <c r="BE14" s="762"/>
      <c r="BF14" s="762"/>
      <c r="BG14" s="762"/>
      <c r="BH14" s="762"/>
      <c r="BI14" s="762"/>
      <c r="BJ14" s="762"/>
      <c r="BK14" s="762"/>
      <c r="BM14" s="762"/>
      <c r="BN14" s="762"/>
      <c r="BO14" s="762"/>
      <c r="BP14" s="762"/>
      <c r="BQ14" s="762"/>
      <c r="BR14" s="762"/>
      <c r="BS14" s="762"/>
      <c r="BT14" s="762"/>
      <c r="BU14" s="762"/>
      <c r="BW14" s="762"/>
      <c r="BX14" s="762"/>
      <c r="BY14" s="762"/>
      <c r="BZ14" s="762"/>
      <c r="CA14" s="762"/>
      <c r="CB14" s="762"/>
      <c r="CC14" s="762"/>
      <c r="CD14" s="762"/>
      <c r="CE14" s="762"/>
      <c r="CG14" s="762"/>
      <c r="CH14" s="762"/>
    </row>
    <row r="15" spans="1:86" ht="14.4">
      <c r="A15" s="760" t="s">
        <v>1379</v>
      </c>
      <c r="B15" s="759">
        <v>21.163971567999994</v>
      </c>
      <c r="C15" s="762">
        <v>21.163971567999994</v>
      </c>
      <c r="D15" s="762">
        <v>21.163971567999994</v>
      </c>
      <c r="E15" s="762">
        <v>21.163971567999994</v>
      </c>
      <c r="F15" s="762">
        <v>21.163971567999994</v>
      </c>
      <c r="G15" s="762"/>
      <c r="H15" s="760" t="s">
        <v>1379</v>
      </c>
      <c r="I15" s="759">
        <f t="shared" si="0"/>
        <v>157.85571473424156</v>
      </c>
      <c r="J15" s="762">
        <f t="shared" si="1"/>
        <v>157.85571473424156</v>
      </c>
      <c r="K15" s="762">
        <f t="shared" si="2"/>
        <v>157.85571473424156</v>
      </c>
      <c r="L15" s="762">
        <f t="shared" si="3"/>
        <v>157.85571473424156</v>
      </c>
      <c r="M15" s="762">
        <f t="shared" si="4"/>
        <v>157.85571473424156</v>
      </c>
      <c r="N15" s="762"/>
      <c r="T15" s="762"/>
      <c r="V15" s="762"/>
      <c r="W15" s="762"/>
      <c r="X15" s="762"/>
      <c r="Y15" s="762"/>
      <c r="Z15" s="762"/>
      <c r="AA15" s="762"/>
      <c r="AB15" s="762"/>
      <c r="AC15" s="762"/>
      <c r="AD15" s="762"/>
      <c r="AF15" s="762"/>
      <c r="AG15" s="762"/>
      <c r="AH15" s="762"/>
      <c r="AI15" s="762"/>
      <c r="AJ15" s="762"/>
      <c r="AK15" s="762"/>
      <c r="AL15" s="762"/>
      <c r="AM15" s="762"/>
      <c r="AN15" s="762"/>
      <c r="AW15" s="762"/>
      <c r="AX15" s="762"/>
      <c r="AY15" s="762"/>
      <c r="AZ15" s="762"/>
      <c r="BA15" s="762"/>
      <c r="BC15" s="762"/>
      <c r="BD15" s="762"/>
      <c r="BE15" s="762"/>
      <c r="BF15" s="762"/>
      <c r="BG15" s="762"/>
      <c r="BH15" s="762"/>
      <c r="BI15" s="762"/>
      <c r="BJ15" s="762"/>
      <c r="BK15" s="762"/>
      <c r="BM15" s="762"/>
      <c r="BN15" s="762"/>
      <c r="BO15" s="762"/>
      <c r="BP15" s="762"/>
      <c r="BQ15" s="762"/>
      <c r="BR15" s="762"/>
      <c r="BS15" s="762"/>
      <c r="BT15" s="762"/>
      <c r="BU15" s="762"/>
      <c r="BW15" s="762"/>
      <c r="BX15" s="762"/>
      <c r="BY15" s="762"/>
      <c r="BZ15" s="762"/>
      <c r="CA15" s="762"/>
      <c r="CB15" s="762"/>
      <c r="CC15" s="762"/>
      <c r="CD15" s="762"/>
      <c r="CE15" s="762"/>
      <c r="CG15" s="762"/>
      <c r="CH15" s="762"/>
    </row>
    <row r="16" spans="1:86" ht="14.4">
      <c r="A16" s="760" t="s">
        <v>1378</v>
      </c>
      <c r="B16" s="759">
        <v>7.1099791560000032</v>
      </c>
      <c r="C16" s="762">
        <v>7.1099791560000032</v>
      </c>
      <c r="D16" s="762">
        <v>7.1099791560000032</v>
      </c>
      <c r="E16" s="762">
        <v>7.1099791560000032</v>
      </c>
      <c r="F16" s="762">
        <v>7.1099791560000032</v>
      </c>
      <c r="G16" s="762"/>
      <c r="H16" s="760" t="s">
        <v>1378</v>
      </c>
      <c r="I16" s="759">
        <f t="shared" si="0"/>
        <v>53.031201530857224</v>
      </c>
      <c r="J16" s="762">
        <f t="shared" si="1"/>
        <v>53.031201530857224</v>
      </c>
      <c r="K16" s="762">
        <f t="shared" si="2"/>
        <v>53.031201530857224</v>
      </c>
      <c r="L16" s="762">
        <f t="shared" si="3"/>
        <v>53.031201530857224</v>
      </c>
      <c r="M16" s="762">
        <f t="shared" si="4"/>
        <v>53.031201530857224</v>
      </c>
      <c r="N16" s="762"/>
      <c r="T16" s="762"/>
      <c r="V16" s="762"/>
      <c r="W16" s="762"/>
      <c r="X16" s="762"/>
      <c r="Y16" s="762"/>
      <c r="Z16" s="762"/>
      <c r="AA16" s="762"/>
      <c r="AB16" s="762"/>
      <c r="AC16" s="762"/>
      <c r="AD16" s="762"/>
      <c r="AF16" s="762"/>
      <c r="AG16" s="762"/>
      <c r="AH16" s="762"/>
      <c r="AI16" s="762"/>
      <c r="AJ16" s="762"/>
      <c r="AK16" s="762"/>
      <c r="AL16" s="762"/>
      <c r="AM16" s="762"/>
      <c r="AN16" s="762"/>
      <c r="AW16" s="762"/>
      <c r="AX16" s="762"/>
      <c r="AY16" s="762"/>
      <c r="AZ16" s="762"/>
      <c r="BA16" s="762"/>
      <c r="BC16" s="762"/>
      <c r="BD16" s="762"/>
      <c r="BE16" s="762"/>
      <c r="BF16" s="762"/>
      <c r="BG16" s="762"/>
      <c r="BH16" s="762"/>
      <c r="BI16" s="762"/>
      <c r="BJ16" s="762"/>
      <c r="BK16" s="762"/>
      <c r="BM16" s="762"/>
      <c r="BN16" s="762"/>
      <c r="BO16" s="762"/>
      <c r="BP16" s="762"/>
      <c r="BQ16" s="762"/>
      <c r="BR16" s="762"/>
      <c r="BS16" s="762"/>
      <c r="BT16" s="762"/>
      <c r="BU16" s="762"/>
      <c r="BW16" s="762"/>
      <c r="BX16" s="762"/>
      <c r="BY16" s="762"/>
      <c r="BZ16" s="762"/>
      <c r="CA16" s="762"/>
      <c r="CB16" s="762"/>
      <c r="CC16" s="762"/>
      <c r="CD16" s="762"/>
      <c r="CE16" s="762"/>
      <c r="CG16" s="762"/>
      <c r="CH16" s="762"/>
    </row>
    <row r="17" spans="1:86" ht="14.4">
      <c r="A17" s="760" t="s">
        <v>1377</v>
      </c>
      <c r="B17" s="759">
        <v>10.563729534999995</v>
      </c>
      <c r="C17" s="762">
        <v>10.563729534999995</v>
      </c>
      <c r="D17" s="762">
        <v>10.563729534999995</v>
      </c>
      <c r="E17" s="762">
        <v>10.563729534999995</v>
      </c>
      <c r="F17" s="762">
        <v>10.563729534999995</v>
      </c>
      <c r="G17" s="762"/>
      <c r="H17" s="760" t="s">
        <v>1377</v>
      </c>
      <c r="I17" s="759">
        <f t="shared" si="0"/>
        <v>78.79168948270447</v>
      </c>
      <c r="J17" s="762">
        <f t="shared" si="1"/>
        <v>78.79168948270447</v>
      </c>
      <c r="K17" s="762">
        <f t="shared" si="2"/>
        <v>78.79168948270447</v>
      </c>
      <c r="L17" s="762">
        <f t="shared" si="3"/>
        <v>78.79168948270447</v>
      </c>
      <c r="M17" s="762">
        <f t="shared" si="4"/>
        <v>78.79168948270447</v>
      </c>
      <c r="N17" s="762"/>
      <c r="T17" s="762"/>
      <c r="V17" s="762"/>
      <c r="W17" s="762"/>
      <c r="X17" s="762"/>
      <c r="Y17" s="762"/>
      <c r="Z17" s="762"/>
      <c r="AA17" s="762"/>
      <c r="AB17" s="762"/>
      <c r="AC17" s="762"/>
      <c r="AD17" s="762"/>
      <c r="AF17" s="762"/>
      <c r="AG17" s="762"/>
      <c r="AH17" s="762"/>
      <c r="AI17" s="762"/>
      <c r="AJ17" s="762"/>
      <c r="AK17" s="762"/>
      <c r="AL17" s="762"/>
      <c r="AM17" s="762"/>
      <c r="AN17" s="762"/>
      <c r="AW17" s="762"/>
      <c r="AX17" s="762"/>
      <c r="AY17" s="762"/>
      <c r="AZ17" s="762"/>
      <c r="BA17" s="762"/>
      <c r="BC17" s="762"/>
      <c r="BD17" s="762"/>
      <c r="BE17" s="762"/>
      <c r="BF17" s="762"/>
      <c r="BG17" s="762"/>
      <c r="BH17" s="762"/>
      <c r="BI17" s="762"/>
      <c r="BJ17" s="762"/>
      <c r="BK17" s="762"/>
      <c r="BM17" s="762"/>
      <c r="BN17" s="762"/>
      <c r="BO17" s="762"/>
      <c r="BP17" s="762"/>
      <c r="BQ17" s="762"/>
      <c r="BR17" s="762"/>
      <c r="BS17" s="762"/>
      <c r="BT17" s="762"/>
      <c r="BU17" s="762"/>
      <c r="BW17" s="762"/>
      <c r="BX17" s="762"/>
      <c r="BY17" s="762"/>
      <c r="BZ17" s="762"/>
      <c r="CA17" s="762"/>
      <c r="CB17" s="762"/>
      <c r="CC17" s="762"/>
      <c r="CD17" s="762"/>
      <c r="CE17" s="762"/>
      <c r="CG17" s="762"/>
      <c r="CH17" s="762"/>
    </row>
    <row r="18" spans="1:86" ht="14.4">
      <c r="A18" s="760" t="s">
        <v>1376</v>
      </c>
      <c r="B18" s="759">
        <v>21.163971567999994</v>
      </c>
      <c r="C18" s="762">
        <v>21.163971567999994</v>
      </c>
      <c r="D18" s="762">
        <v>21.163971567999994</v>
      </c>
      <c r="E18" s="762">
        <v>21.163971567999994</v>
      </c>
      <c r="F18" s="762">
        <v>21.163971567999994</v>
      </c>
      <c r="G18" s="762"/>
      <c r="H18" s="760" t="s">
        <v>1376</v>
      </c>
      <c r="I18" s="759">
        <f t="shared" si="0"/>
        <v>157.85571473424156</v>
      </c>
      <c r="J18" s="762">
        <f t="shared" si="1"/>
        <v>157.85571473424156</v>
      </c>
      <c r="K18" s="762">
        <f t="shared" si="2"/>
        <v>157.85571473424156</v>
      </c>
      <c r="L18" s="762">
        <f t="shared" si="3"/>
        <v>157.85571473424156</v>
      </c>
      <c r="M18" s="762">
        <f t="shared" si="4"/>
        <v>157.85571473424156</v>
      </c>
      <c r="N18" s="762"/>
      <c r="T18" s="762"/>
      <c r="V18" s="762"/>
      <c r="W18" s="762"/>
      <c r="X18" s="762"/>
      <c r="Y18" s="762"/>
      <c r="Z18" s="762"/>
      <c r="AA18" s="762"/>
      <c r="AB18" s="762"/>
      <c r="AC18" s="762"/>
      <c r="AD18" s="762"/>
      <c r="AF18" s="762"/>
      <c r="AG18" s="762"/>
      <c r="AH18" s="762"/>
      <c r="AI18" s="762"/>
      <c r="AJ18" s="762"/>
      <c r="AK18" s="762"/>
      <c r="AL18" s="762"/>
      <c r="AM18" s="762"/>
      <c r="AN18" s="762"/>
      <c r="AW18" s="762"/>
      <c r="AX18" s="762"/>
      <c r="AY18" s="762"/>
      <c r="AZ18" s="762"/>
      <c r="BA18" s="762"/>
      <c r="BC18" s="762"/>
      <c r="BD18" s="762"/>
      <c r="BE18" s="762"/>
      <c r="BF18" s="762"/>
      <c r="BG18" s="762"/>
      <c r="BH18" s="762"/>
      <c r="BI18" s="762"/>
      <c r="BJ18" s="762"/>
      <c r="BK18" s="762"/>
      <c r="BM18" s="762"/>
      <c r="BN18" s="762"/>
      <c r="BO18" s="762"/>
      <c r="BP18" s="762"/>
      <c r="BQ18" s="762"/>
      <c r="BR18" s="762"/>
      <c r="BS18" s="762"/>
      <c r="BT18" s="762"/>
      <c r="BU18" s="762"/>
      <c r="BW18" s="762"/>
      <c r="BX18" s="762"/>
      <c r="BY18" s="762"/>
      <c r="BZ18" s="762"/>
      <c r="CA18" s="762"/>
      <c r="CB18" s="762"/>
      <c r="CC18" s="762"/>
      <c r="CD18" s="762"/>
      <c r="CE18" s="762"/>
      <c r="CG18" s="762"/>
      <c r="CH18" s="762"/>
    </row>
    <row r="19" spans="1:86" ht="14.4">
      <c r="A19" s="761" t="s">
        <v>1375</v>
      </c>
      <c r="B19" s="759">
        <v>24.987825904000008</v>
      </c>
      <c r="C19" s="759">
        <v>24.987825904000008</v>
      </c>
      <c r="D19" s="759">
        <v>24.987825904000008</v>
      </c>
      <c r="E19" s="762">
        <v>24.987825904000008</v>
      </c>
      <c r="F19" s="762">
        <v>24.987825904000008</v>
      </c>
      <c r="G19" s="762"/>
      <c r="H19" s="761" t="s">
        <v>1375</v>
      </c>
      <c r="I19" s="759">
        <f t="shared" si="0"/>
        <v>186.37669707016488</v>
      </c>
      <c r="J19" s="762">
        <f t="shared" si="1"/>
        <v>186.37669707016488</v>
      </c>
      <c r="K19" s="762">
        <f t="shared" si="2"/>
        <v>186.37669707016488</v>
      </c>
      <c r="L19" s="762">
        <f t="shared" si="3"/>
        <v>186.37669707016488</v>
      </c>
      <c r="M19" s="762">
        <f t="shared" si="4"/>
        <v>186.37669707016488</v>
      </c>
      <c r="N19" s="762"/>
      <c r="P19" s="758"/>
      <c r="Q19" s="758"/>
      <c r="R19" s="758"/>
      <c r="S19" s="758"/>
      <c r="T19" s="758"/>
      <c r="U19" s="758"/>
      <c r="V19" s="758"/>
      <c r="W19" s="758"/>
      <c r="X19" s="758"/>
      <c r="Y19" s="758"/>
      <c r="Z19" s="762"/>
      <c r="AA19" s="762"/>
      <c r="AB19" s="762"/>
      <c r="AC19" s="762"/>
      <c r="AD19" s="762"/>
      <c r="AF19" s="762"/>
      <c r="AG19" s="762"/>
      <c r="AH19" s="762"/>
      <c r="AI19" s="762"/>
      <c r="AJ19" s="762"/>
      <c r="AK19" s="762"/>
      <c r="AL19" s="762"/>
      <c r="AM19" s="762"/>
      <c r="AN19" s="762"/>
      <c r="AW19" s="762"/>
      <c r="AX19" s="762"/>
      <c r="AY19" s="762"/>
      <c r="AZ19" s="762"/>
      <c r="BA19" s="762"/>
      <c r="BC19" s="762"/>
      <c r="BD19" s="762"/>
      <c r="BE19" s="762"/>
      <c r="BF19" s="762"/>
      <c r="BG19" s="762"/>
      <c r="BH19" s="762"/>
      <c r="BI19" s="762"/>
      <c r="BJ19" s="762"/>
      <c r="BK19" s="762"/>
      <c r="BM19" s="762"/>
      <c r="BN19" s="762"/>
      <c r="BO19" s="762"/>
      <c r="BP19" s="762"/>
      <c r="BQ19" s="762"/>
      <c r="BR19" s="762"/>
      <c r="BS19" s="762"/>
      <c r="BT19" s="762"/>
      <c r="BU19" s="762"/>
      <c r="BW19" s="762"/>
      <c r="BX19" s="762"/>
      <c r="BY19" s="762"/>
      <c r="BZ19" s="762"/>
      <c r="CA19" s="762"/>
      <c r="CB19" s="762"/>
      <c r="CC19" s="762"/>
      <c r="CD19" s="762"/>
      <c r="CE19" s="762"/>
      <c r="CG19" s="762"/>
      <c r="CH19" s="762"/>
    </row>
    <row r="20" spans="1:86" ht="14.4">
      <c r="A20" s="760" t="s">
        <v>1374</v>
      </c>
      <c r="B20" s="759">
        <v>16.120267867000003</v>
      </c>
      <c r="C20" s="762">
        <v>9.4534176639999945</v>
      </c>
      <c r="D20" s="762">
        <v>16.262998540999998</v>
      </c>
      <c r="E20" s="762">
        <v>15.975877534000002</v>
      </c>
      <c r="F20" s="762">
        <v>15.690416185999997</v>
      </c>
      <c r="G20" s="762"/>
      <c r="H20" s="760" t="s">
        <v>1374</v>
      </c>
      <c r="I20" s="759">
        <f t="shared" si="0"/>
        <v>120.23624193959293</v>
      </c>
      <c r="J20" s="762">
        <f t="shared" si="1"/>
        <v>70.510206330476763</v>
      </c>
      <c r="K20" s="762">
        <f t="shared" si="2"/>
        <v>121.30082721775669</v>
      </c>
      <c r="L20" s="762">
        <f t="shared" si="3"/>
        <v>119.15927776284582</v>
      </c>
      <c r="M20" s="762">
        <f t="shared" si="4"/>
        <v>117.03010720651818</v>
      </c>
      <c r="N20" s="762"/>
      <c r="P20" s="758"/>
      <c r="Q20" s="758"/>
      <c r="R20" s="758"/>
      <c r="S20" s="758"/>
      <c r="T20" s="758"/>
      <c r="U20" s="758"/>
      <c r="V20" s="758"/>
      <c r="W20" s="758"/>
      <c r="X20" s="758"/>
      <c r="Y20" s="758"/>
      <c r="Z20" s="762"/>
      <c r="AA20" s="762"/>
      <c r="AB20" s="762"/>
      <c r="AC20" s="762"/>
      <c r="AD20" s="762"/>
      <c r="AF20" s="762"/>
      <c r="AG20" s="762"/>
      <c r="AH20" s="762"/>
      <c r="AI20" s="762"/>
      <c r="AJ20" s="762"/>
      <c r="AK20" s="762"/>
      <c r="AL20" s="762"/>
      <c r="AM20" s="762"/>
      <c r="AN20" s="762"/>
      <c r="AW20" s="762"/>
      <c r="AX20" s="762"/>
      <c r="AY20" s="762"/>
      <c r="AZ20" s="762"/>
      <c r="BA20" s="762"/>
      <c r="BC20" s="762"/>
      <c r="BD20" s="762"/>
      <c r="BE20" s="762"/>
      <c r="BF20" s="762"/>
      <c r="BG20" s="762"/>
      <c r="BH20" s="762"/>
      <c r="BI20" s="762"/>
      <c r="BJ20" s="762"/>
      <c r="BK20" s="762"/>
      <c r="BM20" s="762"/>
      <c r="BN20" s="762"/>
      <c r="BO20" s="762"/>
      <c r="BP20" s="762"/>
      <c r="BQ20" s="762"/>
      <c r="BR20" s="762"/>
      <c r="BS20" s="762"/>
      <c r="BT20" s="762"/>
      <c r="BU20" s="762"/>
      <c r="BW20" s="762"/>
      <c r="BX20" s="762"/>
      <c r="BY20" s="762"/>
      <c r="BZ20" s="762"/>
      <c r="CA20" s="762"/>
      <c r="CB20" s="762"/>
      <c r="CC20" s="762"/>
      <c r="CD20" s="762"/>
      <c r="CE20" s="762"/>
      <c r="CG20" s="762"/>
      <c r="CH20" s="762"/>
    </row>
    <row r="21" spans="1:86" ht="14.4">
      <c r="A21" s="761" t="s">
        <v>1373</v>
      </c>
      <c r="B21" s="759">
        <v>2.5724714499999992</v>
      </c>
      <c r="C21" s="762">
        <v>1.5385038929999995</v>
      </c>
      <c r="D21" s="762">
        <v>2.0695947729999999</v>
      </c>
      <c r="E21" s="762">
        <v>2.0181453439999992</v>
      </c>
      <c r="F21" s="762">
        <v>1.966695915000001</v>
      </c>
      <c r="G21" s="762"/>
      <c r="H21" s="761" t="s">
        <v>1373</v>
      </c>
      <c r="I21" s="759">
        <f t="shared" si="0"/>
        <v>19.187292804114996</v>
      </c>
      <c r="J21" s="762">
        <f t="shared" si="1"/>
        <v>11.475238986719097</v>
      </c>
      <c r="K21" s="762">
        <f t="shared" si="2"/>
        <v>15.436486533375101</v>
      </c>
      <c r="L21" s="762">
        <f t="shared" si="3"/>
        <v>15.052740677292794</v>
      </c>
      <c r="M21" s="762">
        <f t="shared" si="4"/>
        <v>14.668994821210507</v>
      </c>
      <c r="N21" s="762"/>
      <c r="P21" s="758"/>
      <c r="Q21" s="758"/>
      <c r="R21" s="758"/>
      <c r="S21" s="758"/>
      <c r="T21" s="758"/>
      <c r="U21" s="758"/>
      <c r="V21" s="758"/>
      <c r="W21" s="758"/>
      <c r="X21" s="758"/>
      <c r="Y21" s="758"/>
      <c r="Z21" s="762"/>
      <c r="AA21" s="762"/>
      <c r="AB21" s="762"/>
      <c r="AC21" s="762"/>
      <c r="AD21" s="762"/>
      <c r="AF21" s="762"/>
      <c r="AG21" s="762"/>
      <c r="AH21" s="762"/>
      <c r="AI21" s="762"/>
      <c r="AJ21" s="762"/>
      <c r="AK21" s="762"/>
      <c r="AL21" s="762"/>
      <c r="AM21" s="762"/>
      <c r="AN21" s="762"/>
      <c r="AW21" s="762"/>
      <c r="AX21" s="762"/>
      <c r="AY21" s="762"/>
      <c r="AZ21" s="762"/>
      <c r="BA21" s="762"/>
      <c r="BC21" s="762"/>
      <c r="BD21" s="762"/>
      <c r="BE21" s="762"/>
      <c r="BF21" s="762"/>
      <c r="BG21" s="762"/>
      <c r="BH21" s="762"/>
      <c r="BI21" s="762"/>
      <c r="BJ21" s="762"/>
      <c r="BK21" s="762"/>
      <c r="BM21" s="762"/>
      <c r="BN21" s="762"/>
      <c r="BO21" s="762"/>
      <c r="BP21" s="762"/>
      <c r="BQ21" s="762"/>
      <c r="BR21" s="762"/>
      <c r="BS21" s="762"/>
      <c r="BT21" s="762"/>
      <c r="BU21" s="762"/>
      <c r="BW21" s="762"/>
      <c r="BX21" s="762"/>
      <c r="BY21" s="762"/>
      <c r="BZ21" s="762"/>
      <c r="CA21" s="762"/>
      <c r="CB21" s="762"/>
      <c r="CC21" s="762"/>
      <c r="CD21" s="762"/>
      <c r="CE21" s="762"/>
      <c r="CG21" s="762"/>
      <c r="CH21" s="762"/>
    </row>
    <row r="22" spans="1:86" ht="14.4">
      <c r="A22" s="760" t="s">
        <v>1372</v>
      </c>
      <c r="B22" s="759">
        <v>2.5724714499999992</v>
      </c>
      <c r="C22" s="762">
        <v>1.5385038929999995</v>
      </c>
      <c r="D22" s="762">
        <v>2.0695947729999999</v>
      </c>
      <c r="E22" s="762">
        <v>2.0181453439999992</v>
      </c>
      <c r="F22" s="762">
        <v>1.966695915000001</v>
      </c>
      <c r="G22" s="762"/>
      <c r="H22" s="760" t="s">
        <v>1372</v>
      </c>
      <c r="I22" s="759">
        <f t="shared" si="0"/>
        <v>19.187292804114996</v>
      </c>
      <c r="J22" s="762">
        <f t="shared" si="1"/>
        <v>11.475238986719097</v>
      </c>
      <c r="K22" s="762">
        <f t="shared" si="2"/>
        <v>15.436486533375101</v>
      </c>
      <c r="L22" s="762">
        <f t="shared" si="3"/>
        <v>15.052740677292794</v>
      </c>
      <c r="M22" s="762">
        <f t="shared" si="4"/>
        <v>14.668994821210507</v>
      </c>
      <c r="N22" s="762"/>
      <c r="P22" s="758"/>
      <c r="Q22" s="758"/>
      <c r="R22" s="758"/>
      <c r="S22" s="758"/>
      <c r="T22" s="758"/>
      <c r="U22" s="758"/>
      <c r="V22" s="758"/>
      <c r="W22" s="758"/>
      <c r="X22" s="758"/>
      <c r="Y22" s="758"/>
      <c r="Z22" s="762"/>
      <c r="AA22" s="762"/>
      <c r="AB22" s="762"/>
      <c r="AC22" s="762"/>
      <c r="AD22" s="762"/>
      <c r="AF22" s="762"/>
      <c r="AG22" s="762"/>
      <c r="AH22" s="762"/>
      <c r="AI22" s="762"/>
      <c r="AJ22" s="762"/>
      <c r="AK22" s="762"/>
      <c r="AL22" s="762"/>
      <c r="AM22" s="762"/>
      <c r="AN22" s="762"/>
      <c r="AW22" s="762"/>
      <c r="AX22" s="762"/>
      <c r="AY22" s="762"/>
      <c r="AZ22" s="762"/>
      <c r="BA22" s="762"/>
      <c r="BC22" s="762"/>
      <c r="BD22" s="762"/>
      <c r="BE22" s="762"/>
      <c r="BF22" s="762"/>
      <c r="BG22" s="762"/>
      <c r="BH22" s="762"/>
      <c r="BI22" s="762"/>
      <c r="BJ22" s="762"/>
      <c r="BK22" s="762"/>
      <c r="BM22" s="762"/>
      <c r="BN22" s="762"/>
      <c r="BO22" s="762"/>
      <c r="BP22" s="762"/>
      <c r="BQ22" s="762"/>
      <c r="BR22" s="762"/>
      <c r="BS22" s="762"/>
      <c r="BT22" s="762"/>
      <c r="BU22" s="762"/>
      <c r="BW22" s="762"/>
      <c r="BX22" s="762"/>
      <c r="BY22" s="762"/>
      <c r="BZ22" s="762"/>
      <c r="CA22" s="762"/>
      <c r="CB22" s="762"/>
      <c r="CC22" s="762"/>
      <c r="CD22" s="762"/>
      <c r="CE22" s="762"/>
      <c r="CG22" s="762"/>
      <c r="CH22" s="762"/>
    </row>
    <row r="23" spans="1:86" ht="14.4">
      <c r="A23" s="761" t="s">
        <v>1371</v>
      </c>
      <c r="B23" s="759">
        <v>12.206791945000008</v>
      </c>
      <c r="C23" s="762">
        <v>5.5382820830000039</v>
      </c>
      <c r="D23" s="762">
        <v>12.347862959999992</v>
      </c>
      <c r="E23" s="762">
        <v>12.06240161199999</v>
      </c>
      <c r="F23" s="762">
        <v>11.775280604999994</v>
      </c>
      <c r="G23" s="762"/>
      <c r="H23" s="761" t="s">
        <v>1371</v>
      </c>
      <c r="I23" s="759">
        <f t="shared" si="0"/>
        <v>91.046799080171567</v>
      </c>
      <c r="J23" s="762">
        <f t="shared" si="1"/>
        <v>41.308384572472129</v>
      </c>
      <c r="K23" s="762">
        <f t="shared" si="2"/>
        <v>92.099005459751936</v>
      </c>
      <c r="L23" s="762">
        <f t="shared" si="3"/>
        <v>89.969834903424328</v>
      </c>
      <c r="M23" s="762">
        <f t="shared" si="4"/>
        <v>87.828285448513455</v>
      </c>
      <c r="N23" s="762"/>
      <c r="P23" s="758"/>
      <c r="Q23" s="758"/>
      <c r="R23" s="758"/>
      <c r="S23" s="758"/>
      <c r="T23" s="758"/>
      <c r="U23" s="758"/>
      <c r="V23" s="758"/>
      <c r="W23" s="758"/>
      <c r="X23" s="758"/>
      <c r="Y23" s="758"/>
      <c r="Z23" s="762"/>
      <c r="AA23" s="762"/>
      <c r="AB23" s="762"/>
      <c r="AC23" s="762"/>
      <c r="AD23" s="762"/>
      <c r="AF23" s="762"/>
      <c r="AG23" s="762"/>
      <c r="AH23" s="762"/>
      <c r="AI23" s="762"/>
      <c r="AJ23" s="762"/>
      <c r="AK23" s="762"/>
      <c r="AL23" s="762"/>
      <c r="AM23" s="762"/>
      <c r="AN23" s="762"/>
      <c r="AW23" s="762"/>
      <c r="AX23" s="762"/>
      <c r="AY23" s="762"/>
      <c r="AZ23" s="762"/>
      <c r="BA23" s="762"/>
      <c r="BC23" s="762"/>
      <c r="BD23" s="762"/>
      <c r="BE23" s="762"/>
      <c r="BF23" s="762"/>
      <c r="BG23" s="762"/>
      <c r="BH23" s="762"/>
      <c r="BI23" s="762"/>
      <c r="BJ23" s="762"/>
      <c r="BK23" s="762"/>
      <c r="BM23" s="762"/>
      <c r="BN23" s="762"/>
      <c r="BO23" s="762"/>
      <c r="BP23" s="762"/>
      <c r="BQ23" s="762"/>
      <c r="BR23" s="762"/>
      <c r="BS23" s="762"/>
      <c r="BT23" s="762"/>
      <c r="BU23" s="762"/>
      <c r="BW23" s="762"/>
      <c r="BX23" s="762"/>
      <c r="BY23" s="762"/>
      <c r="BZ23" s="762"/>
      <c r="CA23" s="762"/>
      <c r="CB23" s="762"/>
      <c r="CC23" s="762"/>
      <c r="CD23" s="762"/>
      <c r="CE23" s="762"/>
      <c r="CG23" s="762"/>
      <c r="CH23" s="762"/>
    </row>
    <row r="24" spans="1:86" ht="14.4">
      <c r="A24" s="760" t="s">
        <v>1370</v>
      </c>
      <c r="B24" s="759">
        <v>6.3564939700000016</v>
      </c>
      <c r="C24" s="762">
        <v>6.3681115830000001</v>
      </c>
      <c r="D24" s="762">
        <v>8.5173699879999916</v>
      </c>
      <c r="E24" s="762">
        <v>10.414360224999998</v>
      </c>
      <c r="F24" s="762">
        <v>10.990261897999991</v>
      </c>
      <c r="G24" s="762"/>
      <c r="H24" s="760" t="s">
        <v>1370</v>
      </c>
      <c r="I24" s="759">
        <f t="shared" si="0"/>
        <v>47.411181574039013</v>
      </c>
      <c r="J24" s="762">
        <f t="shared" si="1"/>
        <v>47.4978338641221</v>
      </c>
      <c r="K24" s="762">
        <f t="shared" si="2"/>
        <v>63.528507529495542</v>
      </c>
      <c r="L24" s="762">
        <f t="shared" si="3"/>
        <v>77.677588610207479</v>
      </c>
      <c r="M24" s="762">
        <f t="shared" si="4"/>
        <v>81.973066418612532</v>
      </c>
      <c r="N24" s="762"/>
      <c r="P24" s="758"/>
      <c r="Q24" s="758"/>
      <c r="R24" s="758"/>
      <c r="S24" s="758"/>
      <c r="T24" s="758"/>
      <c r="U24" s="758"/>
      <c r="V24" s="758"/>
      <c r="W24" s="758"/>
      <c r="X24" s="758"/>
      <c r="Y24" s="758"/>
      <c r="Z24" s="762"/>
      <c r="AA24" s="762"/>
      <c r="AB24" s="762"/>
      <c r="AC24" s="762"/>
      <c r="AD24" s="762"/>
      <c r="AF24" s="762"/>
      <c r="AG24" s="762"/>
      <c r="AH24" s="762"/>
      <c r="AI24" s="762"/>
      <c r="AJ24" s="762"/>
      <c r="AK24" s="762"/>
      <c r="AL24" s="762"/>
      <c r="AM24" s="762"/>
      <c r="AN24" s="762"/>
      <c r="AW24" s="762"/>
      <c r="AX24" s="762"/>
      <c r="AY24" s="762"/>
      <c r="AZ24" s="762"/>
      <c r="BA24" s="762"/>
      <c r="BC24" s="762"/>
      <c r="BD24" s="762"/>
      <c r="BE24" s="762"/>
      <c r="BF24" s="762"/>
      <c r="BG24" s="762"/>
      <c r="BH24" s="762"/>
      <c r="BI24" s="762"/>
      <c r="BJ24" s="762"/>
      <c r="BK24" s="762"/>
      <c r="BM24" s="762"/>
      <c r="BN24" s="762"/>
      <c r="BO24" s="762"/>
      <c r="BP24" s="762"/>
      <c r="BQ24" s="762"/>
      <c r="BR24" s="762"/>
      <c r="BS24" s="762"/>
      <c r="BT24" s="762"/>
      <c r="BU24" s="762"/>
      <c r="BW24" s="762"/>
      <c r="BX24" s="762"/>
      <c r="BY24" s="762"/>
      <c r="BZ24" s="762"/>
      <c r="CA24" s="762"/>
      <c r="CB24" s="762"/>
      <c r="CC24" s="762"/>
      <c r="CD24" s="762"/>
      <c r="CE24" s="762"/>
      <c r="CG24" s="762"/>
      <c r="CH24" s="762"/>
    </row>
    <row r="25" spans="1:86" ht="14.4">
      <c r="A25" s="761" t="s">
        <v>1369</v>
      </c>
      <c r="B25" s="759">
        <v>16.120267867000003</v>
      </c>
      <c r="C25" s="762">
        <v>9.4534176639999945</v>
      </c>
      <c r="D25" s="762">
        <v>16.262998540999998</v>
      </c>
      <c r="E25" s="762">
        <v>15.975877534000002</v>
      </c>
      <c r="F25" s="762">
        <v>15.690416185999997</v>
      </c>
      <c r="G25" s="762"/>
      <c r="H25" s="761" t="s">
        <v>1369</v>
      </c>
      <c r="I25" s="759">
        <f t="shared" si="0"/>
        <v>120.23624193959293</v>
      </c>
      <c r="J25" s="762">
        <f t="shared" si="1"/>
        <v>70.510206330476763</v>
      </c>
      <c r="K25" s="762">
        <f t="shared" si="2"/>
        <v>121.30082721775669</v>
      </c>
      <c r="L25" s="762">
        <f t="shared" si="3"/>
        <v>119.15927776284582</v>
      </c>
      <c r="M25" s="762">
        <f t="shared" si="4"/>
        <v>117.03010720651818</v>
      </c>
      <c r="N25" s="762"/>
      <c r="P25" s="758"/>
      <c r="Q25" s="758"/>
      <c r="R25" s="758"/>
      <c r="S25" s="758"/>
      <c r="T25" s="758"/>
      <c r="U25" s="758"/>
      <c r="V25" s="758"/>
      <c r="W25" s="758"/>
      <c r="X25" s="758"/>
      <c r="Y25" s="758"/>
      <c r="Z25" s="762"/>
      <c r="AA25" s="762"/>
      <c r="AB25" s="762"/>
      <c r="AC25" s="762"/>
      <c r="AD25" s="762"/>
      <c r="AF25" s="762"/>
      <c r="AG25" s="762"/>
      <c r="AH25" s="762"/>
      <c r="AI25" s="762"/>
      <c r="AJ25" s="762"/>
      <c r="AK25" s="762"/>
      <c r="AL25" s="762"/>
      <c r="AM25" s="762"/>
      <c r="AN25" s="762"/>
      <c r="AW25" s="762"/>
      <c r="AX25" s="762"/>
      <c r="AY25" s="762"/>
      <c r="AZ25" s="762"/>
      <c r="BA25" s="762"/>
      <c r="BC25" s="762"/>
      <c r="BD25" s="762"/>
      <c r="BE25" s="762"/>
      <c r="BF25" s="762"/>
      <c r="BG25" s="762"/>
      <c r="BH25" s="762"/>
      <c r="BI25" s="762"/>
      <c r="BJ25" s="762"/>
      <c r="BK25" s="762"/>
      <c r="BM25" s="762"/>
      <c r="BN25" s="762"/>
      <c r="BO25" s="762"/>
      <c r="BP25" s="762"/>
      <c r="BQ25" s="762"/>
      <c r="BR25" s="762"/>
      <c r="BS25" s="762"/>
      <c r="BT25" s="762"/>
      <c r="BU25" s="762"/>
      <c r="BW25" s="762"/>
      <c r="BX25" s="762"/>
      <c r="BY25" s="762"/>
      <c r="BZ25" s="762"/>
      <c r="CA25" s="762"/>
      <c r="CB25" s="762"/>
      <c r="CC25" s="762"/>
      <c r="CD25" s="762"/>
      <c r="CE25" s="762"/>
      <c r="CG25" s="762"/>
      <c r="CH25" s="762"/>
    </row>
    <row r="26" spans="1:86" ht="14.4">
      <c r="A26" s="760" t="s">
        <v>1368</v>
      </c>
      <c r="B26" s="759">
        <v>1.2862357249999996</v>
      </c>
      <c r="C26" s="762">
        <v>0.76842211700000007</v>
      </c>
      <c r="D26" s="762">
        <v>1.0356272160000008</v>
      </c>
      <c r="E26" s="762">
        <v>1.0090726719999996</v>
      </c>
      <c r="F26" s="762">
        <v>0.98251812799999971</v>
      </c>
      <c r="G26" s="762"/>
      <c r="H26" s="760" t="s">
        <v>1368</v>
      </c>
      <c r="I26" s="759">
        <f t="shared" si="0"/>
        <v>9.5936464020574981</v>
      </c>
      <c r="J26" s="762">
        <f t="shared" si="1"/>
        <v>5.7314300440679009</v>
      </c>
      <c r="K26" s="762">
        <f t="shared" si="2"/>
        <v>7.7244327159792068</v>
      </c>
      <c r="L26" s="762">
        <f t="shared" si="3"/>
        <v>7.5263703386463972</v>
      </c>
      <c r="M26" s="762">
        <f t="shared" si="4"/>
        <v>7.3283079613135982</v>
      </c>
      <c r="N26" s="762"/>
      <c r="P26" s="758"/>
      <c r="Q26" s="758"/>
      <c r="R26" s="758"/>
      <c r="S26" s="758"/>
      <c r="T26" s="758"/>
      <c r="U26" s="758"/>
      <c r="V26" s="758"/>
      <c r="W26" s="758"/>
      <c r="X26" s="758"/>
      <c r="Y26" s="758"/>
      <c r="Z26" s="762"/>
      <c r="AA26" s="762"/>
      <c r="AB26" s="762"/>
      <c r="AC26" s="762"/>
      <c r="AD26" s="762"/>
      <c r="AF26" s="762"/>
      <c r="AG26" s="762"/>
      <c r="AH26" s="762"/>
      <c r="AI26" s="762"/>
      <c r="AJ26" s="762"/>
      <c r="AK26" s="762"/>
      <c r="AL26" s="762"/>
      <c r="AM26" s="762"/>
      <c r="AN26" s="762"/>
      <c r="AW26" s="762"/>
      <c r="AX26" s="762"/>
      <c r="AY26" s="762"/>
      <c r="AZ26" s="762"/>
      <c r="BA26" s="762"/>
      <c r="BC26" s="762"/>
      <c r="BD26" s="762"/>
      <c r="BE26" s="762"/>
      <c r="BF26" s="762"/>
      <c r="BG26" s="762"/>
      <c r="BH26" s="762"/>
      <c r="BI26" s="762"/>
      <c r="BJ26" s="762"/>
      <c r="BK26" s="762"/>
      <c r="BM26" s="762"/>
      <c r="BN26" s="762"/>
      <c r="BO26" s="762"/>
      <c r="BP26" s="762"/>
      <c r="BQ26" s="762"/>
      <c r="BR26" s="762"/>
      <c r="BS26" s="762"/>
      <c r="BT26" s="762"/>
      <c r="BU26" s="762"/>
      <c r="BW26" s="762"/>
      <c r="BX26" s="762"/>
      <c r="BY26" s="762"/>
      <c r="BZ26" s="762"/>
      <c r="CA26" s="762"/>
      <c r="CB26" s="762"/>
      <c r="CC26" s="762"/>
      <c r="CD26" s="762"/>
      <c r="CE26" s="762"/>
      <c r="CG26" s="762"/>
      <c r="CH26" s="762"/>
    </row>
    <row r="27" spans="1:86" ht="14.4">
      <c r="A27" s="760" t="s">
        <v>1367</v>
      </c>
      <c r="B27" s="759">
        <v>-3.259066353073965</v>
      </c>
      <c r="C27" s="762">
        <v>-3.259066353073965</v>
      </c>
      <c r="D27" s="762">
        <v>-3.259066353073965</v>
      </c>
      <c r="E27" s="762">
        <v>-3.259066353073965</v>
      </c>
      <c r="F27" s="762">
        <v>-3.259066353073965</v>
      </c>
      <c r="G27" s="762"/>
      <c r="H27" s="760" t="s">
        <v>1367</v>
      </c>
      <c r="I27" s="759">
        <f t="shared" si="0"/>
        <v>-24.308398207672784</v>
      </c>
      <c r="J27" s="762">
        <f t="shared" si="1"/>
        <v>-24.308398207672784</v>
      </c>
      <c r="K27" s="762">
        <f t="shared" si="2"/>
        <v>-24.308398207672784</v>
      </c>
      <c r="L27" s="762">
        <f t="shared" si="3"/>
        <v>-24.308398207672784</v>
      </c>
      <c r="M27" s="762">
        <f t="shared" si="4"/>
        <v>-24.308398207672784</v>
      </c>
      <c r="N27" s="762"/>
      <c r="P27" s="758"/>
      <c r="Q27" s="758"/>
      <c r="R27" s="758"/>
      <c r="S27" s="758"/>
      <c r="T27" s="758"/>
      <c r="U27" s="758"/>
      <c r="V27" s="758"/>
      <c r="W27" s="758"/>
      <c r="X27" s="758"/>
      <c r="Y27" s="758"/>
      <c r="Z27" s="762"/>
      <c r="AA27" s="762"/>
      <c r="AB27" s="762"/>
      <c r="AC27" s="762"/>
      <c r="AD27" s="762"/>
      <c r="AF27" s="762"/>
      <c r="AG27" s="762"/>
      <c r="AH27" s="762"/>
      <c r="AI27" s="762"/>
      <c r="AJ27" s="762"/>
      <c r="AK27" s="762"/>
      <c r="AL27" s="762"/>
      <c r="AM27" s="762"/>
      <c r="AN27" s="762"/>
      <c r="AW27" s="762"/>
      <c r="AX27" s="762"/>
      <c r="AY27" s="762"/>
      <c r="AZ27" s="762"/>
      <c r="BA27" s="762"/>
      <c r="BC27" s="762"/>
      <c r="BD27" s="762"/>
      <c r="BE27" s="762"/>
      <c r="BF27" s="762"/>
      <c r="BG27" s="762"/>
      <c r="BH27" s="762"/>
      <c r="BI27" s="762"/>
      <c r="BJ27" s="762"/>
      <c r="BK27" s="762"/>
      <c r="BM27" s="762"/>
      <c r="BN27" s="762"/>
      <c r="BO27" s="762"/>
      <c r="BP27" s="762"/>
      <c r="BQ27" s="762"/>
      <c r="BR27" s="762"/>
      <c r="BS27" s="762"/>
      <c r="BT27" s="762"/>
      <c r="BU27" s="762"/>
      <c r="BW27" s="762"/>
      <c r="BX27" s="762"/>
      <c r="BY27" s="762"/>
      <c r="BZ27" s="762"/>
      <c r="CA27" s="762"/>
      <c r="CB27" s="762"/>
      <c r="CC27" s="762"/>
      <c r="CD27" s="762"/>
      <c r="CE27" s="762"/>
      <c r="CG27" s="762"/>
      <c r="CH27" s="762"/>
    </row>
    <row r="28" spans="1:86" ht="14.4">
      <c r="A28" s="760" t="s">
        <v>1366</v>
      </c>
      <c r="B28" s="759">
        <v>-3.259066353073965</v>
      </c>
      <c r="C28" s="762">
        <v>-3.259066353073965</v>
      </c>
      <c r="D28" s="762">
        <v>-3.259066353073965</v>
      </c>
      <c r="E28" s="762">
        <v>-3.259066353073965</v>
      </c>
      <c r="F28" s="762">
        <v>-3.259066353073965</v>
      </c>
      <c r="G28" s="762"/>
      <c r="H28" s="760" t="s">
        <v>1366</v>
      </c>
      <c r="I28" s="759">
        <f t="shared" si="0"/>
        <v>-24.308398207672784</v>
      </c>
      <c r="J28" s="762">
        <f t="shared" si="1"/>
        <v>-24.308398207672784</v>
      </c>
      <c r="K28" s="762">
        <f t="shared" si="2"/>
        <v>-24.308398207672784</v>
      </c>
      <c r="L28" s="762">
        <f t="shared" si="3"/>
        <v>-24.308398207672784</v>
      </c>
      <c r="M28" s="762">
        <f t="shared" si="4"/>
        <v>-24.308398207672784</v>
      </c>
      <c r="N28" s="762"/>
      <c r="P28" s="758"/>
      <c r="Q28" s="758"/>
      <c r="R28" s="758"/>
      <c r="S28" s="758"/>
      <c r="T28" s="758"/>
      <c r="U28" s="758"/>
      <c r="V28" s="758"/>
      <c r="W28" s="758"/>
      <c r="X28" s="758"/>
      <c r="Y28" s="758"/>
      <c r="Z28" s="762"/>
      <c r="AA28" s="762"/>
      <c r="AB28" s="762"/>
      <c r="AC28" s="762"/>
      <c r="AD28" s="762"/>
      <c r="AF28" s="762"/>
      <c r="AG28" s="762"/>
      <c r="AH28" s="762"/>
      <c r="AI28" s="762"/>
      <c r="AJ28" s="762"/>
      <c r="AK28" s="762"/>
      <c r="AL28" s="762"/>
      <c r="AM28" s="762"/>
      <c r="AN28" s="762"/>
      <c r="AW28" s="762"/>
      <c r="AX28" s="762"/>
      <c r="AY28" s="762"/>
      <c r="AZ28" s="762"/>
      <c r="BA28" s="762"/>
      <c r="BC28" s="762"/>
      <c r="BD28" s="762"/>
      <c r="BE28" s="762"/>
      <c r="BF28" s="762"/>
      <c r="BG28" s="762"/>
      <c r="BH28" s="762"/>
      <c r="BI28" s="762"/>
      <c r="BJ28" s="762"/>
      <c r="BK28" s="762"/>
      <c r="BM28" s="762"/>
      <c r="BN28" s="762"/>
      <c r="BO28" s="762"/>
      <c r="BP28" s="762"/>
      <c r="BQ28" s="762"/>
      <c r="BR28" s="762"/>
      <c r="BS28" s="762"/>
      <c r="BT28" s="762"/>
      <c r="BU28" s="762"/>
      <c r="BW28" s="762"/>
      <c r="BX28" s="762"/>
      <c r="BY28" s="762"/>
      <c r="BZ28" s="762"/>
      <c r="CA28" s="762"/>
      <c r="CB28" s="762"/>
      <c r="CC28" s="762"/>
      <c r="CD28" s="762"/>
      <c r="CE28" s="762"/>
      <c r="CG28" s="762"/>
      <c r="CH28" s="762"/>
    </row>
    <row r="29" spans="1:86" ht="14.4">
      <c r="A29" s="761" t="s">
        <v>1365</v>
      </c>
      <c r="B29" s="759">
        <v>6.6142153032857101</v>
      </c>
      <c r="C29" s="762">
        <v>4.4384023542857136</v>
      </c>
      <c r="D29" s="762">
        <v>6.3802033842857115</v>
      </c>
      <c r="E29" s="762">
        <v>6.0219541344285732</v>
      </c>
      <c r="F29" s="762">
        <v>5.8877588495714264</v>
      </c>
      <c r="G29" s="762"/>
      <c r="H29" s="761" t="s">
        <v>1365</v>
      </c>
      <c r="I29" s="759">
        <f t="shared" si="0"/>
        <v>49.333447682617127</v>
      </c>
      <c r="J29" s="759">
        <f t="shared" si="1"/>
        <v>33.104711639910853</v>
      </c>
      <c r="K29" s="759">
        <f t="shared" si="2"/>
        <v>47.588022982371839</v>
      </c>
      <c r="L29" s="759">
        <f t="shared" si="3"/>
        <v>44.915949302462401</v>
      </c>
      <c r="M29" s="759">
        <f t="shared" si="4"/>
        <v>43.915026931298399</v>
      </c>
      <c r="N29" s="762"/>
      <c r="P29" s="758"/>
      <c r="Q29" s="758"/>
      <c r="R29" s="758"/>
      <c r="S29" s="758"/>
      <c r="T29" s="758"/>
      <c r="U29" s="758"/>
      <c r="V29" s="758"/>
      <c r="W29" s="758"/>
      <c r="X29" s="758"/>
      <c r="Y29" s="758"/>
      <c r="Z29" s="762"/>
      <c r="AA29" s="762"/>
      <c r="AB29" s="762"/>
      <c r="AC29" s="762"/>
      <c r="AD29" s="762"/>
      <c r="AF29" s="762"/>
      <c r="AG29" s="762"/>
      <c r="AH29" s="762"/>
      <c r="AI29" s="762"/>
      <c r="AJ29" s="762"/>
      <c r="AK29" s="762"/>
      <c r="AL29" s="762"/>
      <c r="AM29" s="762"/>
      <c r="AN29" s="762"/>
      <c r="AW29" s="759"/>
      <c r="AX29" s="759"/>
      <c r="AY29" s="759"/>
      <c r="AZ29" s="759"/>
      <c r="BA29" s="759"/>
      <c r="BC29" s="759"/>
      <c r="BD29" s="759"/>
      <c r="BE29" s="759"/>
      <c r="BF29" s="759"/>
      <c r="BG29" s="759"/>
      <c r="BH29" s="759"/>
      <c r="BI29" s="759"/>
      <c r="BJ29" s="759"/>
      <c r="BK29" s="759"/>
      <c r="BM29" s="759"/>
      <c r="BN29" s="759"/>
      <c r="BO29" s="759"/>
      <c r="BP29" s="759"/>
      <c r="BQ29" s="759"/>
      <c r="BR29" s="759"/>
      <c r="BS29" s="759"/>
      <c r="BT29" s="759"/>
      <c r="BU29" s="759"/>
      <c r="BW29" s="759"/>
      <c r="BX29" s="759"/>
      <c r="BY29" s="759"/>
      <c r="BZ29" s="759"/>
      <c r="CA29" s="759"/>
      <c r="CB29" s="759"/>
      <c r="CC29" s="759"/>
      <c r="CD29" s="759"/>
      <c r="CE29" s="759"/>
      <c r="CG29" s="762"/>
      <c r="CH29" s="762"/>
    </row>
    <row r="30" spans="1:86" ht="14.4">
      <c r="A30" s="760" t="s">
        <v>1364</v>
      </c>
      <c r="B30" s="759">
        <v>6.039499100999997</v>
      </c>
      <c r="C30" s="762">
        <v>4.0528872780000009</v>
      </c>
      <c r="D30" s="762">
        <v>5.8254030900000027</v>
      </c>
      <c r="E30" s="762">
        <v>5.4984502670000026</v>
      </c>
      <c r="F30" s="762">
        <v>5.3756355010000023</v>
      </c>
      <c r="G30" s="762"/>
      <c r="H30" s="760" t="s">
        <v>1364</v>
      </c>
      <c r="I30" s="759">
        <f t="shared" si="0"/>
        <v>45.046811944628679</v>
      </c>
      <c r="J30" s="762">
        <f t="shared" si="1"/>
        <v>30.229270340418608</v>
      </c>
      <c r="K30" s="762">
        <f t="shared" si="2"/>
        <v>43.449934027383023</v>
      </c>
      <c r="L30" s="762">
        <f t="shared" si="3"/>
        <v>41.011291006472923</v>
      </c>
      <c r="M30" s="762">
        <f t="shared" si="4"/>
        <v>40.095252511308722</v>
      </c>
      <c r="N30" s="762"/>
      <c r="P30" s="758"/>
      <c r="Q30" s="758"/>
      <c r="R30" s="758"/>
      <c r="S30" s="758"/>
      <c r="T30" s="758"/>
      <c r="U30" s="758"/>
      <c r="V30" s="758"/>
      <c r="W30" s="758"/>
      <c r="X30" s="758"/>
      <c r="Y30" s="758"/>
      <c r="Z30" s="762"/>
      <c r="AA30" s="762"/>
      <c r="AB30" s="762"/>
      <c r="AC30" s="762"/>
      <c r="AD30" s="762"/>
      <c r="AF30" s="762"/>
      <c r="AG30" s="762"/>
      <c r="AH30" s="762"/>
      <c r="AI30" s="762"/>
      <c r="AJ30" s="762"/>
      <c r="AK30" s="762"/>
      <c r="AL30" s="762"/>
      <c r="AM30" s="762"/>
      <c r="AN30" s="762"/>
      <c r="AW30" s="762"/>
      <c r="AX30" s="762"/>
      <c r="AY30" s="762"/>
      <c r="AZ30" s="762"/>
      <c r="BA30" s="762"/>
      <c r="BC30" s="762"/>
      <c r="BD30" s="762"/>
      <c r="BE30" s="762"/>
      <c r="BF30" s="762"/>
      <c r="BG30" s="762"/>
      <c r="BH30" s="762"/>
      <c r="BI30" s="762"/>
      <c r="BJ30" s="762"/>
      <c r="BK30" s="762"/>
      <c r="BM30" s="762"/>
      <c r="BN30" s="762"/>
      <c r="BO30" s="762"/>
      <c r="BP30" s="762"/>
      <c r="BQ30" s="762"/>
      <c r="BR30" s="762"/>
      <c r="BS30" s="762"/>
      <c r="BT30" s="762"/>
      <c r="BU30" s="762"/>
      <c r="BW30" s="762"/>
      <c r="BX30" s="762"/>
      <c r="BY30" s="762"/>
      <c r="BZ30" s="762"/>
      <c r="CA30" s="762"/>
      <c r="CB30" s="762"/>
      <c r="CC30" s="762"/>
      <c r="CD30" s="762"/>
      <c r="CE30" s="762"/>
      <c r="CG30" s="762"/>
      <c r="CH30" s="762"/>
    </row>
    <row r="31" spans="1:86" ht="14.4">
      <c r="A31" s="760" t="s">
        <v>1363</v>
      </c>
      <c r="B31" s="759">
        <v>0.77340109400000034</v>
      </c>
      <c r="C31" s="762">
        <v>0.77340109400000034</v>
      </c>
      <c r="D31" s="762">
        <v>0.77340109400000034</v>
      </c>
      <c r="E31" s="762">
        <v>0.77340109400000034</v>
      </c>
      <c r="F31" s="762">
        <v>0.77340109400000034</v>
      </c>
      <c r="G31" s="762"/>
      <c r="H31" s="760" t="s">
        <v>1363</v>
      </c>
      <c r="I31" s="759">
        <f t="shared" si="0"/>
        <v>5.7685667398178024</v>
      </c>
      <c r="J31" s="762">
        <f t="shared" si="1"/>
        <v>5.7685667398178024</v>
      </c>
      <c r="K31" s="762">
        <f t="shared" si="2"/>
        <v>5.7685667398178024</v>
      </c>
      <c r="L31" s="762">
        <f t="shared" si="3"/>
        <v>5.7685667398178024</v>
      </c>
      <c r="M31" s="762">
        <f t="shared" si="4"/>
        <v>5.7685667398178024</v>
      </c>
      <c r="N31" s="762"/>
      <c r="P31" s="758"/>
      <c r="Q31" s="758"/>
      <c r="R31" s="758"/>
      <c r="S31" s="758"/>
      <c r="T31" s="758"/>
      <c r="U31" s="758"/>
      <c r="V31" s="758"/>
      <c r="W31" s="758"/>
      <c r="X31" s="758"/>
      <c r="Y31" s="758"/>
      <c r="Z31" s="762"/>
      <c r="AA31" s="762"/>
      <c r="AB31" s="762"/>
      <c r="AC31" s="762"/>
      <c r="AD31" s="762"/>
      <c r="AF31" s="762"/>
      <c r="AG31" s="762"/>
      <c r="AH31" s="762"/>
      <c r="AI31" s="762"/>
      <c r="AJ31" s="762"/>
      <c r="AK31" s="762"/>
      <c r="AL31" s="762"/>
      <c r="AM31" s="762"/>
      <c r="AN31" s="762"/>
      <c r="AW31" s="762"/>
      <c r="AX31" s="762"/>
      <c r="AY31" s="762"/>
      <c r="AZ31" s="762"/>
      <c r="BA31" s="762"/>
      <c r="BC31" s="762"/>
      <c r="BD31" s="762"/>
      <c r="BE31" s="762"/>
      <c r="BF31" s="762"/>
      <c r="BG31" s="762"/>
      <c r="BH31" s="762"/>
      <c r="BI31" s="762"/>
      <c r="BJ31" s="762"/>
      <c r="BK31" s="762"/>
      <c r="BM31" s="762"/>
      <c r="BN31" s="762"/>
      <c r="BO31" s="762"/>
      <c r="BP31" s="762"/>
      <c r="BQ31" s="762"/>
      <c r="BR31" s="762"/>
      <c r="BS31" s="762"/>
      <c r="BT31" s="762"/>
      <c r="BU31" s="762"/>
      <c r="BW31" s="762"/>
      <c r="BX31" s="762"/>
      <c r="BY31" s="762"/>
      <c r="BZ31" s="762"/>
      <c r="CA31" s="762"/>
      <c r="CB31" s="762"/>
      <c r="CC31" s="762"/>
      <c r="CD31" s="762"/>
      <c r="CE31" s="762"/>
      <c r="CG31" s="762"/>
      <c r="CH31" s="762"/>
    </row>
    <row r="32" spans="1:86" ht="14.4">
      <c r="A32" s="760" t="s">
        <v>1362</v>
      </c>
      <c r="B32" s="759">
        <v>2.3666737340000013</v>
      </c>
      <c r="C32" s="762">
        <v>1.4140294680000007</v>
      </c>
      <c r="D32" s="762">
        <v>1.9036288730000008</v>
      </c>
      <c r="E32" s="762">
        <v>1.8554987620000016</v>
      </c>
      <c r="F32" s="762">
        <v>1.8090283100000009</v>
      </c>
      <c r="G32" s="762"/>
      <c r="H32" s="760" t="s">
        <v>1362</v>
      </c>
      <c r="I32" s="759">
        <f t="shared" si="0"/>
        <v>17.652309379785809</v>
      </c>
      <c r="J32" s="762">
        <f t="shared" si="1"/>
        <v>10.546821592971606</v>
      </c>
      <c r="K32" s="762">
        <f t="shared" si="2"/>
        <v>14.198596675045106</v>
      </c>
      <c r="L32" s="762">
        <f t="shared" si="3"/>
        <v>13.839608616129413</v>
      </c>
      <c r="M32" s="762">
        <f t="shared" si="4"/>
        <v>13.492999455797007</v>
      </c>
      <c r="N32" s="762"/>
      <c r="P32" s="758"/>
      <c r="Q32" s="758"/>
      <c r="R32" s="758"/>
      <c r="S32" s="758"/>
      <c r="T32" s="758"/>
      <c r="U32" s="758"/>
      <c r="V32" s="758"/>
      <c r="W32" s="758"/>
      <c r="X32" s="758"/>
      <c r="Y32" s="758"/>
      <c r="Z32" s="762"/>
      <c r="AA32" s="762"/>
      <c r="AB32" s="762"/>
      <c r="AC32" s="762"/>
      <c r="AD32" s="762"/>
      <c r="AF32" s="762"/>
      <c r="AG32" s="762"/>
      <c r="AH32" s="762"/>
      <c r="AI32" s="762"/>
      <c r="AJ32" s="762"/>
      <c r="AK32" s="762"/>
      <c r="AL32" s="762"/>
      <c r="AM32" s="762"/>
      <c r="AN32" s="762"/>
      <c r="AW32" s="762"/>
      <c r="AX32" s="762"/>
      <c r="AY32" s="762"/>
      <c r="AZ32" s="762"/>
      <c r="BA32" s="762"/>
      <c r="BC32" s="762"/>
      <c r="BD32" s="762"/>
      <c r="BE32" s="762"/>
      <c r="BF32" s="762"/>
      <c r="BG32" s="762"/>
      <c r="BH32" s="762"/>
      <c r="BI32" s="762"/>
      <c r="BJ32" s="762"/>
      <c r="BK32" s="762"/>
      <c r="BM32" s="762"/>
      <c r="BN32" s="762"/>
      <c r="BO32" s="762"/>
      <c r="BP32" s="762"/>
      <c r="BQ32" s="762"/>
      <c r="BR32" s="762"/>
      <c r="BS32" s="762"/>
      <c r="BT32" s="762"/>
      <c r="BU32" s="762"/>
      <c r="BW32" s="762"/>
      <c r="BX32" s="762"/>
      <c r="BY32" s="762"/>
      <c r="BZ32" s="762"/>
      <c r="CA32" s="762"/>
      <c r="CB32" s="762"/>
      <c r="CC32" s="762"/>
      <c r="CD32" s="762"/>
      <c r="CE32" s="762"/>
      <c r="CG32" s="762"/>
      <c r="CH32" s="762"/>
    </row>
    <row r="33" spans="1:86" ht="14.4">
      <c r="A33" s="760" t="s">
        <v>1361</v>
      </c>
      <c r="B33" s="759">
        <v>2.3666737340000013</v>
      </c>
      <c r="C33" s="762">
        <v>1.4140294680000007</v>
      </c>
      <c r="D33" s="762">
        <v>1.9036288730000008</v>
      </c>
      <c r="E33" s="762">
        <v>1.8554987620000016</v>
      </c>
      <c r="F33" s="762">
        <v>1.8090283100000009</v>
      </c>
      <c r="G33" s="762"/>
      <c r="H33" s="760" t="s">
        <v>1361</v>
      </c>
      <c r="I33" s="759">
        <f t="shared" si="0"/>
        <v>17.652309379785809</v>
      </c>
      <c r="J33" s="762">
        <f t="shared" si="1"/>
        <v>10.546821592971606</v>
      </c>
      <c r="K33" s="762">
        <f t="shared" si="2"/>
        <v>14.198596675045106</v>
      </c>
      <c r="L33" s="762">
        <f t="shared" si="3"/>
        <v>13.839608616129413</v>
      </c>
      <c r="M33" s="762">
        <f t="shared" si="4"/>
        <v>13.492999455797007</v>
      </c>
      <c r="N33" s="762"/>
      <c r="P33" s="758"/>
      <c r="Q33" s="758"/>
      <c r="R33" s="758"/>
      <c r="S33" s="758"/>
      <c r="T33" s="758"/>
      <c r="U33" s="758"/>
      <c r="V33" s="758"/>
      <c r="W33" s="758"/>
      <c r="X33" s="758"/>
      <c r="Y33" s="758"/>
      <c r="Z33" s="762"/>
      <c r="AA33" s="762"/>
      <c r="AB33" s="762"/>
      <c r="AC33" s="762"/>
      <c r="AD33" s="762"/>
      <c r="AF33" s="762"/>
      <c r="AG33" s="762"/>
      <c r="AH33" s="762"/>
      <c r="AI33" s="762"/>
      <c r="AJ33" s="762"/>
      <c r="AK33" s="762"/>
      <c r="AL33" s="762"/>
      <c r="AM33" s="762"/>
      <c r="AN33" s="762"/>
      <c r="AW33" s="762"/>
      <c r="AX33" s="762"/>
      <c r="AY33" s="762"/>
      <c r="AZ33" s="762"/>
      <c r="BA33" s="762"/>
      <c r="BC33" s="762"/>
      <c r="BD33" s="762"/>
      <c r="BE33" s="762"/>
      <c r="BF33" s="762"/>
      <c r="BG33" s="762"/>
      <c r="BH33" s="762"/>
      <c r="BI33" s="762"/>
      <c r="BJ33" s="762"/>
      <c r="BK33" s="762"/>
      <c r="BM33" s="762"/>
      <c r="BN33" s="762"/>
      <c r="BO33" s="762"/>
      <c r="BP33" s="762"/>
      <c r="BQ33" s="762"/>
      <c r="BR33" s="762"/>
      <c r="BS33" s="762"/>
      <c r="BT33" s="762"/>
      <c r="BU33" s="762"/>
      <c r="BW33" s="762"/>
      <c r="BX33" s="762"/>
      <c r="BY33" s="762"/>
      <c r="BZ33" s="762"/>
      <c r="CA33" s="762"/>
      <c r="CB33" s="762"/>
      <c r="CC33" s="762"/>
      <c r="CD33" s="762"/>
      <c r="CE33" s="762"/>
      <c r="CG33" s="762"/>
      <c r="CH33" s="762"/>
    </row>
    <row r="34" spans="1:86" ht="14.4">
      <c r="A34" s="760" t="s">
        <v>1360</v>
      </c>
      <c r="B34" s="759">
        <v>2.1575567000000002</v>
      </c>
      <c r="C34" s="762">
        <v>5.9581758100000002</v>
      </c>
      <c r="D34" s="762">
        <v>5.8585962699999952</v>
      </c>
      <c r="E34" s="762">
        <v>5.5764542400000012</v>
      </c>
      <c r="F34" s="762">
        <v>5.0785565399999966</v>
      </c>
      <c r="G34" s="762"/>
      <c r="H34" s="760" t="s">
        <v>1360</v>
      </c>
      <c r="I34" s="759">
        <f t="shared" si="0"/>
        <v>16.092568158290003</v>
      </c>
      <c r="J34" s="762">
        <f t="shared" si="1"/>
        <v>44.440245914047004</v>
      </c>
      <c r="K34" s="762">
        <f t="shared" si="2"/>
        <v>43.697511999048963</v>
      </c>
      <c r="L34" s="762">
        <f t="shared" si="3"/>
        <v>41.593099239888012</v>
      </c>
      <c r="M34" s="762">
        <f t="shared" si="4"/>
        <v>37.879429664897977</v>
      </c>
      <c r="N34" s="762"/>
      <c r="P34" s="758"/>
      <c r="Q34" s="758"/>
      <c r="R34" s="758"/>
      <c r="S34" s="758"/>
      <c r="T34" s="758"/>
      <c r="U34" s="758"/>
      <c r="V34" s="758"/>
      <c r="W34" s="758"/>
      <c r="X34" s="758"/>
      <c r="Y34" s="758"/>
      <c r="Z34" s="762"/>
      <c r="AA34" s="762"/>
      <c r="AB34" s="762"/>
      <c r="AC34" s="762"/>
      <c r="AD34" s="762"/>
      <c r="AF34" s="762"/>
      <c r="AG34" s="762"/>
      <c r="AH34" s="762"/>
      <c r="AI34" s="762"/>
      <c r="AJ34" s="762"/>
      <c r="AK34" s="762"/>
      <c r="AL34" s="762"/>
      <c r="AM34" s="762"/>
      <c r="AN34" s="762"/>
      <c r="AW34" s="762"/>
      <c r="AX34" s="762"/>
      <c r="AY34" s="762"/>
      <c r="AZ34" s="762"/>
      <c r="BA34" s="762"/>
      <c r="BC34" s="762"/>
      <c r="BD34" s="762"/>
      <c r="BE34" s="762"/>
      <c r="BF34" s="762"/>
      <c r="BG34" s="762"/>
      <c r="BH34" s="762"/>
      <c r="BI34" s="762"/>
      <c r="BJ34" s="762"/>
      <c r="BK34" s="762"/>
      <c r="BM34" s="762"/>
      <c r="BN34" s="762"/>
      <c r="BO34" s="762"/>
      <c r="BP34" s="762"/>
      <c r="BQ34" s="762"/>
      <c r="BR34" s="762"/>
      <c r="BS34" s="762"/>
      <c r="BT34" s="762"/>
      <c r="BU34" s="762"/>
      <c r="BW34" s="762"/>
      <c r="BX34" s="762"/>
      <c r="BY34" s="762"/>
      <c r="BZ34" s="762"/>
      <c r="CA34" s="762"/>
      <c r="CB34" s="762"/>
      <c r="CC34" s="762"/>
      <c r="CD34" s="762"/>
      <c r="CE34" s="762"/>
      <c r="CG34" s="762"/>
      <c r="CH34" s="762"/>
    </row>
    <row r="35" spans="1:86" ht="14.4">
      <c r="A35" s="761" t="s">
        <v>1359</v>
      </c>
      <c r="B35" s="759">
        <v>5.3955514090000039</v>
      </c>
      <c r="C35" s="762">
        <v>5.4088286809999975</v>
      </c>
      <c r="D35" s="762">
        <v>7.5580870860000005</v>
      </c>
      <c r="E35" s="762">
        <v>9.4550773230000065</v>
      </c>
      <c r="F35" s="762">
        <v>10.029319337000002</v>
      </c>
      <c r="G35" s="762"/>
      <c r="H35" s="761" t="s">
        <v>1359</v>
      </c>
      <c r="I35" s="759">
        <f t="shared" si="0"/>
        <v>40.243799294308332</v>
      </c>
      <c r="J35" s="762">
        <f t="shared" si="1"/>
        <v>40.342830482974684</v>
      </c>
      <c r="K35" s="762">
        <f t="shared" si="2"/>
        <v>56.373504148348204</v>
      </c>
      <c r="L35" s="762">
        <f t="shared" si="3"/>
        <v>70.522585229060155</v>
      </c>
      <c r="M35" s="762">
        <f t="shared" si="4"/>
        <v>74.805684138881915</v>
      </c>
      <c r="N35" s="762"/>
      <c r="P35" s="758"/>
      <c r="Q35" s="758"/>
      <c r="R35" s="758"/>
      <c r="S35" s="758"/>
      <c r="T35" s="758"/>
      <c r="U35" s="758"/>
      <c r="V35" s="758"/>
      <c r="W35" s="758"/>
      <c r="X35" s="758"/>
      <c r="Y35" s="758"/>
      <c r="Z35" s="762"/>
      <c r="AA35" s="762"/>
      <c r="AB35" s="762"/>
      <c r="AC35" s="762"/>
      <c r="AD35" s="762"/>
      <c r="AF35" s="762"/>
      <c r="AG35" s="762"/>
      <c r="AH35" s="762"/>
      <c r="AI35" s="762"/>
      <c r="AJ35" s="762"/>
      <c r="AK35" s="762"/>
      <c r="AL35" s="762"/>
      <c r="AM35" s="762"/>
      <c r="AN35" s="762"/>
      <c r="AW35" s="762"/>
      <c r="AX35" s="762"/>
      <c r="AY35" s="762"/>
      <c r="AZ35" s="762"/>
      <c r="BA35" s="762"/>
      <c r="BC35" s="762"/>
      <c r="BD35" s="762"/>
      <c r="BE35" s="762"/>
      <c r="BF35" s="762"/>
      <c r="BG35" s="762"/>
      <c r="BH35" s="762"/>
      <c r="BI35" s="762"/>
      <c r="BJ35" s="762"/>
      <c r="BK35" s="762"/>
      <c r="BM35" s="762"/>
      <c r="BN35" s="762"/>
      <c r="BO35" s="762"/>
      <c r="BP35" s="762"/>
      <c r="BQ35" s="762"/>
      <c r="BR35" s="762"/>
      <c r="BS35" s="762"/>
      <c r="BT35" s="762"/>
      <c r="BU35" s="762"/>
      <c r="BW35" s="762"/>
      <c r="BX35" s="762"/>
      <c r="BY35" s="762"/>
      <c r="BZ35" s="762"/>
      <c r="CA35" s="762"/>
      <c r="CB35" s="762"/>
      <c r="CC35" s="762"/>
      <c r="CD35" s="762"/>
      <c r="CE35" s="762"/>
      <c r="CG35" s="762"/>
      <c r="CH35" s="762"/>
    </row>
    <row r="36" spans="1:86" ht="14.4">
      <c r="A36" s="760" t="s">
        <v>1358</v>
      </c>
      <c r="B36" s="759">
        <v>5.3955514090000039</v>
      </c>
      <c r="C36" s="762">
        <v>5.4088286809999975</v>
      </c>
      <c r="D36" s="762">
        <v>7.5580870860000005</v>
      </c>
      <c r="E36" s="762">
        <v>9.4550773230000065</v>
      </c>
      <c r="F36" s="762">
        <v>10.029319337000002</v>
      </c>
      <c r="G36" s="762"/>
      <c r="H36" s="760" t="s">
        <v>1358</v>
      </c>
      <c r="I36" s="759">
        <f t="shared" si="0"/>
        <v>40.243799294308332</v>
      </c>
      <c r="J36" s="762">
        <f t="shared" si="1"/>
        <v>40.342830482974684</v>
      </c>
      <c r="K36" s="762">
        <f t="shared" si="2"/>
        <v>56.373504148348204</v>
      </c>
      <c r="L36" s="762">
        <f t="shared" si="3"/>
        <v>70.522585229060155</v>
      </c>
      <c r="M36" s="762">
        <f t="shared" si="4"/>
        <v>74.805684138881915</v>
      </c>
      <c r="N36" s="762"/>
      <c r="P36" s="758"/>
      <c r="Q36" s="758"/>
      <c r="R36" s="758"/>
      <c r="S36" s="758"/>
      <c r="T36" s="758"/>
      <c r="U36" s="758"/>
      <c r="V36" s="758"/>
      <c r="W36" s="758"/>
      <c r="X36" s="758"/>
      <c r="Y36" s="758"/>
      <c r="Z36" s="762"/>
      <c r="AA36" s="762"/>
      <c r="AB36" s="762"/>
      <c r="AC36" s="762"/>
      <c r="AD36" s="762"/>
      <c r="AF36" s="762"/>
      <c r="AG36" s="762"/>
      <c r="AH36" s="762"/>
      <c r="AI36" s="762"/>
      <c r="AJ36" s="762"/>
      <c r="AK36" s="762"/>
      <c r="AL36" s="762"/>
      <c r="AM36" s="762"/>
      <c r="AN36" s="762"/>
      <c r="AW36" s="762"/>
      <c r="AX36" s="762"/>
      <c r="AY36" s="762"/>
      <c r="AZ36" s="762"/>
      <c r="BA36" s="762"/>
      <c r="BC36" s="762"/>
      <c r="BD36" s="762"/>
      <c r="BE36" s="762"/>
      <c r="BF36" s="762"/>
      <c r="BG36" s="762"/>
      <c r="BH36" s="762"/>
      <c r="BI36" s="762"/>
      <c r="BJ36" s="762"/>
      <c r="BK36" s="762"/>
      <c r="BM36" s="762"/>
      <c r="BN36" s="762"/>
      <c r="BO36" s="762"/>
      <c r="BP36" s="762"/>
      <c r="BQ36" s="762"/>
      <c r="BR36" s="762"/>
      <c r="BS36" s="762"/>
      <c r="BT36" s="762"/>
      <c r="BU36" s="762"/>
      <c r="BW36" s="762"/>
      <c r="BX36" s="762"/>
      <c r="BY36" s="762"/>
      <c r="BZ36" s="762"/>
      <c r="CA36" s="762"/>
      <c r="CB36" s="762"/>
      <c r="CC36" s="762"/>
      <c r="CD36" s="762"/>
      <c r="CE36" s="762"/>
      <c r="CG36" s="762"/>
      <c r="CH36" s="762"/>
    </row>
    <row r="37" spans="1:86" ht="14.4">
      <c r="A37" s="760" t="s">
        <v>1357</v>
      </c>
      <c r="B37" s="759">
        <v>6.3564939700000016</v>
      </c>
      <c r="C37" s="762">
        <v>6.3681115830000001</v>
      </c>
      <c r="D37" s="762">
        <v>8.5173699879999916</v>
      </c>
      <c r="E37" s="762">
        <v>10.414360224999998</v>
      </c>
      <c r="F37" s="762">
        <v>10.990261897999991</v>
      </c>
      <c r="G37" s="762"/>
      <c r="H37" s="760" t="s">
        <v>1357</v>
      </c>
      <c r="I37" s="759">
        <f t="shared" si="0"/>
        <v>47.411181574039013</v>
      </c>
      <c r="J37" s="762">
        <f t="shared" si="1"/>
        <v>47.4978338641221</v>
      </c>
      <c r="K37" s="762">
        <f t="shared" si="2"/>
        <v>63.528507529495542</v>
      </c>
      <c r="L37" s="762">
        <f t="shared" si="3"/>
        <v>77.677588610207479</v>
      </c>
      <c r="M37" s="762">
        <f t="shared" si="4"/>
        <v>81.973066418612532</v>
      </c>
      <c r="N37" s="762"/>
      <c r="P37" s="758"/>
      <c r="Q37" s="758"/>
      <c r="R37" s="758"/>
      <c r="S37" s="758"/>
      <c r="T37" s="758"/>
      <c r="U37" s="758"/>
      <c r="V37" s="758"/>
      <c r="W37" s="758"/>
      <c r="X37" s="758"/>
      <c r="Y37" s="758"/>
      <c r="Z37" s="762"/>
      <c r="AA37" s="762"/>
      <c r="AB37" s="762"/>
      <c r="AC37" s="762"/>
      <c r="AD37" s="762"/>
      <c r="AF37" s="762"/>
      <c r="AG37" s="762"/>
      <c r="AH37" s="762"/>
      <c r="AI37" s="762"/>
      <c r="AJ37" s="762"/>
      <c r="AK37" s="762"/>
      <c r="AL37" s="762"/>
      <c r="AM37" s="762"/>
      <c r="AN37" s="762"/>
      <c r="AW37" s="762"/>
      <c r="AX37" s="762"/>
      <c r="AY37" s="762"/>
      <c r="AZ37" s="762"/>
      <c r="BA37" s="762"/>
      <c r="BC37" s="762"/>
      <c r="BD37" s="762"/>
      <c r="BE37" s="762"/>
      <c r="BF37" s="762"/>
      <c r="BG37" s="762"/>
      <c r="BH37" s="762"/>
      <c r="BI37" s="762"/>
      <c r="BJ37" s="762"/>
      <c r="BK37" s="762"/>
      <c r="BM37" s="762"/>
      <c r="BN37" s="762"/>
      <c r="BO37" s="762"/>
      <c r="BP37" s="762"/>
      <c r="BQ37" s="762"/>
      <c r="BR37" s="762"/>
      <c r="BS37" s="762"/>
      <c r="BT37" s="762"/>
      <c r="BU37" s="762"/>
      <c r="BW37" s="762"/>
      <c r="BX37" s="762"/>
      <c r="BY37" s="762"/>
      <c r="BZ37" s="762"/>
      <c r="CA37" s="762"/>
      <c r="CB37" s="762"/>
      <c r="CC37" s="762"/>
      <c r="CD37" s="762"/>
      <c r="CE37" s="762"/>
      <c r="CG37" s="762"/>
      <c r="CH37" s="762"/>
    </row>
    <row r="38" spans="1:86" ht="14.4">
      <c r="A38" s="761" t="s">
        <v>1356</v>
      </c>
      <c r="B38" s="759">
        <v>6.3564939700000016</v>
      </c>
      <c r="C38" s="762">
        <v>6.3681115830000001</v>
      </c>
      <c r="D38" s="762">
        <v>8.5173699879999916</v>
      </c>
      <c r="E38" s="762">
        <v>10.414360224999998</v>
      </c>
      <c r="F38" s="762">
        <v>10.990261897999991</v>
      </c>
      <c r="G38" s="762"/>
      <c r="H38" s="761" t="s">
        <v>1356</v>
      </c>
      <c r="I38" s="759">
        <f t="shared" si="0"/>
        <v>47.411181574039013</v>
      </c>
      <c r="J38" s="762">
        <f t="shared" si="1"/>
        <v>47.4978338641221</v>
      </c>
      <c r="K38" s="762">
        <f t="shared" si="2"/>
        <v>63.528507529495542</v>
      </c>
      <c r="L38" s="762">
        <f t="shared" si="3"/>
        <v>77.677588610207479</v>
      </c>
      <c r="M38" s="762">
        <f t="shared" si="4"/>
        <v>81.973066418612532</v>
      </c>
      <c r="N38" s="762"/>
      <c r="P38" s="758"/>
      <c r="Q38" s="758"/>
      <c r="R38" s="758"/>
      <c r="S38" s="758"/>
      <c r="T38" s="758"/>
      <c r="U38" s="758"/>
      <c r="V38" s="758"/>
      <c r="W38" s="758"/>
      <c r="X38" s="758"/>
      <c r="Y38" s="758"/>
      <c r="Z38" s="762"/>
      <c r="AA38" s="762"/>
      <c r="AB38" s="762"/>
      <c r="AC38" s="762"/>
      <c r="AD38" s="762"/>
      <c r="AF38" s="762"/>
      <c r="AG38" s="762"/>
      <c r="AH38" s="762"/>
      <c r="AI38" s="762"/>
      <c r="AJ38" s="762"/>
      <c r="AK38" s="762"/>
      <c r="AL38" s="762"/>
      <c r="AM38" s="762"/>
      <c r="AN38" s="762"/>
      <c r="AW38" s="762"/>
      <c r="AX38" s="762"/>
      <c r="AY38" s="762"/>
      <c r="AZ38" s="762"/>
      <c r="BA38" s="762"/>
      <c r="BC38" s="762"/>
      <c r="BD38" s="762"/>
      <c r="BE38" s="762"/>
      <c r="BF38" s="762"/>
      <c r="BG38" s="762"/>
      <c r="BH38" s="762"/>
      <c r="BI38" s="762"/>
      <c r="BJ38" s="762"/>
      <c r="BK38" s="762"/>
      <c r="BM38" s="762"/>
      <c r="BN38" s="762"/>
      <c r="BO38" s="762"/>
      <c r="BP38" s="762"/>
      <c r="BQ38" s="762"/>
      <c r="BR38" s="762"/>
      <c r="BS38" s="762"/>
      <c r="BT38" s="762"/>
      <c r="BU38" s="762"/>
      <c r="BW38" s="762"/>
      <c r="BX38" s="762"/>
      <c r="BY38" s="762"/>
      <c r="BZ38" s="762"/>
      <c r="CA38" s="762"/>
      <c r="CB38" s="762"/>
      <c r="CC38" s="762"/>
      <c r="CD38" s="762"/>
      <c r="CE38" s="762"/>
      <c r="CG38" s="762"/>
      <c r="CH38" s="762"/>
    </row>
    <row r="39" spans="1:86" ht="14.4">
      <c r="A39" s="761" t="s">
        <v>1355</v>
      </c>
      <c r="B39" s="759">
        <v>8.611970551000006</v>
      </c>
      <c r="C39" s="762">
        <v>8.5372858960000073</v>
      </c>
      <c r="D39" s="762">
        <v>10.567048853000003</v>
      </c>
      <c r="E39" s="762">
        <v>12.387694775999995</v>
      </c>
      <c r="F39" s="762">
        <v>12.940361223000011</v>
      </c>
      <c r="G39" s="762"/>
      <c r="H39" s="761" t="s">
        <v>1355</v>
      </c>
      <c r="I39" s="759">
        <f t="shared" si="0"/>
        <v>64.234104748743746</v>
      </c>
      <c r="J39" s="762">
        <f t="shared" si="1"/>
        <v>63.677054312495258</v>
      </c>
      <c r="K39" s="762">
        <f t="shared" si="2"/>
        <v>78.816447279871127</v>
      </c>
      <c r="L39" s="762">
        <f t="shared" si="3"/>
        <v>92.39609902575117</v>
      </c>
      <c r="M39" s="762">
        <f t="shared" si="4"/>
        <v>96.51827225399019</v>
      </c>
      <c r="N39" s="762"/>
      <c r="P39" s="758"/>
      <c r="Q39" s="758"/>
      <c r="R39" s="758"/>
      <c r="S39" s="758"/>
      <c r="T39" s="758"/>
      <c r="U39" s="758"/>
      <c r="V39" s="758"/>
      <c r="W39" s="758"/>
      <c r="X39" s="758"/>
      <c r="Y39" s="758"/>
      <c r="Z39" s="762"/>
      <c r="AA39" s="762"/>
      <c r="AB39" s="762"/>
      <c r="AC39" s="762"/>
      <c r="AD39" s="762"/>
      <c r="AF39" s="762"/>
      <c r="AG39" s="762"/>
      <c r="AH39" s="762"/>
      <c r="AI39" s="762"/>
      <c r="AJ39" s="762"/>
      <c r="AK39" s="762"/>
      <c r="AL39" s="762"/>
      <c r="AM39" s="762"/>
      <c r="AN39" s="762"/>
      <c r="AW39" s="762"/>
      <c r="AX39" s="762"/>
      <c r="AY39" s="762"/>
      <c r="AZ39" s="762"/>
      <c r="BA39" s="762"/>
      <c r="BC39" s="762"/>
      <c r="BD39" s="762"/>
      <c r="BE39" s="762"/>
      <c r="BF39" s="762"/>
      <c r="BG39" s="762"/>
      <c r="BH39" s="762"/>
      <c r="BI39" s="762"/>
      <c r="BJ39" s="762"/>
      <c r="BK39" s="762"/>
      <c r="BM39" s="762"/>
      <c r="BN39" s="762"/>
      <c r="BO39" s="762"/>
      <c r="BP39" s="762"/>
      <c r="BQ39" s="762"/>
      <c r="BR39" s="762"/>
      <c r="BS39" s="762"/>
      <c r="BT39" s="762"/>
      <c r="BU39" s="762"/>
      <c r="BW39" s="762"/>
      <c r="BX39" s="762"/>
      <c r="BY39" s="762"/>
      <c r="BZ39" s="762"/>
      <c r="CA39" s="762"/>
      <c r="CB39" s="762"/>
      <c r="CC39" s="762"/>
      <c r="CD39" s="762"/>
      <c r="CE39" s="762"/>
      <c r="CG39" s="762"/>
      <c r="CH39" s="762"/>
    </row>
    <row r="40" spans="1:86" ht="14.4">
      <c r="A40" s="760" t="s">
        <v>1354</v>
      </c>
      <c r="B40" s="759">
        <v>0.66386359999999944</v>
      </c>
      <c r="C40" s="762">
        <v>0.66386359999999944</v>
      </c>
      <c r="D40" s="762">
        <v>0.66386359999999944</v>
      </c>
      <c r="E40" s="762">
        <v>0.66386359999999944</v>
      </c>
      <c r="F40" s="762">
        <v>0.66386359999999944</v>
      </c>
      <c r="G40" s="762"/>
      <c r="H40" s="760" t="s">
        <v>1354</v>
      </c>
      <c r="I40" s="759">
        <f t="shared" si="0"/>
        <v>4.9515594333199964</v>
      </c>
      <c r="J40" s="762">
        <f t="shared" si="1"/>
        <v>4.9515594333199964</v>
      </c>
      <c r="K40" s="762">
        <f t="shared" si="2"/>
        <v>4.9515594333199964</v>
      </c>
      <c r="L40" s="762">
        <f t="shared" si="3"/>
        <v>4.9515594333199964</v>
      </c>
      <c r="M40" s="762">
        <f t="shared" si="4"/>
        <v>4.9515594333199964</v>
      </c>
      <c r="N40" s="762"/>
      <c r="T40" s="762"/>
      <c r="V40" s="762"/>
      <c r="W40" s="762"/>
      <c r="X40" s="762"/>
      <c r="Y40" s="762"/>
      <c r="Z40" s="762"/>
      <c r="AA40" s="762"/>
      <c r="AB40" s="762"/>
      <c r="AC40" s="762"/>
      <c r="AD40" s="762"/>
      <c r="AF40" s="762"/>
      <c r="AG40" s="762"/>
      <c r="AH40" s="762"/>
      <c r="AI40" s="762"/>
      <c r="AJ40" s="762"/>
      <c r="AK40" s="762"/>
      <c r="AL40" s="762"/>
      <c r="AM40" s="762"/>
      <c r="AN40" s="762"/>
      <c r="AW40" s="762"/>
      <c r="AX40" s="762"/>
      <c r="AY40" s="762"/>
      <c r="AZ40" s="762"/>
      <c r="BA40" s="762"/>
      <c r="BC40" s="762"/>
      <c r="BD40" s="762"/>
      <c r="BE40" s="762"/>
      <c r="BF40" s="762"/>
      <c r="BG40" s="762"/>
      <c r="BH40" s="762"/>
      <c r="BI40" s="762"/>
      <c r="BJ40" s="762"/>
      <c r="BK40" s="762"/>
      <c r="BM40" s="762"/>
      <c r="BN40" s="762"/>
      <c r="BO40" s="762"/>
      <c r="BP40" s="762"/>
      <c r="BQ40" s="762"/>
      <c r="BR40" s="762"/>
      <c r="BS40" s="762"/>
      <c r="BT40" s="762"/>
      <c r="BU40" s="762"/>
      <c r="BW40" s="762"/>
      <c r="BX40" s="762"/>
      <c r="BY40" s="762"/>
      <c r="BZ40" s="762"/>
      <c r="CA40" s="762"/>
      <c r="CB40" s="762"/>
      <c r="CC40" s="762"/>
      <c r="CD40" s="762"/>
      <c r="CE40" s="762"/>
      <c r="CG40" s="762"/>
      <c r="CH40" s="762"/>
    </row>
    <row r="41" spans="1:86" ht="14.4">
      <c r="A41" s="760" t="s">
        <v>1353</v>
      </c>
      <c r="B41" s="759">
        <v>8.611970551000006</v>
      </c>
      <c r="C41" s="762">
        <v>8.5372858960000073</v>
      </c>
      <c r="D41" s="762">
        <v>10.567048853000003</v>
      </c>
      <c r="E41" s="762">
        <v>12.387694775999995</v>
      </c>
      <c r="F41" s="762">
        <v>12.940361223000011</v>
      </c>
      <c r="G41" s="762"/>
      <c r="H41" s="760" t="s">
        <v>1353</v>
      </c>
      <c r="I41" s="759">
        <f t="shared" si="0"/>
        <v>64.234104748743746</v>
      </c>
      <c r="J41" s="762">
        <f t="shared" si="1"/>
        <v>63.677054312495258</v>
      </c>
      <c r="K41" s="762">
        <f t="shared" si="2"/>
        <v>78.816447279871127</v>
      </c>
      <c r="L41" s="762">
        <f t="shared" si="3"/>
        <v>92.39609902575117</v>
      </c>
      <c r="M41" s="762">
        <f t="shared" si="4"/>
        <v>96.51827225399019</v>
      </c>
      <c r="N41" s="762"/>
      <c r="T41" s="762"/>
      <c r="V41" s="762"/>
      <c r="W41" s="762"/>
      <c r="X41" s="762"/>
      <c r="Y41" s="762"/>
      <c r="Z41" s="762"/>
      <c r="AA41" s="762"/>
      <c r="AB41" s="762"/>
      <c r="AC41" s="762"/>
      <c r="AD41" s="762"/>
      <c r="AF41" s="762"/>
      <c r="AG41" s="762"/>
      <c r="AH41" s="762"/>
      <c r="AI41" s="762"/>
      <c r="AJ41" s="762"/>
      <c r="AK41" s="762"/>
      <c r="AL41" s="762"/>
      <c r="AM41" s="762"/>
      <c r="AN41" s="762"/>
      <c r="AW41" s="762"/>
      <c r="AX41" s="762"/>
      <c r="AY41" s="762"/>
      <c r="AZ41" s="762"/>
      <c r="BA41" s="762"/>
      <c r="BC41" s="762"/>
      <c r="BD41" s="762"/>
      <c r="BE41" s="762"/>
      <c r="BF41" s="762"/>
      <c r="BG41" s="762"/>
      <c r="BH41" s="762"/>
      <c r="BI41" s="762"/>
      <c r="BJ41" s="762"/>
      <c r="BK41" s="762"/>
      <c r="BM41" s="762"/>
      <c r="BN41" s="762"/>
      <c r="BO41" s="762"/>
      <c r="BP41" s="762"/>
      <c r="BQ41" s="762"/>
      <c r="BR41" s="762"/>
      <c r="BS41" s="762"/>
      <c r="BT41" s="762"/>
      <c r="BU41" s="762"/>
      <c r="BW41" s="762"/>
      <c r="BX41" s="762"/>
      <c r="BY41" s="762"/>
      <c r="BZ41" s="762"/>
      <c r="CA41" s="762"/>
      <c r="CB41" s="762"/>
      <c r="CC41" s="762"/>
      <c r="CD41" s="762"/>
      <c r="CE41" s="762"/>
      <c r="CG41" s="762"/>
      <c r="CH41" s="762"/>
    </row>
    <row r="45" spans="1:86" ht="14.4">
      <c r="A45" s="764" t="s">
        <v>1393</v>
      </c>
      <c r="B45" s="764" t="s">
        <v>1392</v>
      </c>
      <c r="C45" s="764"/>
      <c r="D45" s="764"/>
      <c r="E45" s="764"/>
      <c r="F45" s="764"/>
      <c r="G45" s="765"/>
      <c r="H45" s="765"/>
      <c r="I45" s="764" t="s">
        <v>1393</v>
      </c>
      <c r="J45" s="764" t="s">
        <v>1392</v>
      </c>
      <c r="K45" s="764"/>
      <c r="L45" s="764"/>
      <c r="M45" s="764"/>
      <c r="N45" s="764"/>
    </row>
    <row r="46" spans="1:86" ht="14.4">
      <c r="A46" s="764"/>
      <c r="B46" s="764"/>
      <c r="C46" s="764"/>
      <c r="D46" s="764"/>
      <c r="E46" s="764"/>
      <c r="F46" s="764"/>
      <c r="G46" s="765"/>
      <c r="H46" s="765"/>
      <c r="I46" s="764"/>
      <c r="J46" s="764"/>
      <c r="K46" s="764"/>
      <c r="L46" s="764"/>
      <c r="M46" s="764"/>
      <c r="N46" s="764"/>
    </row>
    <row r="47" spans="1:86" ht="14.4">
      <c r="A47" s="764" t="s">
        <v>1391</v>
      </c>
      <c r="B47" s="764" t="s">
        <v>1390</v>
      </c>
      <c r="C47" s="764"/>
      <c r="D47" s="764"/>
      <c r="E47" s="764"/>
      <c r="F47" s="764"/>
      <c r="G47" s="765"/>
      <c r="H47" s="764" t="s">
        <v>1391</v>
      </c>
      <c r="I47" s="764" t="s">
        <v>1390</v>
      </c>
      <c r="J47" s="764"/>
      <c r="K47" s="764"/>
      <c r="L47" s="764"/>
      <c r="M47" s="764"/>
    </row>
    <row r="48" spans="1:86" ht="14.4">
      <c r="A48" s="764"/>
      <c r="B48" s="764" t="s">
        <v>1389</v>
      </c>
      <c r="C48" s="764"/>
      <c r="D48" s="764"/>
      <c r="E48" s="764"/>
      <c r="F48" s="765"/>
      <c r="G48" s="765"/>
      <c r="H48" s="764"/>
      <c r="I48" s="764" t="s">
        <v>1389</v>
      </c>
      <c r="J48" s="764"/>
      <c r="K48" s="764"/>
      <c r="L48" s="764"/>
      <c r="M48" s="765"/>
    </row>
    <row r="49" spans="1:17" ht="14.4">
      <c r="A49" s="764"/>
      <c r="B49" s="764" t="s">
        <v>1388</v>
      </c>
      <c r="C49" s="764"/>
      <c r="D49" s="764"/>
      <c r="E49" s="764"/>
      <c r="F49" s="764"/>
      <c r="G49" s="765"/>
      <c r="H49" s="764"/>
      <c r="I49" s="764" t="s">
        <v>1388</v>
      </c>
      <c r="J49" s="764"/>
      <c r="K49" s="764"/>
      <c r="L49" s="764"/>
      <c r="M49" s="764"/>
    </row>
    <row r="50" spans="1:17" ht="14.4">
      <c r="A50" s="764" t="s">
        <v>1387</v>
      </c>
      <c r="B50" s="764" t="s">
        <v>954</v>
      </c>
      <c r="C50" s="764" t="s">
        <v>1386</v>
      </c>
      <c r="D50" s="764" t="s">
        <v>1385</v>
      </c>
      <c r="E50" s="764" t="s">
        <v>1384</v>
      </c>
      <c r="F50" s="764" t="s">
        <v>1383</v>
      </c>
      <c r="G50" s="765"/>
      <c r="H50" s="764" t="s">
        <v>1387</v>
      </c>
      <c r="I50" s="764" t="s">
        <v>954</v>
      </c>
      <c r="J50" s="764" t="s">
        <v>1386</v>
      </c>
      <c r="K50" s="764" t="s">
        <v>1385</v>
      </c>
      <c r="L50" s="764" t="s">
        <v>1384</v>
      </c>
      <c r="M50" s="764" t="s">
        <v>1383</v>
      </c>
    </row>
    <row r="51" spans="1:17" ht="19.8">
      <c r="A51" s="762"/>
      <c r="B51" s="763" t="s">
        <v>1382</v>
      </c>
      <c r="C51" s="762"/>
      <c r="D51" s="762"/>
      <c r="E51" s="762"/>
      <c r="F51" s="762"/>
      <c r="H51" s="762"/>
      <c r="I51" s="763" t="s">
        <v>1381</v>
      </c>
      <c r="J51" s="762"/>
      <c r="K51" s="762"/>
      <c r="L51" s="762"/>
      <c r="M51" s="762"/>
    </row>
    <row r="52" spans="1:17" ht="14.4">
      <c r="A52" s="760" t="s">
        <v>1380</v>
      </c>
      <c r="B52" s="759">
        <v>27.870653586999996</v>
      </c>
      <c r="C52" s="759">
        <v>22.417014113000015</v>
      </c>
      <c r="D52" s="759">
        <v>27.928741651999989</v>
      </c>
      <c r="E52" s="759">
        <v>27.588511556999975</v>
      </c>
      <c r="F52" s="759">
        <v>27.248281462000016</v>
      </c>
      <c r="H52" s="760" t="s">
        <v>1380</v>
      </c>
      <c r="I52" s="759">
        <f t="shared" ref="I52:I79" si="5">B52*$I$5</f>
        <v>207.87884390935687</v>
      </c>
      <c r="J52" s="759">
        <f t="shared" ref="J52:J79" si="6">C52*$I$5</f>
        <v>167.20178316463321</v>
      </c>
      <c r="K52" s="759">
        <f t="shared" ref="K52:K79" si="7">D52*$I$5</f>
        <v>208.31210535977232</v>
      </c>
      <c r="L52" s="759">
        <f t="shared" ref="L52:L79" si="8">E52*$I$5</f>
        <v>205.77443115019574</v>
      </c>
      <c r="M52" s="759">
        <f t="shared" ref="M52:M79" si="9">F52*$I$5</f>
        <v>203.23675694061953</v>
      </c>
      <c r="P52" s="758"/>
    </row>
    <row r="53" spans="1:17" ht="14.4">
      <c r="A53" s="760" t="s">
        <v>1379</v>
      </c>
      <c r="B53" s="759">
        <v>21.163971567999994</v>
      </c>
      <c r="C53" s="759">
        <v>21.163971567999994</v>
      </c>
      <c r="D53" s="759">
        <v>21.163971567999994</v>
      </c>
      <c r="E53" s="759">
        <v>21.163971567999994</v>
      </c>
      <c r="F53" s="759">
        <v>21.163971567999994</v>
      </c>
      <c r="H53" s="760" t="s">
        <v>1379</v>
      </c>
      <c r="I53" s="759">
        <f t="shared" si="5"/>
        <v>157.85571473424156</v>
      </c>
      <c r="J53" s="759">
        <f t="shared" si="6"/>
        <v>157.85571473424156</v>
      </c>
      <c r="K53" s="759">
        <f t="shared" si="7"/>
        <v>157.85571473424156</v>
      </c>
      <c r="L53" s="759">
        <f t="shared" si="8"/>
        <v>157.85571473424156</v>
      </c>
      <c r="M53" s="759">
        <f t="shared" si="9"/>
        <v>157.85571473424156</v>
      </c>
      <c r="P53" s="758"/>
    </row>
    <row r="54" spans="1:17" ht="14.4">
      <c r="A54" s="760" t="s">
        <v>1378</v>
      </c>
      <c r="B54" s="759">
        <v>7.1099791560000032</v>
      </c>
      <c r="C54" s="759">
        <v>7.1099791560000032</v>
      </c>
      <c r="D54" s="759">
        <v>7.1099791560000032</v>
      </c>
      <c r="E54" s="759">
        <v>7.1099791560000032</v>
      </c>
      <c r="F54" s="759">
        <v>7.1099791560000032</v>
      </c>
      <c r="H54" s="760" t="s">
        <v>1378</v>
      </c>
      <c r="I54" s="759">
        <f t="shared" si="5"/>
        <v>53.031201530857224</v>
      </c>
      <c r="J54" s="759">
        <f t="shared" si="6"/>
        <v>53.031201530857224</v>
      </c>
      <c r="K54" s="759">
        <f t="shared" si="7"/>
        <v>53.031201530857224</v>
      </c>
      <c r="L54" s="759">
        <f t="shared" si="8"/>
        <v>53.031201530857224</v>
      </c>
      <c r="M54" s="759">
        <f t="shared" si="9"/>
        <v>53.031201530857224</v>
      </c>
      <c r="P54" s="758"/>
    </row>
    <row r="55" spans="1:17" ht="14.4">
      <c r="A55" s="760" t="s">
        <v>1377</v>
      </c>
      <c r="B55" s="759">
        <v>10.563729534999995</v>
      </c>
      <c r="C55" s="759">
        <v>10.563729534999995</v>
      </c>
      <c r="D55" s="759">
        <v>10.563729534999995</v>
      </c>
      <c r="E55" s="759">
        <v>10.563729534999995</v>
      </c>
      <c r="F55" s="759">
        <v>10.563729534999995</v>
      </c>
      <c r="H55" s="760" t="s">
        <v>1377</v>
      </c>
      <c r="I55" s="759">
        <f t="shared" si="5"/>
        <v>78.79168948270447</v>
      </c>
      <c r="J55" s="759">
        <f t="shared" si="6"/>
        <v>78.79168948270447</v>
      </c>
      <c r="K55" s="759">
        <f t="shared" si="7"/>
        <v>78.79168948270447</v>
      </c>
      <c r="L55" s="759">
        <f t="shared" si="8"/>
        <v>78.79168948270447</v>
      </c>
      <c r="M55" s="759">
        <f t="shared" si="9"/>
        <v>78.79168948270447</v>
      </c>
      <c r="P55" s="758"/>
    </row>
    <row r="56" spans="1:17" ht="14.4">
      <c r="A56" s="760" t="s">
        <v>1376</v>
      </c>
      <c r="B56" s="759">
        <v>21.163971567999994</v>
      </c>
      <c r="C56" s="759">
        <v>21.163971567999994</v>
      </c>
      <c r="D56" s="759">
        <v>21.163971567999994</v>
      </c>
      <c r="E56" s="759">
        <v>21.163971567999994</v>
      </c>
      <c r="F56" s="759">
        <v>21.163971567999994</v>
      </c>
      <c r="H56" s="760" t="s">
        <v>1376</v>
      </c>
      <c r="I56" s="759">
        <f t="shared" si="5"/>
        <v>157.85571473424156</v>
      </c>
      <c r="J56" s="759">
        <f t="shared" si="6"/>
        <v>157.85571473424156</v>
      </c>
      <c r="K56" s="759">
        <f t="shared" si="7"/>
        <v>157.85571473424156</v>
      </c>
      <c r="L56" s="759">
        <f t="shared" si="8"/>
        <v>157.85571473424156</v>
      </c>
      <c r="M56" s="759">
        <f t="shared" si="9"/>
        <v>157.85571473424156</v>
      </c>
      <c r="P56" s="758"/>
    </row>
    <row r="57" spans="1:17" ht="14.4">
      <c r="A57" s="761" t="s">
        <v>1375</v>
      </c>
      <c r="B57" s="759">
        <v>24.987825904000008</v>
      </c>
      <c r="C57" s="759">
        <v>24.987825904000008</v>
      </c>
      <c r="D57" s="759">
        <v>24.987825904000008</v>
      </c>
      <c r="E57" s="759">
        <v>24.987825904000008</v>
      </c>
      <c r="F57" s="759">
        <v>24.987825904000008</v>
      </c>
      <c r="H57" s="761" t="s">
        <v>1375</v>
      </c>
      <c r="I57" s="759">
        <f t="shared" si="5"/>
        <v>186.37669707016488</v>
      </c>
      <c r="J57" s="759">
        <f t="shared" si="6"/>
        <v>186.37669707016488</v>
      </c>
      <c r="K57" s="759">
        <f t="shared" si="7"/>
        <v>186.37669707016488</v>
      </c>
      <c r="L57" s="759">
        <f t="shared" si="8"/>
        <v>186.37669707016488</v>
      </c>
      <c r="M57" s="759">
        <f t="shared" si="9"/>
        <v>186.37669707016488</v>
      </c>
      <c r="P57" s="758"/>
      <c r="Q57" s="628"/>
    </row>
    <row r="58" spans="1:17" ht="14.4">
      <c r="A58" s="760" t="s">
        <v>1374</v>
      </c>
      <c r="B58" s="759">
        <v>16.120267867000003</v>
      </c>
      <c r="C58" s="759">
        <v>13.346977677999988</v>
      </c>
      <c r="D58" s="759">
        <v>18.858705217000001</v>
      </c>
      <c r="E58" s="759">
        <v>18.518475121999998</v>
      </c>
      <c r="F58" s="759">
        <v>18.178245026999999</v>
      </c>
      <c r="H58" s="760" t="s">
        <v>1374</v>
      </c>
      <c r="I58" s="759">
        <f t="shared" si="5"/>
        <v>120.23624193959293</v>
      </c>
      <c r="J58" s="759">
        <f t="shared" si="6"/>
        <v>99.551102406898508</v>
      </c>
      <c r="K58" s="759">
        <f t="shared" si="7"/>
        <v>140.66142460203793</v>
      </c>
      <c r="L58" s="759">
        <f t="shared" si="8"/>
        <v>138.1237503924614</v>
      </c>
      <c r="M58" s="759">
        <f t="shared" si="9"/>
        <v>135.58607618288491</v>
      </c>
      <c r="P58" s="758"/>
    </row>
    <row r="59" spans="1:17" ht="14.4">
      <c r="A59" s="761" t="s">
        <v>1373</v>
      </c>
      <c r="B59" s="759">
        <v>2.5724714499999992</v>
      </c>
      <c r="C59" s="759">
        <v>2.2239430600000007</v>
      </c>
      <c r="D59" s="759">
        <v>2.4562953199999997</v>
      </c>
      <c r="E59" s="759">
        <v>2.3932282779999996</v>
      </c>
      <c r="F59" s="759">
        <v>2.3334805540000003</v>
      </c>
      <c r="H59" s="761" t="s">
        <v>1373</v>
      </c>
      <c r="I59" s="759">
        <f t="shared" si="5"/>
        <v>19.187292804114996</v>
      </c>
      <c r="J59" s="759">
        <f t="shared" si="6"/>
        <v>16.587724101622005</v>
      </c>
      <c r="K59" s="759">
        <f t="shared" si="7"/>
        <v>18.320769903283999</v>
      </c>
      <c r="L59" s="759">
        <f t="shared" si="8"/>
        <v>17.850371757118598</v>
      </c>
      <c r="M59" s="759">
        <f t="shared" si="9"/>
        <v>17.404731408119805</v>
      </c>
      <c r="P59" s="758"/>
    </row>
    <row r="60" spans="1:17" ht="14.4">
      <c r="A60" s="760" t="s">
        <v>1372</v>
      </c>
      <c r="B60" s="759">
        <v>2.5724714499999992</v>
      </c>
      <c r="C60" s="759">
        <v>2.2239430600000007</v>
      </c>
      <c r="D60" s="759">
        <v>2.4562953199999997</v>
      </c>
      <c r="E60" s="759">
        <v>2.3932282779999996</v>
      </c>
      <c r="F60" s="759">
        <v>2.3334805540000003</v>
      </c>
      <c r="H60" s="760" t="s">
        <v>1372</v>
      </c>
      <c r="I60" s="759">
        <f t="shared" si="5"/>
        <v>19.187292804114996</v>
      </c>
      <c r="J60" s="759">
        <f t="shared" si="6"/>
        <v>16.587724101622005</v>
      </c>
      <c r="K60" s="759">
        <f t="shared" si="7"/>
        <v>18.320769903283999</v>
      </c>
      <c r="L60" s="759">
        <f t="shared" si="8"/>
        <v>17.850371757118598</v>
      </c>
      <c r="M60" s="759">
        <f t="shared" si="9"/>
        <v>17.404731408119805</v>
      </c>
      <c r="P60" s="758"/>
    </row>
    <row r="61" spans="1:17" ht="14.4">
      <c r="A61" s="761" t="s">
        <v>1371</v>
      </c>
      <c r="B61" s="759">
        <v>12.206791945000008</v>
      </c>
      <c r="C61" s="759">
        <v>9.4318420970000076</v>
      </c>
      <c r="D61" s="759">
        <v>14.943569636000003</v>
      </c>
      <c r="E61" s="759">
        <v>14.603339541000013</v>
      </c>
      <c r="F61" s="759">
        <v>14.264769105000015</v>
      </c>
      <c r="H61" s="761" t="s">
        <v>1371</v>
      </c>
      <c r="I61" s="759">
        <f t="shared" si="5"/>
        <v>91.046799080171567</v>
      </c>
      <c r="J61" s="759">
        <f t="shared" si="6"/>
        <v>70.349280648893966</v>
      </c>
      <c r="K61" s="759">
        <f t="shared" si="7"/>
        <v>111.45960284403323</v>
      </c>
      <c r="L61" s="759">
        <f t="shared" si="8"/>
        <v>108.9219286344568</v>
      </c>
      <c r="M61" s="759">
        <f t="shared" si="9"/>
        <v>106.39663332346362</v>
      </c>
      <c r="P61" s="758"/>
    </row>
    <row r="62" spans="1:17" ht="14.4">
      <c r="A62" s="760" t="s">
        <v>1370</v>
      </c>
      <c r="B62" s="759">
        <v>6.8411143980000011</v>
      </c>
      <c r="C62" s="759">
        <v>7.3041592589999942</v>
      </c>
      <c r="D62" s="759">
        <v>8.0028756980000004</v>
      </c>
      <c r="E62" s="759">
        <v>8.6501427079999988</v>
      </c>
      <c r="F62" s="759">
        <v>9.2957500589999995</v>
      </c>
      <c r="H62" s="760" t="s">
        <v>1370</v>
      </c>
      <c r="I62" s="759">
        <f t="shared" si="5"/>
        <v>51.025819960362611</v>
      </c>
      <c r="J62" s="759">
        <f t="shared" si="6"/>
        <v>54.479532665103257</v>
      </c>
      <c r="K62" s="759">
        <f t="shared" si="7"/>
        <v>59.691048968672604</v>
      </c>
      <c r="L62" s="759">
        <f t="shared" si="8"/>
        <v>64.518819416159587</v>
      </c>
      <c r="M62" s="759">
        <f t="shared" si="9"/>
        <v>69.334210965063306</v>
      </c>
      <c r="P62" s="758"/>
    </row>
    <row r="63" spans="1:17" ht="14.4">
      <c r="A63" s="761" t="s">
        <v>1369</v>
      </c>
      <c r="B63" s="759">
        <v>16.120267867000003</v>
      </c>
      <c r="C63" s="759">
        <v>13.346977677999988</v>
      </c>
      <c r="D63" s="759">
        <v>18.858705217000001</v>
      </c>
      <c r="E63" s="759">
        <v>18.518475121999998</v>
      </c>
      <c r="F63" s="759">
        <v>18.178245026999999</v>
      </c>
      <c r="H63" s="761" t="s">
        <v>1369</v>
      </c>
      <c r="I63" s="759">
        <f t="shared" si="5"/>
        <v>120.23624193959293</v>
      </c>
      <c r="J63" s="759">
        <f t="shared" si="6"/>
        <v>99.551102406898508</v>
      </c>
      <c r="K63" s="759">
        <f t="shared" si="7"/>
        <v>140.66142460203793</v>
      </c>
      <c r="L63" s="759">
        <f t="shared" si="8"/>
        <v>138.1237503924614</v>
      </c>
      <c r="M63" s="759">
        <f t="shared" si="9"/>
        <v>135.58607618288491</v>
      </c>
      <c r="P63" s="758"/>
    </row>
    <row r="64" spans="1:17" ht="14.4">
      <c r="A64" s="760" t="s">
        <v>1368</v>
      </c>
      <c r="B64" s="759">
        <v>1.2862357249999996</v>
      </c>
      <c r="C64" s="759">
        <v>1.1119715300000004</v>
      </c>
      <c r="D64" s="759">
        <v>1.2281476599999999</v>
      </c>
      <c r="E64" s="759">
        <v>1.1966141389999998</v>
      </c>
      <c r="F64" s="759">
        <v>1.1667402770000002</v>
      </c>
      <c r="H64" s="760" t="s">
        <v>1368</v>
      </c>
      <c r="I64" s="759">
        <f t="shared" si="5"/>
        <v>9.5936464020574981</v>
      </c>
      <c r="J64" s="759">
        <f t="shared" si="6"/>
        <v>8.2938620508110024</v>
      </c>
      <c r="K64" s="759">
        <f t="shared" si="7"/>
        <v>9.1603849516419995</v>
      </c>
      <c r="L64" s="759">
        <f t="shared" si="8"/>
        <v>8.925185878559299</v>
      </c>
      <c r="M64" s="759">
        <f t="shared" si="9"/>
        <v>8.7023657040599023</v>
      </c>
      <c r="P64" s="758"/>
    </row>
    <row r="65" spans="1:16" ht="14.4">
      <c r="A65" s="760" t="s">
        <v>1367</v>
      </c>
      <c r="B65" s="759">
        <v>-3.259066353073965</v>
      </c>
      <c r="C65" s="759">
        <v>-3.259066353073965</v>
      </c>
      <c r="D65" s="759">
        <v>-3.259066353073965</v>
      </c>
      <c r="E65" s="759">
        <v>-3.259066353073965</v>
      </c>
      <c r="F65" s="759">
        <v>-3.259066353073965</v>
      </c>
      <c r="H65" s="760" t="s">
        <v>1367</v>
      </c>
      <c r="I65" s="759">
        <f t="shared" si="5"/>
        <v>-24.308398207672784</v>
      </c>
      <c r="J65" s="759">
        <f t="shared" si="6"/>
        <v>-24.308398207672784</v>
      </c>
      <c r="K65" s="759">
        <f t="shared" si="7"/>
        <v>-24.308398207672784</v>
      </c>
      <c r="L65" s="759">
        <f t="shared" si="8"/>
        <v>-24.308398207672784</v>
      </c>
      <c r="M65" s="759">
        <f t="shared" si="9"/>
        <v>-24.308398207672784</v>
      </c>
      <c r="P65" s="758"/>
    </row>
    <row r="66" spans="1:16" ht="14.4">
      <c r="A66" s="760" t="s">
        <v>1366</v>
      </c>
      <c r="B66" s="759">
        <v>-3.259066353073965</v>
      </c>
      <c r="C66" s="759">
        <v>-3.259066353073965</v>
      </c>
      <c r="D66" s="759">
        <v>-3.259066353073965</v>
      </c>
      <c r="E66" s="759">
        <v>-3.259066353073965</v>
      </c>
      <c r="F66" s="759">
        <v>-3.259066353073965</v>
      </c>
      <c r="H66" s="760" t="s">
        <v>1366</v>
      </c>
      <c r="I66" s="759">
        <f t="shared" si="5"/>
        <v>-24.308398207672784</v>
      </c>
      <c r="J66" s="759">
        <f t="shared" si="6"/>
        <v>-24.308398207672784</v>
      </c>
      <c r="K66" s="759">
        <f t="shared" si="7"/>
        <v>-24.308398207672784</v>
      </c>
      <c r="L66" s="759">
        <f t="shared" si="8"/>
        <v>-24.308398207672784</v>
      </c>
      <c r="M66" s="759">
        <f t="shared" si="9"/>
        <v>-24.308398207672784</v>
      </c>
      <c r="P66" s="758"/>
    </row>
    <row r="67" spans="1:16" ht="14.4">
      <c r="A67" s="761" t="s">
        <v>1365</v>
      </c>
      <c r="B67" s="759">
        <v>6.6142153032857101</v>
      </c>
      <c r="C67" s="759">
        <v>6.6108959852857128</v>
      </c>
      <c r="D67" s="759">
        <v>7.6382249062857177</v>
      </c>
      <c r="E67" s="759">
        <v>7.2128780139999993</v>
      </c>
      <c r="F67" s="759">
        <v>7.0542620324285723</v>
      </c>
      <c r="H67" s="761" t="s">
        <v>1365</v>
      </c>
      <c r="I67" s="759">
        <f t="shared" si="5"/>
        <v>49.333447682617127</v>
      </c>
      <c r="J67" s="759">
        <f t="shared" si="6"/>
        <v>49.308689885450548</v>
      </c>
      <c r="K67" s="759">
        <f t="shared" si="7"/>
        <v>56.971228108513287</v>
      </c>
      <c r="L67" s="759">
        <f t="shared" si="8"/>
        <v>53.798693243021795</v>
      </c>
      <c r="M67" s="759">
        <f t="shared" si="9"/>
        <v>52.615624221274992</v>
      </c>
      <c r="P67" s="758"/>
    </row>
    <row r="68" spans="1:16" ht="14.4">
      <c r="A68" s="760" t="s">
        <v>1364</v>
      </c>
      <c r="B68" s="759">
        <v>6.039499100999997</v>
      </c>
      <c r="C68" s="759">
        <v>6.036179782999997</v>
      </c>
      <c r="D68" s="759">
        <v>6.9738871179999951</v>
      </c>
      <c r="E68" s="759">
        <v>6.5855269120000042</v>
      </c>
      <c r="F68" s="759">
        <v>6.4411365789999948</v>
      </c>
      <c r="H68" s="760" t="s">
        <v>1364</v>
      </c>
      <c r="I68" s="759">
        <f t="shared" si="5"/>
        <v>45.046811944628679</v>
      </c>
      <c r="J68" s="759">
        <f t="shared" si="6"/>
        <v>45.022054147462079</v>
      </c>
      <c r="K68" s="759">
        <f t="shared" si="7"/>
        <v>52.016131847026564</v>
      </c>
      <c r="L68" s="759">
        <f t="shared" si="8"/>
        <v>49.119469578534435</v>
      </c>
      <c r="M68" s="759">
        <f t="shared" si="9"/>
        <v>48.042505401787267</v>
      </c>
      <c r="P68" s="758"/>
    </row>
    <row r="69" spans="1:16" ht="14.4">
      <c r="A69" s="760" t="s">
        <v>1363</v>
      </c>
      <c r="B69" s="759">
        <v>0.77340109400000034</v>
      </c>
      <c r="C69" s="759">
        <v>0.77340109400000034</v>
      </c>
      <c r="D69" s="759">
        <v>0.77340109400000034</v>
      </c>
      <c r="E69" s="759">
        <v>0.77340109400000034</v>
      </c>
      <c r="F69" s="759">
        <v>0.77340109400000034</v>
      </c>
      <c r="H69" s="760" t="s">
        <v>1363</v>
      </c>
      <c r="I69" s="759">
        <f t="shared" si="5"/>
        <v>5.7685667398178024</v>
      </c>
      <c r="J69" s="759">
        <f t="shared" si="6"/>
        <v>5.7685667398178024</v>
      </c>
      <c r="K69" s="759">
        <f t="shared" si="7"/>
        <v>5.7685667398178024</v>
      </c>
      <c r="L69" s="759">
        <f t="shared" si="8"/>
        <v>5.7685667398178024</v>
      </c>
      <c r="M69" s="759">
        <f t="shared" si="9"/>
        <v>5.7685667398178024</v>
      </c>
      <c r="P69" s="758"/>
    </row>
    <row r="70" spans="1:16" ht="14.4">
      <c r="A70" s="760" t="s">
        <v>1362</v>
      </c>
      <c r="B70" s="759">
        <v>2.3666737340000013</v>
      </c>
      <c r="C70" s="759">
        <v>2.0446998879999985</v>
      </c>
      <c r="D70" s="759">
        <v>2.2604555580000021</v>
      </c>
      <c r="E70" s="759">
        <v>2.2023674929999988</v>
      </c>
      <c r="F70" s="759">
        <v>2.1459390870000008</v>
      </c>
      <c r="H70" s="760" t="s">
        <v>1362</v>
      </c>
      <c r="I70" s="759">
        <f t="shared" si="5"/>
        <v>17.652309379785809</v>
      </c>
      <c r="J70" s="759">
        <f t="shared" si="6"/>
        <v>15.250803054625589</v>
      </c>
      <c r="K70" s="759">
        <f t="shared" si="7"/>
        <v>16.860059870454617</v>
      </c>
      <c r="L70" s="759">
        <f t="shared" si="8"/>
        <v>16.426798420039091</v>
      </c>
      <c r="M70" s="759">
        <f t="shared" si="9"/>
        <v>16.005915868206905</v>
      </c>
      <c r="P70" s="758"/>
    </row>
    <row r="71" spans="1:16" ht="14.4">
      <c r="A71" s="760" t="s">
        <v>1361</v>
      </c>
      <c r="B71" s="759">
        <v>2.3666737340000013</v>
      </c>
      <c r="C71" s="759">
        <v>2.0446998879999985</v>
      </c>
      <c r="D71" s="759">
        <v>2.2604555580000021</v>
      </c>
      <c r="E71" s="759">
        <v>2.2023674929999988</v>
      </c>
      <c r="F71" s="759">
        <v>2.1459390870000008</v>
      </c>
      <c r="H71" s="760" t="s">
        <v>1361</v>
      </c>
      <c r="I71" s="759">
        <f t="shared" si="5"/>
        <v>17.652309379785809</v>
      </c>
      <c r="J71" s="759">
        <f t="shared" si="6"/>
        <v>15.250803054625589</v>
      </c>
      <c r="K71" s="759">
        <f t="shared" si="7"/>
        <v>16.860059870454617</v>
      </c>
      <c r="L71" s="759">
        <f t="shared" si="8"/>
        <v>16.426798420039091</v>
      </c>
      <c r="M71" s="759">
        <f t="shared" si="9"/>
        <v>16.005915868206905</v>
      </c>
      <c r="P71" s="758"/>
    </row>
    <row r="72" spans="1:16" ht="14.4">
      <c r="A72" s="760" t="s">
        <v>1360</v>
      </c>
      <c r="B72" s="759">
        <v>2.1575567000000002</v>
      </c>
      <c r="C72" s="759">
        <v>5.9581758100000002</v>
      </c>
      <c r="D72" s="759">
        <v>5.8585962699999952</v>
      </c>
      <c r="E72" s="759">
        <v>5.5764542400000012</v>
      </c>
      <c r="F72" s="759">
        <v>5.0785565399999966</v>
      </c>
      <c r="H72" s="760" t="s">
        <v>1360</v>
      </c>
      <c r="I72" s="759">
        <f t="shared" si="5"/>
        <v>16.092568158290003</v>
      </c>
      <c r="J72" s="759">
        <f t="shared" si="6"/>
        <v>44.440245914047004</v>
      </c>
      <c r="K72" s="759">
        <f t="shared" si="7"/>
        <v>43.697511999048963</v>
      </c>
      <c r="L72" s="759">
        <f t="shared" si="8"/>
        <v>41.593099239888012</v>
      </c>
      <c r="M72" s="759">
        <f t="shared" si="9"/>
        <v>37.879429664897977</v>
      </c>
      <c r="P72" s="758"/>
    </row>
    <row r="73" spans="1:16" ht="14.4">
      <c r="A73" s="761" t="s">
        <v>1359</v>
      </c>
      <c r="B73" s="759">
        <v>5.8569366110000027</v>
      </c>
      <c r="C73" s="759">
        <v>6.2519354529999953</v>
      </c>
      <c r="D73" s="759">
        <v>6.8510723519999956</v>
      </c>
      <c r="E73" s="759">
        <v>7.4037387989999974</v>
      </c>
      <c r="F73" s="759">
        <v>7.9580649049999952</v>
      </c>
      <c r="H73" s="761" t="s">
        <v>1359</v>
      </c>
      <c r="I73" s="759">
        <f t="shared" si="5"/>
        <v>43.68513310046572</v>
      </c>
      <c r="J73" s="759">
        <f t="shared" si="6"/>
        <v>46.631310963291064</v>
      </c>
      <c r="K73" s="759">
        <f t="shared" si="7"/>
        <v>51.10009335186237</v>
      </c>
      <c r="L73" s="759">
        <f t="shared" si="8"/>
        <v>55.222266580101284</v>
      </c>
      <c r="M73" s="759">
        <f t="shared" si="9"/>
        <v>59.35681870692347</v>
      </c>
      <c r="P73" s="758"/>
    </row>
    <row r="74" spans="1:16" ht="14.4">
      <c r="A74" s="760" t="s">
        <v>1358</v>
      </c>
      <c r="B74" s="759">
        <v>5.8569366110000027</v>
      </c>
      <c r="C74" s="759">
        <v>6.2519354529999953</v>
      </c>
      <c r="D74" s="759">
        <v>6.8510723519999956</v>
      </c>
      <c r="E74" s="759">
        <v>7.4037387989999974</v>
      </c>
      <c r="F74" s="759">
        <v>7.9580649049999952</v>
      </c>
      <c r="H74" s="760" t="s">
        <v>1358</v>
      </c>
      <c r="I74" s="759">
        <f t="shared" si="5"/>
        <v>43.68513310046572</v>
      </c>
      <c r="J74" s="759">
        <f t="shared" si="6"/>
        <v>46.631310963291064</v>
      </c>
      <c r="K74" s="759">
        <f t="shared" si="7"/>
        <v>51.10009335186237</v>
      </c>
      <c r="L74" s="759">
        <f t="shared" si="8"/>
        <v>55.222266580101284</v>
      </c>
      <c r="M74" s="759">
        <f t="shared" si="9"/>
        <v>59.35681870692347</v>
      </c>
      <c r="P74" s="758"/>
    </row>
    <row r="75" spans="1:16" ht="14.4">
      <c r="A75" s="760" t="s">
        <v>1357</v>
      </c>
      <c r="B75" s="759">
        <v>6.8411143980000011</v>
      </c>
      <c r="C75" s="759">
        <v>7.3041592589999942</v>
      </c>
      <c r="D75" s="759">
        <v>8.0028756980000004</v>
      </c>
      <c r="E75" s="759">
        <v>8.6501427079999988</v>
      </c>
      <c r="F75" s="759">
        <v>9.2957500589999995</v>
      </c>
      <c r="H75" s="760" t="s">
        <v>1357</v>
      </c>
      <c r="I75" s="759">
        <f t="shared" si="5"/>
        <v>51.025819960362611</v>
      </c>
      <c r="J75" s="759">
        <f t="shared" si="6"/>
        <v>54.479532665103257</v>
      </c>
      <c r="K75" s="759">
        <f t="shared" si="7"/>
        <v>59.691048968672604</v>
      </c>
      <c r="L75" s="759">
        <f t="shared" si="8"/>
        <v>64.518819416159587</v>
      </c>
      <c r="M75" s="759">
        <f t="shared" si="9"/>
        <v>69.334210965063306</v>
      </c>
      <c r="P75" s="758"/>
    </row>
    <row r="76" spans="1:16" ht="14.4">
      <c r="A76" s="761" t="s">
        <v>1356</v>
      </c>
      <c r="B76" s="759">
        <v>6.8411143980000011</v>
      </c>
      <c r="C76" s="759">
        <v>7.3041592589999942</v>
      </c>
      <c r="D76" s="759">
        <v>8.0028756980000004</v>
      </c>
      <c r="E76" s="759">
        <v>8.6501427079999988</v>
      </c>
      <c r="F76" s="759">
        <v>9.2957500589999995</v>
      </c>
      <c r="H76" s="761" t="s">
        <v>1356</v>
      </c>
      <c r="I76" s="759">
        <f t="shared" si="5"/>
        <v>51.025819960362611</v>
      </c>
      <c r="J76" s="759">
        <f t="shared" si="6"/>
        <v>54.479532665103257</v>
      </c>
      <c r="K76" s="759">
        <f t="shared" si="7"/>
        <v>59.691048968672604</v>
      </c>
      <c r="L76" s="759">
        <f t="shared" si="8"/>
        <v>64.518819416159587</v>
      </c>
      <c r="M76" s="759">
        <f t="shared" si="9"/>
        <v>69.334210965063306</v>
      </c>
      <c r="P76" s="758"/>
    </row>
    <row r="77" spans="1:16" ht="14.4">
      <c r="A77" s="761" t="s">
        <v>1355</v>
      </c>
      <c r="B77" s="759">
        <v>9.2791534689999953</v>
      </c>
      <c r="C77" s="759">
        <v>9.6027869740000042</v>
      </c>
      <c r="D77" s="759">
        <v>10.014382405999998</v>
      </c>
      <c r="E77" s="759">
        <v>10.457511359000005</v>
      </c>
      <c r="F77" s="759">
        <v>10.915577242999991</v>
      </c>
      <c r="H77" s="761" t="s">
        <v>1355</v>
      </c>
      <c r="I77" s="759">
        <f t="shared" si="5"/>
        <v>69.210421979230262</v>
      </c>
      <c r="J77" s="759">
        <f t="shared" si="6"/>
        <v>71.624307202973839</v>
      </c>
      <c r="K77" s="759">
        <f t="shared" si="7"/>
        <v>74.694274051632178</v>
      </c>
      <c r="L77" s="759">
        <f t="shared" si="8"/>
        <v>77.999439973373342</v>
      </c>
      <c r="M77" s="759">
        <f t="shared" si="9"/>
        <v>81.41601598236403</v>
      </c>
      <c r="P77" s="758"/>
    </row>
    <row r="78" spans="1:16" ht="14.4">
      <c r="A78" s="760" t="s">
        <v>1354</v>
      </c>
      <c r="B78" s="759">
        <v>0.66386359999999944</v>
      </c>
      <c r="C78" s="759">
        <v>0.66386359999999944</v>
      </c>
      <c r="D78" s="759">
        <v>0.66386359999999944</v>
      </c>
      <c r="E78" s="759">
        <v>0.66386359999999944</v>
      </c>
      <c r="F78" s="759">
        <v>0.66386359999999944</v>
      </c>
      <c r="H78" s="760" t="s">
        <v>1354</v>
      </c>
      <c r="I78" s="759">
        <f t="shared" si="5"/>
        <v>4.9515594333199964</v>
      </c>
      <c r="J78" s="759">
        <f t="shared" si="6"/>
        <v>4.9515594333199964</v>
      </c>
      <c r="K78" s="759">
        <f t="shared" si="7"/>
        <v>4.9515594333199964</v>
      </c>
      <c r="L78" s="759">
        <f t="shared" si="8"/>
        <v>4.9515594333199964</v>
      </c>
      <c r="M78" s="759">
        <f t="shared" si="9"/>
        <v>4.9515594333199964</v>
      </c>
      <c r="P78" s="758"/>
    </row>
    <row r="79" spans="1:16" ht="14.4">
      <c r="A79" s="760" t="s">
        <v>1353</v>
      </c>
      <c r="B79" s="759">
        <v>9.2791534689999953</v>
      </c>
      <c r="C79" s="759">
        <v>9.6027869740000042</v>
      </c>
      <c r="D79" s="759">
        <v>10.014382405999998</v>
      </c>
      <c r="E79" s="759">
        <v>10.457511359000005</v>
      </c>
      <c r="F79" s="759">
        <v>10.915577242999991</v>
      </c>
      <c r="H79" s="760" t="s">
        <v>1353</v>
      </c>
      <c r="I79" s="759">
        <f t="shared" si="5"/>
        <v>69.210421979230262</v>
      </c>
      <c r="J79" s="759">
        <f t="shared" si="6"/>
        <v>71.624307202973839</v>
      </c>
      <c r="K79" s="759">
        <f t="shared" si="7"/>
        <v>74.694274051632178</v>
      </c>
      <c r="L79" s="759">
        <f t="shared" si="8"/>
        <v>77.999439973373342</v>
      </c>
      <c r="M79" s="759">
        <f t="shared" si="9"/>
        <v>81.41601598236403</v>
      </c>
      <c r="P79" s="758"/>
    </row>
  </sheetData>
  <pageMargins left="0.7" right="0.7" top="0.75" bottom="0.75" header="0.3" footer="0.3"/>
  <pageSetup paperSize="9" orientation="portrait"/>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AU174"/>
  <sheetViews>
    <sheetView topLeftCell="V1" zoomScale="70" zoomScaleNormal="70" workbookViewId="0">
      <selection activeCell="D27" sqref="D27"/>
    </sheetView>
  </sheetViews>
  <sheetFormatPr defaultColWidth="9.21875" defaultRowHeight="14.4"/>
  <cols>
    <col min="1" max="1" width="31.44140625" style="772" customWidth="1"/>
    <col min="2" max="2" width="16.44140625" style="772" customWidth="1"/>
    <col min="3" max="4" width="11.44140625" style="772" customWidth="1"/>
    <col min="5" max="6" width="10" style="772" customWidth="1"/>
    <col min="7" max="7" width="12.44140625" style="772" customWidth="1"/>
    <col min="8" max="11" width="16.44140625" style="772" customWidth="1"/>
    <col min="12" max="15" width="19.44140625" style="772" customWidth="1"/>
    <col min="16" max="16" width="16.44140625" style="772" customWidth="1"/>
    <col min="17" max="17" width="23.44140625" style="772" customWidth="1"/>
    <col min="18" max="29" width="16.44140625" style="772" customWidth="1"/>
    <col min="30" max="30" width="9.21875" style="772" customWidth="1"/>
    <col min="31" max="43" width="9.21875" style="772"/>
    <col min="44" max="44" width="20.44140625" style="772" customWidth="1"/>
    <col min="45" max="16384" width="9.21875" style="772"/>
  </cols>
  <sheetData>
    <row r="1" spans="1:47">
      <c r="A1" s="772" t="s">
        <v>1577</v>
      </c>
    </row>
    <row r="2" spans="1:47">
      <c r="A2" s="772" t="s">
        <v>1576</v>
      </c>
      <c r="L2" s="606"/>
      <c r="M2" s="606"/>
      <c r="N2" s="606"/>
      <c r="O2" s="927"/>
      <c r="P2" s="609"/>
      <c r="Q2" s="626"/>
    </row>
    <row r="3" spans="1:47">
      <c r="A3" s="772" t="s">
        <v>1575</v>
      </c>
      <c r="L3" s="610" t="s">
        <v>1</v>
      </c>
      <c r="M3" s="610" t="s">
        <v>21</v>
      </c>
      <c r="N3" s="610" t="s">
        <v>81</v>
      </c>
      <c r="O3" s="610" t="s">
        <v>13</v>
      </c>
      <c r="P3" s="610" t="s">
        <v>205</v>
      </c>
      <c r="Q3" s="933" t="s">
        <v>63</v>
      </c>
      <c r="R3" s="933" t="s">
        <v>63</v>
      </c>
      <c r="T3" s="932" t="s">
        <v>1574</v>
      </c>
    </row>
    <row r="4" spans="1:47" ht="15" thickBot="1">
      <c r="A4" s="772" t="s">
        <v>1503</v>
      </c>
      <c r="L4" s="615" t="s">
        <v>22</v>
      </c>
      <c r="M4" s="931"/>
      <c r="N4" s="931"/>
      <c r="O4" s="931"/>
      <c r="P4" s="931" t="s">
        <v>207</v>
      </c>
      <c r="Q4" s="930" t="s">
        <v>1573</v>
      </c>
      <c r="R4" s="930" t="s">
        <v>1381</v>
      </c>
      <c r="U4" s="927"/>
      <c r="V4" s="926"/>
      <c r="W4" s="926"/>
      <c r="X4" s="606"/>
      <c r="Y4" s="928"/>
    </row>
    <row r="5" spans="1:47">
      <c r="A5" s="772" t="s">
        <v>1572</v>
      </c>
      <c r="L5" s="927" t="s">
        <v>1571</v>
      </c>
      <c r="M5" s="927" t="s">
        <v>1570</v>
      </c>
      <c r="N5" s="926"/>
      <c r="O5" s="926" t="s">
        <v>45</v>
      </c>
      <c r="P5" s="606" t="s">
        <v>1541</v>
      </c>
      <c r="Q5" s="929">
        <f>F30*$K$18/$M$18</f>
        <v>168.72138839840429</v>
      </c>
      <c r="R5" s="772">
        <f t="shared" ref="R5:R14" si="0">Q5/$U$12</f>
        <v>174.42313796601317</v>
      </c>
      <c r="T5" s="606" t="s">
        <v>1559</v>
      </c>
      <c r="U5" s="606"/>
      <c r="V5" s="628">
        <v>1.0058029890060425</v>
      </c>
      <c r="W5" s="606"/>
      <c r="X5" s="606" t="s">
        <v>1569</v>
      </c>
      <c r="Y5" s="606" t="s">
        <v>1557</v>
      </c>
    </row>
    <row r="6" spans="1:47">
      <c r="A6" s="772" t="s">
        <v>1503</v>
      </c>
      <c r="L6" s="927" t="s">
        <v>1568</v>
      </c>
      <c r="M6" s="927" t="s">
        <v>1567</v>
      </c>
      <c r="N6" s="926"/>
      <c r="O6" s="926" t="s">
        <v>41</v>
      </c>
      <c r="P6" s="606" t="s">
        <v>1541</v>
      </c>
      <c r="Q6" s="929">
        <f>C30*$K$18/$M$18</f>
        <v>54.454307922289438</v>
      </c>
      <c r="R6" s="772">
        <f t="shared" si="0"/>
        <v>56.294530016225757</v>
      </c>
      <c r="T6" s="606" t="s">
        <v>1559</v>
      </c>
      <c r="U6" s="606"/>
      <c r="V6" s="628">
        <v>1.0298540592193604</v>
      </c>
      <c r="W6" s="606"/>
      <c r="X6" s="606" t="s">
        <v>1541</v>
      </c>
      <c r="Y6" s="606" t="s">
        <v>1557</v>
      </c>
    </row>
    <row r="7" spans="1:47">
      <c r="A7" s="772" t="s">
        <v>1503</v>
      </c>
      <c r="L7" s="927" t="s">
        <v>1566</v>
      </c>
      <c r="M7" s="927" t="s">
        <v>329</v>
      </c>
      <c r="N7" s="926"/>
      <c r="O7" s="926" t="s">
        <v>42</v>
      </c>
      <c r="P7" s="606" t="s">
        <v>1541</v>
      </c>
      <c r="Q7" s="929">
        <f>N30*K18/M18</f>
        <v>0.20676944444444442</v>
      </c>
      <c r="R7" s="772">
        <f t="shared" si="0"/>
        <v>0.21375698527520132</v>
      </c>
      <c r="T7" s="606" t="s">
        <v>1559</v>
      </c>
      <c r="U7" s="606"/>
      <c r="V7" s="628">
        <v>1.0474179983139038</v>
      </c>
      <c r="W7" s="606"/>
      <c r="X7" s="606" t="s">
        <v>604</v>
      </c>
      <c r="Y7" s="606" t="s">
        <v>1557</v>
      </c>
    </row>
    <row r="8" spans="1:47">
      <c r="A8" s="772" t="s">
        <v>1565</v>
      </c>
      <c r="L8" s="927" t="s">
        <v>1564</v>
      </c>
      <c r="M8" s="927" t="s">
        <v>1563</v>
      </c>
      <c r="N8" s="926"/>
      <c r="O8" s="926" t="s">
        <v>73</v>
      </c>
      <c r="P8" s="606" t="s">
        <v>1541</v>
      </c>
      <c r="Q8" s="929">
        <f>(AVERAGE(R30:T30))*$K$18/$M$18</f>
        <v>56.654827777777761</v>
      </c>
      <c r="R8" s="772">
        <f t="shared" si="0"/>
        <v>58.569413965405147</v>
      </c>
      <c r="T8" s="606" t="s">
        <v>1559</v>
      </c>
      <c r="U8" s="606"/>
      <c r="V8" s="628">
        <v>1.053608744323085</v>
      </c>
      <c r="W8" s="606"/>
      <c r="X8" s="606" t="s">
        <v>206</v>
      </c>
      <c r="Y8" s="606" t="s">
        <v>1557</v>
      </c>
      <c r="AP8" s="927"/>
      <c r="AQ8" s="927"/>
      <c r="AR8" s="926"/>
      <c r="AS8" s="926"/>
      <c r="AT8" s="606"/>
      <c r="AU8" s="928"/>
    </row>
    <row r="9" spans="1:47">
      <c r="A9" s="772" t="s">
        <v>1562</v>
      </c>
      <c r="L9" s="927" t="s">
        <v>1561</v>
      </c>
      <c r="M9" s="927" t="s">
        <v>1560</v>
      </c>
      <c r="N9" s="926"/>
      <c r="O9" s="926" t="s">
        <v>44</v>
      </c>
      <c r="P9" s="606" t="s">
        <v>1541</v>
      </c>
      <c r="Q9" s="929">
        <f>G30*$K$18/$M$18</f>
        <v>141.03743805555558</v>
      </c>
      <c r="R9" s="772">
        <f t="shared" si="0"/>
        <v>145.80363965621484</v>
      </c>
      <c r="T9" s="606" t="s">
        <v>1559</v>
      </c>
      <c r="U9" s="606"/>
      <c r="V9" s="628">
        <v>1.0646568189203929</v>
      </c>
      <c r="W9" s="606"/>
      <c r="X9" s="606" t="s">
        <v>1558</v>
      </c>
      <c r="Y9" s="606" t="s">
        <v>1557</v>
      </c>
    </row>
    <row r="10" spans="1:47">
      <c r="A10" s="772" t="s">
        <v>1556</v>
      </c>
      <c r="L10" s="927" t="s">
        <v>1555</v>
      </c>
      <c r="M10" s="927" t="s">
        <v>317</v>
      </c>
      <c r="N10" s="926"/>
      <c r="O10" s="926" t="s">
        <v>192</v>
      </c>
      <c r="P10" s="606" t="s">
        <v>1541</v>
      </c>
      <c r="Q10" s="929">
        <f>W30*$K$18/$M$18</f>
        <v>196.03550852024199</v>
      </c>
      <c r="R10" s="772">
        <f t="shared" si="0"/>
        <v>202.66030805841274</v>
      </c>
      <c r="T10" s="927"/>
      <c r="U10" s="927"/>
      <c r="V10" s="926"/>
      <c r="W10" s="926"/>
      <c r="X10" s="606"/>
      <c r="Y10" s="928"/>
    </row>
    <row r="11" spans="1:47">
      <c r="A11" s="772" t="s">
        <v>1554</v>
      </c>
      <c r="L11" s="927" t="s">
        <v>1553</v>
      </c>
      <c r="M11" s="927" t="s">
        <v>1552</v>
      </c>
      <c r="N11" s="926"/>
      <c r="O11" s="926" t="s">
        <v>46</v>
      </c>
      <c r="P11" s="606" t="s">
        <v>1541</v>
      </c>
      <c r="Q11" s="929">
        <v>0</v>
      </c>
      <c r="R11" s="772">
        <f t="shared" si="0"/>
        <v>0</v>
      </c>
      <c r="T11" s="927"/>
      <c r="U11" s="927" t="s">
        <v>1551</v>
      </c>
      <c r="V11" s="926"/>
      <c r="W11" s="926"/>
      <c r="X11" s="606"/>
      <c r="Y11" s="928"/>
    </row>
    <row r="12" spans="1:47">
      <c r="A12" s="772" t="s">
        <v>1550</v>
      </c>
      <c r="L12" s="927" t="s">
        <v>1549</v>
      </c>
      <c r="M12" s="927" t="s">
        <v>1548</v>
      </c>
      <c r="N12" s="926"/>
      <c r="O12" s="926" t="s">
        <v>47</v>
      </c>
      <c r="P12" s="606" t="s">
        <v>1541</v>
      </c>
      <c r="Q12" s="929">
        <v>0</v>
      </c>
      <c r="R12" s="772">
        <f t="shared" si="0"/>
        <v>0</v>
      </c>
      <c r="T12" s="927"/>
      <c r="U12" s="927">
        <f>V6/V9</f>
        <v>0.96731081877038649</v>
      </c>
      <c r="V12" s="926"/>
      <c r="W12" s="926"/>
      <c r="X12" s="606"/>
      <c r="Y12" s="928"/>
    </row>
    <row r="13" spans="1:47">
      <c r="A13" s="772" t="s">
        <v>1547</v>
      </c>
      <c r="L13" s="927" t="s">
        <v>1546</v>
      </c>
      <c r="M13" s="927" t="s">
        <v>1545</v>
      </c>
      <c r="N13" s="926"/>
      <c r="O13" s="926" t="s">
        <v>72</v>
      </c>
      <c r="P13" s="606" t="s">
        <v>1541</v>
      </c>
      <c r="Q13" s="925">
        <f>U30*$K$18/$M$18</f>
        <v>98.215486111111105</v>
      </c>
      <c r="R13" s="772">
        <f t="shared" si="0"/>
        <v>101.53456800572063</v>
      </c>
    </row>
    <row r="14" spans="1:47">
      <c r="A14" s="772" t="s">
        <v>1544</v>
      </c>
      <c r="J14" s="772" t="s">
        <v>1398</v>
      </c>
      <c r="L14" s="927" t="s">
        <v>1543</v>
      </c>
      <c r="M14" s="927" t="s">
        <v>1542</v>
      </c>
      <c r="N14" s="926"/>
      <c r="O14" s="926" t="s">
        <v>40</v>
      </c>
      <c r="P14" s="606" t="s">
        <v>1541</v>
      </c>
      <c r="Q14" s="925">
        <f>D28*$K$18/$M$18</f>
        <v>24.192024999999994</v>
      </c>
      <c r="R14" s="772">
        <f t="shared" si="0"/>
        <v>25.009567277198549</v>
      </c>
      <c r="AD14" s="772" t="s">
        <v>1507</v>
      </c>
      <c r="AE14" s="772">
        <v>11</v>
      </c>
      <c r="AF14" s="772">
        <v>35</v>
      </c>
    </row>
    <row r="15" spans="1:47">
      <c r="A15" s="772" t="s">
        <v>1540</v>
      </c>
      <c r="AD15" s="772" t="s">
        <v>1507</v>
      </c>
      <c r="AE15" s="772" t="s">
        <v>1539</v>
      </c>
      <c r="AM15" s="772" t="s">
        <v>1506</v>
      </c>
    </row>
    <row r="16" spans="1:47">
      <c r="A16" s="772" t="s">
        <v>1538</v>
      </c>
      <c r="J16" s="772" t="s">
        <v>1397</v>
      </c>
      <c r="AD16" s="772" t="s">
        <v>1507</v>
      </c>
      <c r="AE16" s="772" t="s">
        <v>1537</v>
      </c>
      <c r="AF16" s="798" t="s">
        <v>1536</v>
      </c>
      <c r="AG16" s="772" t="s">
        <v>1535</v>
      </c>
      <c r="AH16" s="772" t="s">
        <v>1534</v>
      </c>
      <c r="AI16" s="772" t="s">
        <v>1533</v>
      </c>
      <c r="AJ16" s="772" t="s">
        <v>89</v>
      </c>
      <c r="AK16" s="772" t="s">
        <v>1532</v>
      </c>
      <c r="AM16" s="772" t="s">
        <v>1506</v>
      </c>
    </row>
    <row r="17" spans="1:39">
      <c r="A17" s="772" t="s">
        <v>1531</v>
      </c>
      <c r="J17" s="772" t="s">
        <v>1530</v>
      </c>
      <c r="K17" s="772" t="s">
        <v>1529</v>
      </c>
      <c r="R17" s="776"/>
      <c r="AF17" s="798"/>
    </row>
    <row r="18" spans="1:39">
      <c r="A18" s="772" t="s">
        <v>1503</v>
      </c>
      <c r="J18" s="772">
        <v>1</v>
      </c>
      <c r="K18" s="628">
        <v>7.4436999999999998</v>
      </c>
      <c r="M18" s="772">
        <v>3.6</v>
      </c>
      <c r="AD18" s="772" t="s">
        <v>1507</v>
      </c>
      <c r="AE18" s="799">
        <f>D26/3.6</f>
        <v>3.1732383409081604</v>
      </c>
      <c r="AF18" s="923">
        <v>8</v>
      </c>
      <c r="AG18" s="772">
        <f>AK28*AF18/1000</f>
        <v>0.68799999999999994</v>
      </c>
      <c r="AH18" s="799">
        <f>AE18+AG18</f>
        <v>3.8612383409081605</v>
      </c>
      <c r="AI18" s="799">
        <f>AH18*3.6</f>
        <v>13.900458027269378</v>
      </c>
      <c r="AJ18" s="772">
        <v>0.36</v>
      </c>
      <c r="AK18" s="799">
        <f>AI18/AJ18</f>
        <v>38.612383409081609</v>
      </c>
      <c r="AM18" s="772" t="s">
        <v>1506</v>
      </c>
    </row>
    <row r="19" spans="1:39">
      <c r="A19" s="772" t="s">
        <v>1528</v>
      </c>
      <c r="AD19" s="772" t="s">
        <v>1507</v>
      </c>
      <c r="AE19" s="924"/>
      <c r="AF19" s="923">
        <v>8</v>
      </c>
      <c r="AG19" s="772">
        <f>AH27*AF19/1000</f>
        <v>0.45519999999999999</v>
      </c>
      <c r="AH19" s="799">
        <f>AE19+AG19</f>
        <v>0.45519999999999999</v>
      </c>
      <c r="AI19" s="799">
        <f>AH19*3.6</f>
        <v>1.63872</v>
      </c>
      <c r="AJ19" s="772">
        <v>0.45</v>
      </c>
      <c r="AK19" s="799">
        <f>AI19/AJ19</f>
        <v>3.6415999999999999</v>
      </c>
      <c r="AM19" s="772" t="s">
        <v>1506</v>
      </c>
    </row>
    <row r="20" spans="1:39">
      <c r="A20" s="772" t="s">
        <v>1527</v>
      </c>
      <c r="Z20" s="802"/>
      <c r="AD20" s="772" t="s">
        <v>1507</v>
      </c>
      <c r="AM20" s="772" t="s">
        <v>1506</v>
      </c>
    </row>
    <row r="21" spans="1:39">
      <c r="A21" s="772" t="s">
        <v>1526</v>
      </c>
      <c r="B21" s="776"/>
      <c r="C21" s="776"/>
      <c r="E21" s="776"/>
      <c r="F21" s="776"/>
      <c r="G21" s="776"/>
      <c r="H21" s="776"/>
      <c r="I21" s="776"/>
      <c r="J21" s="776"/>
      <c r="K21" s="776"/>
      <c r="L21" s="776"/>
      <c r="M21" s="776"/>
      <c r="N21" s="776"/>
      <c r="O21" s="776"/>
      <c r="P21" s="776"/>
      <c r="Q21" s="776"/>
      <c r="R21" s="776"/>
      <c r="S21" s="776"/>
      <c r="T21" s="776"/>
      <c r="U21" s="776"/>
      <c r="V21" s="776"/>
      <c r="W21" s="776"/>
      <c r="X21" s="776"/>
      <c r="Y21" s="776"/>
      <c r="Z21" s="776"/>
      <c r="AA21" s="776"/>
      <c r="AB21" s="776"/>
      <c r="AC21" s="776"/>
      <c r="AD21" s="776"/>
      <c r="AE21" s="776"/>
    </row>
    <row r="22" spans="1:39">
      <c r="B22" s="772" t="s">
        <v>1363</v>
      </c>
      <c r="C22" s="772" t="s">
        <v>1502</v>
      </c>
      <c r="D22" s="772" t="s">
        <v>1373</v>
      </c>
      <c r="E22" s="772" t="s">
        <v>1368</v>
      </c>
      <c r="F22" s="772" t="s">
        <v>1371</v>
      </c>
      <c r="G22" s="776" t="s">
        <v>1501</v>
      </c>
      <c r="H22" s="772" t="s">
        <v>1500</v>
      </c>
      <c r="I22" s="772" t="s">
        <v>75</v>
      </c>
      <c r="J22" s="772" t="s">
        <v>1361</v>
      </c>
      <c r="K22" s="772" t="s">
        <v>1499</v>
      </c>
      <c r="L22" s="772" t="s">
        <v>1498</v>
      </c>
      <c r="M22" s="772" t="s">
        <v>1497</v>
      </c>
      <c r="N22" s="772" t="s">
        <v>1496</v>
      </c>
      <c r="O22" s="772" t="s">
        <v>1359</v>
      </c>
      <c r="P22" s="772" t="s">
        <v>1357</v>
      </c>
      <c r="Q22" s="772" t="s">
        <v>1495</v>
      </c>
      <c r="R22" s="772" t="s">
        <v>1494</v>
      </c>
      <c r="S22" s="772" t="s">
        <v>1493</v>
      </c>
      <c r="T22" s="772" t="s">
        <v>1492</v>
      </c>
      <c r="U22" s="772" t="s">
        <v>1491</v>
      </c>
      <c r="V22" s="772" t="s">
        <v>1374</v>
      </c>
      <c r="W22" s="772" t="s">
        <v>1378</v>
      </c>
      <c r="X22" s="772" t="s">
        <v>1490</v>
      </c>
      <c r="Y22" s="772" t="s">
        <v>1489</v>
      </c>
      <c r="Z22" s="772" t="s">
        <v>1360</v>
      </c>
      <c r="AB22" s="797" t="s">
        <v>1507</v>
      </c>
      <c r="AC22" s="797" t="s">
        <v>1525</v>
      </c>
      <c r="AE22" s="776"/>
      <c r="AF22" s="776" t="s">
        <v>1524</v>
      </c>
      <c r="AG22" s="776" t="s">
        <v>1523</v>
      </c>
      <c r="AH22" s="776" t="s">
        <v>1522</v>
      </c>
      <c r="AI22" s="776" t="s">
        <v>1521</v>
      </c>
      <c r="AJ22" s="776" t="s">
        <v>1520</v>
      </c>
      <c r="AK22" s="797" t="s">
        <v>1506</v>
      </c>
    </row>
    <row r="23" spans="1:39">
      <c r="A23" s="772" t="s">
        <v>1519</v>
      </c>
      <c r="B23" s="895">
        <v>3.3480000000000003</v>
      </c>
      <c r="C23" s="894">
        <v>36.130000000000003</v>
      </c>
      <c r="D23" s="893">
        <v>11.216200000000001</v>
      </c>
      <c r="E23" s="892">
        <v>3.6041661349488443</v>
      </c>
      <c r="F23" s="891">
        <v>72.81</v>
      </c>
      <c r="G23" s="891">
        <f>F23-4.6</f>
        <v>68.210000000000008</v>
      </c>
      <c r="H23" s="890">
        <v>42.805928621114028</v>
      </c>
      <c r="I23" s="882">
        <f>(C23)*3.6</f>
        <v>130.06800000000001</v>
      </c>
      <c r="J23" s="889">
        <v>12</v>
      </c>
      <c r="K23" s="888">
        <f>C23</f>
        <v>36.130000000000003</v>
      </c>
      <c r="L23" s="888">
        <f>D23</f>
        <v>11.216200000000001</v>
      </c>
      <c r="M23" s="887">
        <f>F23</f>
        <v>72.81</v>
      </c>
      <c r="N23" s="886">
        <v>0.1</v>
      </c>
      <c r="O23" s="885">
        <v>20.07</v>
      </c>
      <c r="P23" s="884">
        <v>20.425630542914035</v>
      </c>
      <c r="Q23" s="883">
        <v>9.7200000000000006</v>
      </c>
      <c r="R23" s="883">
        <v>21.48</v>
      </c>
      <c r="S23" s="883">
        <v>23.3</v>
      </c>
      <c r="T23" s="883">
        <v>31.4</v>
      </c>
      <c r="U23" s="883">
        <v>33.85</v>
      </c>
      <c r="V23" s="882">
        <v>58.98</v>
      </c>
      <c r="W23" s="881">
        <v>52.29</v>
      </c>
      <c r="X23" s="881">
        <v>0</v>
      </c>
      <c r="Y23" s="886">
        <v>0.36000000000000004</v>
      </c>
      <c r="Z23" s="841">
        <v>6.25</v>
      </c>
      <c r="AB23" s="797" t="s">
        <v>1507</v>
      </c>
      <c r="AC23" s="907">
        <v>16.04043418191721</v>
      </c>
      <c r="AE23" s="776" t="s">
        <v>1503</v>
      </c>
      <c r="AF23" s="776" t="s">
        <v>1518</v>
      </c>
      <c r="AG23" s="776"/>
      <c r="AH23" s="776" t="s">
        <v>380</v>
      </c>
      <c r="AI23" s="776" t="s">
        <v>380</v>
      </c>
      <c r="AJ23" s="776" t="s">
        <v>380</v>
      </c>
      <c r="AK23" s="797" t="s">
        <v>1506</v>
      </c>
    </row>
    <row r="24" spans="1:39">
      <c r="A24" s="772" t="s">
        <v>1517</v>
      </c>
      <c r="B24" s="922"/>
      <c r="C24" s="918"/>
      <c r="D24" s="917"/>
      <c r="E24" s="921"/>
      <c r="F24" s="916"/>
      <c r="G24" s="920"/>
      <c r="H24" s="916"/>
      <c r="I24" s="912"/>
      <c r="J24" s="919"/>
      <c r="K24" s="918"/>
      <c r="L24" s="917"/>
      <c r="M24" s="916"/>
      <c r="N24" s="798"/>
      <c r="O24" s="915"/>
      <c r="P24" s="914"/>
      <c r="Q24" s="913"/>
      <c r="R24" s="913"/>
      <c r="S24" s="913"/>
      <c r="T24" s="913"/>
      <c r="U24" s="913"/>
      <c r="V24" s="912"/>
      <c r="W24" s="911"/>
      <c r="X24" s="911"/>
      <c r="Y24" s="798"/>
      <c r="AB24" s="797"/>
      <c r="AC24" s="907"/>
      <c r="AE24" s="776"/>
      <c r="AF24" s="776"/>
      <c r="AG24" s="776"/>
      <c r="AH24" s="776"/>
      <c r="AI24" s="776"/>
      <c r="AJ24" s="776"/>
      <c r="AK24" s="797"/>
    </row>
    <row r="25" spans="1:39">
      <c r="A25" s="772" t="s">
        <v>1516</v>
      </c>
      <c r="B25" s="910"/>
      <c r="C25" s="909">
        <v>36.130000000000003</v>
      </c>
      <c r="D25" s="872">
        <v>11.216200000000001</v>
      </c>
      <c r="E25" s="877"/>
      <c r="F25" s="874">
        <v>72.81</v>
      </c>
      <c r="G25" s="876">
        <f>F25-4.6</f>
        <v>68.210000000000008</v>
      </c>
      <c r="H25" s="875"/>
      <c r="I25" s="869"/>
      <c r="J25" s="908"/>
      <c r="K25" s="875">
        <f>C25</f>
        <v>36.130000000000003</v>
      </c>
      <c r="L25" s="872">
        <f>D25</f>
        <v>11.216200000000001</v>
      </c>
      <c r="M25" s="874">
        <f>F25</f>
        <v>72.81</v>
      </c>
      <c r="N25" s="873"/>
      <c r="O25" s="872">
        <v>20.07</v>
      </c>
      <c r="P25" s="870">
        <v>34.555989228098468</v>
      </c>
      <c r="Q25" s="871">
        <v>9.7200000000000006</v>
      </c>
      <c r="R25" s="871">
        <v>21.48</v>
      </c>
      <c r="S25" s="871">
        <v>23.3</v>
      </c>
      <c r="T25" s="871"/>
      <c r="U25" s="871">
        <v>33.85</v>
      </c>
      <c r="V25" s="870">
        <v>58.98</v>
      </c>
      <c r="W25" s="869">
        <v>52.29</v>
      </c>
      <c r="X25" s="869"/>
      <c r="Y25" s="868"/>
      <c r="Z25" s="898"/>
      <c r="AB25" s="797"/>
      <c r="AC25" s="907"/>
      <c r="AE25" s="776"/>
      <c r="AF25" s="776"/>
      <c r="AG25" s="776"/>
      <c r="AH25" s="776"/>
      <c r="AI25" s="776"/>
      <c r="AJ25" s="776"/>
      <c r="AK25" s="797"/>
    </row>
    <row r="26" spans="1:39">
      <c r="A26" s="772" t="s">
        <v>1459</v>
      </c>
      <c r="B26" s="902"/>
      <c r="C26" s="905">
        <v>29.019600000000001</v>
      </c>
      <c r="D26" s="835">
        <v>11.423658027269378</v>
      </c>
      <c r="E26" s="845"/>
      <c r="F26" s="842"/>
      <c r="G26" s="844"/>
      <c r="H26" s="843"/>
      <c r="I26" s="839"/>
      <c r="J26" s="897"/>
      <c r="K26" s="843"/>
      <c r="L26" s="835"/>
      <c r="M26" s="842"/>
      <c r="N26" s="838"/>
      <c r="O26" s="835"/>
      <c r="P26" s="840">
        <v>12.032499999999999</v>
      </c>
      <c r="Q26" s="841"/>
      <c r="R26" s="841"/>
      <c r="S26" s="841"/>
      <c r="T26" s="841"/>
      <c r="U26" s="841"/>
      <c r="V26" s="840"/>
      <c r="W26" s="839"/>
      <c r="X26" s="839"/>
      <c r="Y26" s="864"/>
      <c r="Z26" s="898"/>
      <c r="AB26" s="797" t="s">
        <v>1507</v>
      </c>
      <c r="AC26" s="796">
        <v>16.179995521968046</v>
      </c>
      <c r="AE26" s="776" t="s">
        <v>1363</v>
      </c>
      <c r="AF26" s="776" t="s">
        <v>1363</v>
      </c>
      <c r="AG26" s="776">
        <v>1</v>
      </c>
      <c r="AH26" s="776">
        <v>0</v>
      </c>
      <c r="AI26" s="776">
        <v>0</v>
      </c>
      <c r="AJ26" s="776">
        <v>0</v>
      </c>
      <c r="AK26" s="797" t="s">
        <v>1506</v>
      </c>
    </row>
    <row r="27" spans="1:39">
      <c r="A27" s="772" t="s">
        <v>1515</v>
      </c>
      <c r="B27" s="902"/>
      <c r="C27" s="905">
        <f>C26</f>
        <v>29.019600000000001</v>
      </c>
      <c r="D27" s="835">
        <v>11.423658027269378</v>
      </c>
      <c r="E27" s="845"/>
      <c r="F27" s="842"/>
      <c r="G27" s="844"/>
      <c r="H27" s="843"/>
      <c r="I27" s="839"/>
      <c r="J27" s="897"/>
      <c r="K27" s="843"/>
      <c r="L27" s="835"/>
      <c r="M27" s="842"/>
      <c r="N27" s="838"/>
      <c r="O27" s="835"/>
      <c r="P27" s="840"/>
      <c r="Q27" s="841"/>
      <c r="R27" s="841"/>
      <c r="S27" s="841"/>
      <c r="T27" s="841"/>
      <c r="U27" s="841"/>
      <c r="V27" s="840"/>
      <c r="W27" s="839"/>
      <c r="X27" s="839"/>
      <c r="Y27" s="864"/>
      <c r="Z27" s="898"/>
      <c r="AB27" s="797" t="s">
        <v>1507</v>
      </c>
      <c r="AC27" s="796">
        <v>16.319556862018882</v>
      </c>
      <c r="AE27" s="776" t="s">
        <v>1502</v>
      </c>
      <c r="AF27" s="776" t="s">
        <v>1502</v>
      </c>
      <c r="AG27" s="776">
        <v>2</v>
      </c>
      <c r="AH27" s="776">
        <v>56.9</v>
      </c>
      <c r="AI27" s="776">
        <v>0</v>
      </c>
      <c r="AJ27" s="776">
        <v>1E-3</v>
      </c>
      <c r="AK27" s="797" t="s">
        <v>1506</v>
      </c>
    </row>
    <row r="28" spans="1:39">
      <c r="A28" s="772" t="s">
        <v>1514</v>
      </c>
      <c r="B28" s="902"/>
      <c r="C28" s="905">
        <v>37.49</v>
      </c>
      <c r="D28" s="835">
        <v>11.7</v>
      </c>
      <c r="E28" s="845"/>
      <c r="F28" s="842">
        <v>75.86</v>
      </c>
      <c r="G28" s="844">
        <v>68.210000000000008</v>
      </c>
      <c r="H28" s="843"/>
      <c r="I28" s="839"/>
      <c r="J28" s="897">
        <v>12</v>
      </c>
      <c r="K28" s="843">
        <f>C28</f>
        <v>37.49</v>
      </c>
      <c r="L28" s="835">
        <f>D28</f>
        <v>11.7</v>
      </c>
      <c r="M28" s="842">
        <f>F28</f>
        <v>75.86</v>
      </c>
      <c r="N28" s="838"/>
      <c r="O28" s="835"/>
      <c r="P28" s="840">
        <v>12.032499999999999</v>
      </c>
      <c r="Q28" s="841"/>
      <c r="R28" s="841"/>
      <c r="S28" s="841">
        <v>19.059999999999999</v>
      </c>
      <c r="T28" s="841"/>
      <c r="U28" s="841"/>
      <c r="V28" s="840"/>
      <c r="W28" s="839"/>
      <c r="X28" s="839"/>
      <c r="Y28" s="864"/>
      <c r="Z28" s="898"/>
      <c r="AB28" s="797" t="s">
        <v>1507</v>
      </c>
      <c r="AC28" s="796">
        <v>16.459118202069718</v>
      </c>
      <c r="AE28" s="776" t="s">
        <v>1373</v>
      </c>
      <c r="AF28" s="776" t="s">
        <v>1373</v>
      </c>
      <c r="AG28" s="776">
        <v>3</v>
      </c>
      <c r="AH28" s="776">
        <v>95</v>
      </c>
      <c r="AI28" s="776">
        <v>0.71399999999999997</v>
      </c>
      <c r="AJ28" s="776">
        <v>3.0000000000000001E-3</v>
      </c>
      <c r="AK28" s="772">
        <v>86</v>
      </c>
      <c r="AL28" s="797" t="s">
        <v>1506</v>
      </c>
    </row>
    <row r="29" spans="1:39">
      <c r="A29" s="772" t="s">
        <v>1456</v>
      </c>
      <c r="B29" s="902"/>
      <c r="C29" s="905">
        <v>29.26</v>
      </c>
      <c r="D29" s="835">
        <v>11.84069</v>
      </c>
      <c r="E29" s="845"/>
      <c r="F29" s="842">
        <v>62.962609999999998</v>
      </c>
      <c r="G29" s="844">
        <v>68.210000000000008</v>
      </c>
      <c r="H29" s="843"/>
      <c r="I29" s="839"/>
      <c r="J29" s="897"/>
      <c r="K29" s="843"/>
      <c r="L29" s="835"/>
      <c r="M29" s="842"/>
      <c r="N29" s="838"/>
      <c r="O29" s="835"/>
      <c r="P29" s="840">
        <v>11.664000000000001</v>
      </c>
      <c r="Q29" s="841"/>
      <c r="R29" s="841"/>
      <c r="S29" s="841"/>
      <c r="T29" s="841"/>
      <c r="U29" s="841"/>
      <c r="V29" s="840"/>
      <c r="W29" s="839"/>
      <c r="X29" s="839"/>
      <c r="Y29" s="864"/>
      <c r="Z29" s="898"/>
      <c r="AB29" s="797" t="s">
        <v>1507</v>
      </c>
      <c r="AC29" s="796">
        <v>16.542855006100218</v>
      </c>
      <c r="AE29" s="776" t="s">
        <v>1368</v>
      </c>
      <c r="AF29" s="776" t="s">
        <v>1368</v>
      </c>
      <c r="AG29" s="776">
        <v>4</v>
      </c>
      <c r="AH29" s="776">
        <v>101</v>
      </c>
      <c r="AI29" s="776">
        <v>1.4279999999999999</v>
      </c>
      <c r="AJ29" s="776">
        <v>3.0000000000000001E-3</v>
      </c>
      <c r="AK29" s="797" t="s">
        <v>1506</v>
      </c>
    </row>
    <row r="30" spans="1:39">
      <c r="A30" s="906" t="s">
        <v>1903</v>
      </c>
      <c r="B30" s="902"/>
      <c r="C30" s="905">
        <v>26.335761586340393</v>
      </c>
      <c r="D30" s="835"/>
      <c r="E30" s="845"/>
      <c r="F30" s="842">
        <v>81.598801433998602</v>
      </c>
      <c r="G30" s="844">
        <v>68.210000000000008</v>
      </c>
      <c r="H30" s="843">
        <v>42.805928621114028</v>
      </c>
      <c r="I30" s="839">
        <v>68.221948739900469</v>
      </c>
      <c r="J30" s="897"/>
      <c r="K30" s="843"/>
      <c r="L30" s="835"/>
      <c r="M30" s="842"/>
      <c r="N30" s="838">
        <v>0.1</v>
      </c>
      <c r="O30" s="835"/>
      <c r="P30" s="840">
        <v>27.727963200000001</v>
      </c>
      <c r="Q30" s="841"/>
      <c r="R30" s="841">
        <v>22.7</v>
      </c>
      <c r="S30" s="841">
        <v>28.1</v>
      </c>
      <c r="T30" s="841">
        <v>31.4</v>
      </c>
      <c r="U30" s="841">
        <v>47.5</v>
      </c>
      <c r="V30" s="840">
        <v>90.213494568997803</v>
      </c>
      <c r="W30" s="839">
        <f>(C30)*3.6</f>
        <v>94.808741710825416</v>
      </c>
      <c r="X30" s="839">
        <f>C30</f>
        <v>26.335761586340393</v>
      </c>
      <c r="Y30" s="864">
        <v>1</v>
      </c>
      <c r="Z30" s="898"/>
      <c r="AB30" s="797" t="s">
        <v>1507</v>
      </c>
      <c r="AC30" s="796">
        <v>16.626591810130723</v>
      </c>
      <c r="AE30" s="776" t="s">
        <v>1371</v>
      </c>
      <c r="AF30" s="776" t="s">
        <v>1371</v>
      </c>
      <c r="AG30" s="776">
        <v>5</v>
      </c>
      <c r="AH30" s="776">
        <v>78</v>
      </c>
      <c r="AI30" s="776">
        <v>0.44600000000000001</v>
      </c>
      <c r="AJ30" s="776">
        <v>2E-3</v>
      </c>
      <c r="AK30" s="797" t="s">
        <v>1506</v>
      </c>
    </row>
    <row r="31" spans="1:39">
      <c r="A31" s="906" t="s">
        <v>1513</v>
      </c>
      <c r="B31" s="902"/>
      <c r="C31" s="905">
        <v>26.335761586340393</v>
      </c>
      <c r="D31" s="835"/>
      <c r="E31" s="845"/>
      <c r="F31" s="842">
        <v>81.598801433998602</v>
      </c>
      <c r="G31" s="844">
        <v>68.210000000000008</v>
      </c>
      <c r="H31" s="843">
        <v>42.805928621114028</v>
      </c>
      <c r="I31" s="839">
        <v>68.221948739900469</v>
      </c>
      <c r="J31" s="897"/>
      <c r="K31" s="843"/>
      <c r="L31" s="835"/>
      <c r="M31" s="842"/>
      <c r="N31" s="838">
        <v>0.1</v>
      </c>
      <c r="O31" s="835"/>
      <c r="P31" s="840">
        <v>27.727963200000001</v>
      </c>
      <c r="Q31" s="841"/>
      <c r="R31" s="841">
        <v>22.7</v>
      </c>
      <c r="S31" s="841">
        <v>28.1</v>
      </c>
      <c r="T31" s="841">
        <v>31.4</v>
      </c>
      <c r="U31" s="841">
        <v>47.5</v>
      </c>
      <c r="V31" s="840">
        <v>90.213494568997803</v>
      </c>
      <c r="W31" s="839">
        <f>(C31)*3.6</f>
        <v>94.808741710825416</v>
      </c>
      <c r="X31" s="839">
        <f>C31</f>
        <v>26.335761586340393</v>
      </c>
      <c r="Y31" s="864">
        <v>1</v>
      </c>
      <c r="Z31" s="898"/>
      <c r="AB31" s="797" t="s">
        <v>1507</v>
      </c>
      <c r="AC31" s="796">
        <v>16.710328614161224</v>
      </c>
      <c r="AE31" s="776" t="s">
        <v>1369</v>
      </c>
      <c r="AF31" s="776" t="s">
        <v>1369</v>
      </c>
      <c r="AG31" s="776">
        <v>6</v>
      </c>
      <c r="AH31" s="776">
        <v>74</v>
      </c>
      <c r="AI31" s="776">
        <v>2.3E-2</v>
      </c>
      <c r="AJ31" s="776">
        <v>2E-3</v>
      </c>
      <c r="AK31" s="797" t="s">
        <v>1506</v>
      </c>
    </row>
    <row r="32" spans="1:39">
      <c r="A32" s="906" t="s">
        <v>1512</v>
      </c>
      <c r="B32" s="902"/>
      <c r="C32" s="905">
        <v>26.335761586340393</v>
      </c>
      <c r="D32" s="835"/>
      <c r="E32" s="845"/>
      <c r="F32" s="842">
        <v>81.598801433998602</v>
      </c>
      <c r="G32" s="844">
        <v>68.210000000000008</v>
      </c>
      <c r="H32" s="843">
        <v>42.805928621114028</v>
      </c>
      <c r="I32" s="839">
        <v>68.221948739900469</v>
      </c>
      <c r="J32" s="835"/>
      <c r="K32" s="843"/>
      <c r="L32" s="835"/>
      <c r="M32" s="842"/>
      <c r="N32" s="838">
        <v>0.1</v>
      </c>
      <c r="O32" s="835"/>
      <c r="P32" s="840">
        <v>27.727963200000001</v>
      </c>
      <c r="Q32" s="841"/>
      <c r="R32" s="841">
        <v>22.7</v>
      </c>
      <c r="S32" s="841">
        <v>28.1</v>
      </c>
      <c r="T32" s="841">
        <v>31.4</v>
      </c>
      <c r="U32" s="841">
        <v>47.5</v>
      </c>
      <c r="V32" s="840">
        <v>90.213494568997803</v>
      </c>
      <c r="W32" s="839">
        <f>(C32)*3.6</f>
        <v>94.808741710825416</v>
      </c>
      <c r="X32" s="839">
        <f>C32</f>
        <v>26.335761586340393</v>
      </c>
      <c r="Y32" s="864">
        <v>1</v>
      </c>
      <c r="Z32" s="898"/>
      <c r="AB32" s="797" t="s">
        <v>1507</v>
      </c>
      <c r="AC32" s="796">
        <v>16.794065418191728</v>
      </c>
      <c r="AE32" s="776" t="s">
        <v>1362</v>
      </c>
      <c r="AF32" s="776" t="s">
        <v>1362</v>
      </c>
      <c r="AG32" s="776">
        <v>7</v>
      </c>
      <c r="AH32" s="776">
        <v>80</v>
      </c>
      <c r="AI32" s="776">
        <v>1.337</v>
      </c>
      <c r="AJ32" s="776">
        <v>2E-3</v>
      </c>
      <c r="AK32" s="797" t="s">
        <v>1506</v>
      </c>
    </row>
    <row r="33" spans="1:42">
      <c r="A33" s="906" t="s">
        <v>1511</v>
      </c>
      <c r="B33" s="902"/>
      <c r="C33" s="905">
        <v>26.335761586340393</v>
      </c>
      <c r="D33" s="835"/>
      <c r="E33" s="845"/>
      <c r="F33" s="842">
        <v>81.598801433998602</v>
      </c>
      <c r="G33" s="844">
        <v>68.210000000000008</v>
      </c>
      <c r="H33" s="843">
        <v>42.805928621114028</v>
      </c>
      <c r="I33" s="839">
        <v>68.221948739900469</v>
      </c>
      <c r="J33" s="835"/>
      <c r="K33" s="843"/>
      <c r="L33" s="835"/>
      <c r="M33" s="842"/>
      <c r="N33" s="838">
        <v>0.1</v>
      </c>
      <c r="O33" s="835"/>
      <c r="P33" s="840">
        <v>27.727963200000001</v>
      </c>
      <c r="Q33" s="841"/>
      <c r="R33" s="841">
        <v>22.7</v>
      </c>
      <c r="S33" s="841">
        <v>28.1</v>
      </c>
      <c r="T33" s="841">
        <v>31.4</v>
      </c>
      <c r="U33" s="841">
        <v>47.5</v>
      </c>
      <c r="V33" s="840">
        <v>90.213494568997803</v>
      </c>
      <c r="W33" s="839">
        <f>(C33)*3.6</f>
        <v>94.808741710825416</v>
      </c>
      <c r="X33" s="839">
        <f>C33</f>
        <v>26.335761586340393</v>
      </c>
      <c r="Y33" s="864">
        <v>1</v>
      </c>
      <c r="Z33" s="898"/>
      <c r="AB33" s="797" t="s">
        <v>1507</v>
      </c>
      <c r="AC33" s="796">
        <v>16.877802222222229</v>
      </c>
      <c r="AE33" s="776" t="s">
        <v>1360</v>
      </c>
      <c r="AF33" s="776" t="s">
        <v>1360</v>
      </c>
      <c r="AG33" s="776">
        <v>8</v>
      </c>
      <c r="AH33" s="776">
        <v>106</v>
      </c>
      <c r="AI33" s="776">
        <v>1.4279999999999999</v>
      </c>
      <c r="AJ33" s="776">
        <v>3.0000000000000001E-3</v>
      </c>
      <c r="AK33" s="797" t="s">
        <v>1506</v>
      </c>
    </row>
    <row r="34" spans="1:42">
      <c r="A34" s="906" t="s">
        <v>1510</v>
      </c>
      <c r="B34" s="902"/>
      <c r="C34" s="905">
        <v>26.335761586340393</v>
      </c>
      <c r="D34" s="835"/>
      <c r="E34" s="845"/>
      <c r="F34" s="842">
        <v>81.598801433998602</v>
      </c>
      <c r="G34" s="844">
        <v>68.210000000000008</v>
      </c>
      <c r="H34" s="843">
        <v>42.805928621114028</v>
      </c>
      <c r="I34" s="839">
        <v>68.221948739900469</v>
      </c>
      <c r="J34" s="835"/>
      <c r="K34" s="843"/>
      <c r="L34" s="835"/>
      <c r="M34" s="842"/>
      <c r="N34" s="838">
        <v>0.1</v>
      </c>
      <c r="O34" s="835"/>
      <c r="P34" s="840">
        <v>27.727963200000001</v>
      </c>
      <c r="Q34" s="841"/>
      <c r="R34" s="841">
        <v>22.7</v>
      </c>
      <c r="S34" s="841">
        <v>28.1</v>
      </c>
      <c r="T34" s="841">
        <v>31.4</v>
      </c>
      <c r="U34" s="841">
        <v>47.5</v>
      </c>
      <c r="V34" s="840">
        <v>90.213494568997803</v>
      </c>
      <c r="W34" s="839">
        <f>(C34)*3.6</f>
        <v>94.808741710825416</v>
      </c>
      <c r="X34" s="839">
        <f>C34</f>
        <v>26.335761586340393</v>
      </c>
      <c r="Y34" s="864">
        <v>1</v>
      </c>
      <c r="Z34" s="898"/>
      <c r="AB34" s="797" t="s">
        <v>1507</v>
      </c>
      <c r="AC34" s="796">
        <v>17.140758666666674</v>
      </c>
      <c r="AE34" s="904" t="s">
        <v>1361</v>
      </c>
      <c r="AF34" s="904" t="s">
        <v>1361</v>
      </c>
      <c r="AG34" s="904">
        <v>9</v>
      </c>
      <c r="AH34" s="904">
        <v>107</v>
      </c>
      <c r="AI34" s="904">
        <v>0.24</v>
      </c>
      <c r="AJ34" s="904">
        <v>3.0000000000000001E-3</v>
      </c>
      <c r="AK34" s="797" t="s">
        <v>1506</v>
      </c>
    </row>
    <row r="35" spans="1:42">
      <c r="A35" s="903" t="s">
        <v>1449</v>
      </c>
      <c r="B35" s="902"/>
      <c r="C35" s="843"/>
      <c r="D35" s="835"/>
      <c r="E35" s="845"/>
      <c r="F35" s="842"/>
      <c r="G35" s="844"/>
      <c r="H35" s="842"/>
      <c r="I35" s="840"/>
      <c r="J35" s="835">
        <v>15</v>
      </c>
      <c r="K35" s="843"/>
      <c r="L35" s="835"/>
      <c r="M35" s="842"/>
      <c r="N35" s="838"/>
      <c r="O35" s="835"/>
      <c r="P35" s="840">
        <v>12.032499999999999</v>
      </c>
      <c r="Q35" s="841">
        <v>15.05</v>
      </c>
      <c r="R35" s="841">
        <v>21.48</v>
      </c>
      <c r="S35" s="841">
        <v>23.09</v>
      </c>
      <c r="T35" s="841"/>
      <c r="U35" s="841">
        <v>33.200000000000003</v>
      </c>
      <c r="V35" s="840"/>
      <c r="W35" s="839"/>
      <c r="X35" s="839"/>
      <c r="Y35" s="864"/>
      <c r="Z35" s="898"/>
      <c r="AB35" s="797" t="s">
        <v>1507</v>
      </c>
      <c r="AC35" s="796">
        <v>19.535948888888896</v>
      </c>
      <c r="AE35" s="776" t="s">
        <v>1509</v>
      </c>
      <c r="AF35" s="776" t="s">
        <v>1509</v>
      </c>
      <c r="AG35" s="776"/>
      <c r="AH35" s="776"/>
      <c r="AI35" s="776"/>
      <c r="AJ35" s="776"/>
      <c r="AK35" s="797" t="s">
        <v>1506</v>
      </c>
    </row>
    <row r="36" spans="1:42">
      <c r="A36" s="903" t="s">
        <v>1444</v>
      </c>
      <c r="B36" s="902"/>
      <c r="C36" s="843"/>
      <c r="D36" s="835"/>
      <c r="E36" s="845"/>
      <c r="F36" s="842"/>
      <c r="G36" s="844"/>
      <c r="H36" s="842"/>
      <c r="I36" s="840"/>
      <c r="J36" s="835">
        <v>15</v>
      </c>
      <c r="K36" s="843"/>
      <c r="L36" s="835"/>
      <c r="M36" s="842"/>
      <c r="N36" s="838"/>
      <c r="O36" s="835"/>
      <c r="P36" s="840">
        <v>12.032499999999999</v>
      </c>
      <c r="Q36" s="841">
        <v>15.05</v>
      </c>
      <c r="R36" s="841">
        <v>24.48</v>
      </c>
      <c r="S36" s="841">
        <v>23.09</v>
      </c>
      <c r="T36" s="841"/>
      <c r="U36" s="841">
        <v>33.200000000000003</v>
      </c>
      <c r="V36" s="840"/>
      <c r="W36" s="839"/>
      <c r="X36" s="839"/>
      <c r="Y36" s="864"/>
      <c r="Z36" s="898"/>
      <c r="AB36" s="797" t="s">
        <v>1507</v>
      </c>
      <c r="AC36" s="796">
        <v>19.693151111111117</v>
      </c>
      <c r="AE36" s="776" t="s">
        <v>1508</v>
      </c>
      <c r="AF36" s="776" t="s">
        <v>1508</v>
      </c>
      <c r="AG36" s="776">
        <v>18</v>
      </c>
      <c r="AH36" s="776"/>
      <c r="AI36" s="776"/>
      <c r="AJ36" s="776"/>
      <c r="AK36" s="797" t="s">
        <v>1506</v>
      </c>
    </row>
    <row r="37" spans="1:42">
      <c r="A37" s="903" t="s">
        <v>1439</v>
      </c>
      <c r="B37" s="902"/>
      <c r="C37" s="843"/>
      <c r="D37" s="835"/>
      <c r="E37" s="845"/>
      <c r="F37" s="842"/>
      <c r="G37" s="844"/>
      <c r="H37" s="842"/>
      <c r="I37" s="840"/>
      <c r="J37" s="835">
        <v>15</v>
      </c>
      <c r="K37" s="843"/>
      <c r="L37" s="835"/>
      <c r="M37" s="842"/>
      <c r="N37" s="838"/>
      <c r="O37" s="835"/>
      <c r="P37" s="840">
        <v>12.032499999999999</v>
      </c>
      <c r="Q37" s="841">
        <v>13.21</v>
      </c>
      <c r="R37" s="841">
        <v>22.63</v>
      </c>
      <c r="S37" s="841">
        <v>24.93</v>
      </c>
      <c r="T37" s="841"/>
      <c r="U37" s="841">
        <v>33.32</v>
      </c>
      <c r="V37" s="840"/>
      <c r="W37" s="839"/>
      <c r="X37" s="839"/>
      <c r="Y37" s="864"/>
      <c r="Z37" s="898"/>
      <c r="AB37" s="797" t="s">
        <v>1507</v>
      </c>
      <c r="AC37" s="796">
        <v>19.850353333333342</v>
      </c>
      <c r="AK37" s="797" t="s">
        <v>1506</v>
      </c>
    </row>
    <row r="38" spans="1:42">
      <c r="A38" s="901" t="s">
        <v>1434</v>
      </c>
      <c r="B38" s="900"/>
      <c r="C38" s="858"/>
      <c r="D38" s="855"/>
      <c r="E38" s="860"/>
      <c r="F38" s="857"/>
      <c r="G38" s="859"/>
      <c r="H38" s="857"/>
      <c r="I38" s="853"/>
      <c r="J38" s="855">
        <v>15</v>
      </c>
      <c r="K38" s="858"/>
      <c r="L38" s="855"/>
      <c r="M38" s="857"/>
      <c r="N38" s="856"/>
      <c r="O38" s="855"/>
      <c r="P38" s="840">
        <v>12.032499999999999</v>
      </c>
      <c r="Q38" s="854">
        <v>10.11</v>
      </c>
      <c r="R38" s="854">
        <v>19.88</v>
      </c>
      <c r="S38" s="854">
        <v>24.13</v>
      </c>
      <c r="T38" s="854"/>
      <c r="U38" s="854">
        <v>37.909999999999997</v>
      </c>
      <c r="V38" s="853"/>
      <c r="W38" s="899"/>
      <c r="X38" s="852"/>
      <c r="Y38" s="851"/>
      <c r="Z38" s="898"/>
      <c r="AB38" s="797"/>
      <c r="AC38" s="796"/>
      <c r="AE38" s="776"/>
      <c r="AF38" s="776"/>
      <c r="AG38" s="776"/>
      <c r="AH38" s="776"/>
      <c r="AI38" s="776"/>
      <c r="AJ38" s="776"/>
      <c r="AK38" s="797"/>
    </row>
    <row r="39" spans="1:42">
      <c r="A39" s="772" t="s">
        <v>1505</v>
      </c>
      <c r="B39" s="830"/>
      <c r="C39" s="843"/>
      <c r="D39" s="835"/>
      <c r="E39" s="845"/>
      <c r="F39" s="842"/>
      <c r="G39" s="844"/>
      <c r="H39" s="842"/>
      <c r="I39" s="840"/>
      <c r="J39" s="897">
        <v>12</v>
      </c>
      <c r="K39" s="843"/>
      <c r="L39" s="835"/>
      <c r="M39" s="842"/>
      <c r="N39" s="838"/>
      <c r="O39" s="835"/>
      <c r="P39" s="840">
        <v>12.032499999999999</v>
      </c>
      <c r="Q39" s="841"/>
      <c r="R39" s="841"/>
      <c r="S39" s="841">
        <v>19.059999999999999</v>
      </c>
      <c r="T39" s="841"/>
      <c r="U39" s="841"/>
      <c r="V39" s="840"/>
      <c r="X39" s="839"/>
      <c r="Y39" s="864"/>
      <c r="Z39" s="841">
        <v>6.25</v>
      </c>
      <c r="AB39" s="797"/>
      <c r="AC39" s="796"/>
      <c r="AE39" s="776"/>
      <c r="AF39" s="776"/>
      <c r="AG39" s="776"/>
      <c r="AH39" s="776"/>
      <c r="AI39" s="776"/>
      <c r="AJ39" s="776"/>
      <c r="AK39" s="797"/>
    </row>
    <row r="40" spans="1:42">
      <c r="A40" s="772" t="s">
        <v>1504</v>
      </c>
      <c r="B40" s="830"/>
      <c r="C40" s="843"/>
      <c r="D40" s="835"/>
      <c r="E40" s="845"/>
      <c r="F40" s="842"/>
      <c r="G40" s="844"/>
      <c r="H40" s="842"/>
      <c r="I40" s="840"/>
      <c r="J40" s="835"/>
      <c r="K40" s="843"/>
      <c r="L40" s="835"/>
      <c r="M40" s="842"/>
      <c r="N40" s="838"/>
      <c r="O40" s="835"/>
      <c r="P40" s="835"/>
      <c r="Q40" s="841"/>
      <c r="R40" s="841"/>
      <c r="S40" s="841"/>
      <c r="T40" s="841"/>
      <c r="U40" s="841"/>
      <c r="V40" s="840"/>
      <c r="X40" s="839"/>
      <c r="Y40" s="864"/>
      <c r="AB40" s="797"/>
      <c r="AC40" s="796"/>
      <c r="AE40" s="776"/>
      <c r="AF40" s="776"/>
      <c r="AG40" s="776"/>
      <c r="AH40" s="776"/>
      <c r="AI40" s="776"/>
      <c r="AJ40" s="776"/>
      <c r="AK40" s="797"/>
    </row>
    <row r="41" spans="1:42">
      <c r="A41" s="772" t="s">
        <v>1503</v>
      </c>
      <c r="B41" s="772" t="s">
        <v>1363</v>
      </c>
      <c r="C41" s="772" t="s">
        <v>1502</v>
      </c>
      <c r="D41" s="772" t="s">
        <v>1373</v>
      </c>
      <c r="E41" s="772" t="s">
        <v>1368</v>
      </c>
      <c r="F41" s="772" t="s">
        <v>1371</v>
      </c>
      <c r="G41" s="776" t="s">
        <v>1501</v>
      </c>
      <c r="H41" s="772" t="s">
        <v>1500</v>
      </c>
      <c r="I41" s="772" t="s">
        <v>75</v>
      </c>
      <c r="J41" s="772" t="s">
        <v>1361</v>
      </c>
      <c r="K41" s="772" t="s">
        <v>1499</v>
      </c>
      <c r="L41" s="772" t="s">
        <v>1498</v>
      </c>
      <c r="M41" s="772" t="s">
        <v>1497</v>
      </c>
      <c r="N41" s="772" t="s">
        <v>1496</v>
      </c>
      <c r="O41" s="772" t="s">
        <v>1359</v>
      </c>
      <c r="P41" s="772" t="s">
        <v>1357</v>
      </c>
      <c r="Q41" s="772" t="s">
        <v>1495</v>
      </c>
      <c r="R41" s="772" t="s">
        <v>1494</v>
      </c>
      <c r="S41" s="772" t="s">
        <v>1493</v>
      </c>
      <c r="T41" s="772" t="s">
        <v>1492</v>
      </c>
      <c r="U41" s="772" t="s">
        <v>1491</v>
      </c>
      <c r="V41" s="772" t="s">
        <v>1374</v>
      </c>
      <c r="W41" s="772" t="s">
        <v>1378</v>
      </c>
      <c r="X41" s="772" t="s">
        <v>1490</v>
      </c>
      <c r="Y41" s="772" t="s">
        <v>1489</v>
      </c>
      <c r="Z41" s="772" t="s">
        <v>1360</v>
      </c>
      <c r="AB41" s="797"/>
      <c r="AC41" s="796"/>
      <c r="AE41" s="776"/>
      <c r="AF41" s="776"/>
      <c r="AG41" s="776"/>
      <c r="AH41" s="776"/>
      <c r="AI41" s="776"/>
      <c r="AJ41" s="776"/>
      <c r="AK41" s="797"/>
    </row>
    <row r="42" spans="1:42">
      <c r="A42" s="896" t="s">
        <v>1488</v>
      </c>
      <c r="B42" s="895">
        <f>B23</f>
        <v>3.3480000000000003</v>
      </c>
      <c r="C42" s="894">
        <f>AVERAGE(C89:C90,C86)</f>
        <v>27.286942302532264</v>
      </c>
      <c r="D42" s="893">
        <f>AVERAGE(D89:D90,D86)</f>
        <v>9.2947309658697694</v>
      </c>
      <c r="E42" s="892">
        <f>E23</f>
        <v>3.6041661349488443</v>
      </c>
      <c r="F42" s="891">
        <v>59.022315531666607</v>
      </c>
      <c r="G42" s="891">
        <v>45.361633570256558</v>
      </c>
      <c r="H42" s="890">
        <f>(C42/C23)*H23</f>
        <v>32.3288930110892</v>
      </c>
      <c r="I42" s="882">
        <f>(M42/M23)*I23</f>
        <v>105.4376395628734</v>
      </c>
      <c r="J42" s="889">
        <v>13.8</v>
      </c>
      <c r="K42" s="888">
        <f>C42</f>
        <v>27.286942302532264</v>
      </c>
      <c r="L42" s="888">
        <f>D42</f>
        <v>9.2947309658697694</v>
      </c>
      <c r="M42" s="887">
        <f>F42</f>
        <v>59.022315531666607</v>
      </c>
      <c r="N42" s="886">
        <f>N23</f>
        <v>0.1</v>
      </c>
      <c r="O42" s="885">
        <v>20.16</v>
      </c>
      <c r="P42" s="884">
        <f>(Q42/Q23)*P23</f>
        <v>19.566526769006064</v>
      </c>
      <c r="Q42" s="883">
        <f>(R42/R23)*Q23</f>
        <v>9.3111759656652371</v>
      </c>
      <c r="R42" s="883">
        <f>(S42/S23)*R23</f>
        <v>20.576549356223175</v>
      </c>
      <c r="S42" s="883">
        <v>22.32</v>
      </c>
      <c r="T42" s="883">
        <f>(S42/S23)*T23</f>
        <v>30.079313304721026</v>
      </c>
      <c r="U42" s="883">
        <v>30.240000000000002</v>
      </c>
      <c r="V42" s="882">
        <f>(U42/U23)*V23</f>
        <v>52.68996159527326</v>
      </c>
      <c r="W42" s="881">
        <f>(V42/V23)*W23</f>
        <v>46.713429837518461</v>
      </c>
      <c r="X42" s="881">
        <f>(I42/I23)*X23</f>
        <v>0</v>
      </c>
      <c r="Y42" s="880">
        <f>(W42/W23)*Y23</f>
        <v>0.32160709010339739</v>
      </c>
      <c r="Z42" s="849">
        <v>3.2593320000000001</v>
      </c>
      <c r="AB42" s="797"/>
      <c r="AC42" s="796"/>
      <c r="AE42" s="776"/>
      <c r="AF42" s="776"/>
      <c r="AG42" s="776"/>
      <c r="AH42" s="776"/>
      <c r="AI42" s="776"/>
      <c r="AJ42" s="776"/>
      <c r="AK42" s="797"/>
    </row>
    <row r="43" spans="1:42">
      <c r="A43" s="879" t="s">
        <v>1487</v>
      </c>
      <c r="B43" s="878">
        <f t="shared" ref="B43:B57" si="1">B42*(1+H66)</f>
        <v>3.3480000000000003</v>
      </c>
      <c r="C43" s="872">
        <f t="shared" ref="C43:C57" si="2">C42*(1+I66)</f>
        <v>27.286942302532264</v>
      </c>
      <c r="D43" s="877">
        <f t="shared" ref="D43:D57" si="3">D42*(1+J66)</f>
        <v>9.2947309658697694</v>
      </c>
      <c r="E43" s="874">
        <f t="shared" ref="E43:E57" si="4">E42*(1+K66)</f>
        <v>3.6041661349488443</v>
      </c>
      <c r="F43" s="876">
        <f t="shared" ref="F43:F57" si="5">F42*(1+L66)</f>
        <v>59.022315531666607</v>
      </c>
      <c r="G43" s="875">
        <f t="shared" ref="G43:G57" si="6">G42*(1+M66)</f>
        <v>45.361633570256558</v>
      </c>
      <c r="H43" s="869">
        <f t="shared" ref="H43:H57" si="7">H42*(1+N66)</f>
        <v>32.3288930110892</v>
      </c>
      <c r="I43" s="872">
        <f t="shared" ref="I43:I57" si="8">I42*(1+O66)</f>
        <v>105.4376395628734</v>
      </c>
      <c r="J43" s="875">
        <f t="shared" ref="J43:J57" si="9">J42*(1+P66)</f>
        <v>13.8</v>
      </c>
      <c r="K43" s="872">
        <f t="shared" ref="K43:K57" si="10">K42*(1+Q66)</f>
        <v>27.286942302532264</v>
      </c>
      <c r="L43" s="874">
        <f t="shared" ref="L43:L57" si="11">L42*(1+R66)</f>
        <v>9.2947309658697694</v>
      </c>
      <c r="M43" s="873">
        <f t="shared" ref="M43:M57" si="12">M42*(1+S66)</f>
        <v>59.022315531666607</v>
      </c>
      <c r="N43" s="872">
        <f t="shared" ref="N43:N57" si="13">N42*(1+T66)</f>
        <v>0.1</v>
      </c>
      <c r="O43" s="870">
        <f t="shared" ref="O43:O57" si="14">O42*(1+U66)</f>
        <v>20.16</v>
      </c>
      <c r="P43" s="871">
        <f t="shared" ref="P43:P57" si="15">P42*(1+V66)</f>
        <v>19.566526769006064</v>
      </c>
      <c r="Q43" s="871">
        <f t="shared" ref="Q43:Q57" si="16">Q42*(1+W66)</f>
        <v>9.3111759656652371</v>
      </c>
      <c r="R43" s="871">
        <f t="shared" ref="R43:R57" si="17">R42*(1+X66)</f>
        <v>20.576549356223175</v>
      </c>
      <c r="S43" s="871">
        <f t="shared" ref="S43:S57" si="18">S42*(1+Y66)</f>
        <v>22.32</v>
      </c>
      <c r="T43" s="871">
        <f t="shared" ref="T43:T57" si="19">T42*(1+Z66)</f>
        <v>30.079313304721026</v>
      </c>
      <c r="U43" s="870">
        <f t="shared" ref="U43:U57" si="20">U42*(1+AB66)</f>
        <v>30.240000000000002</v>
      </c>
      <c r="V43" s="869">
        <f t="shared" ref="V43:V57" si="21">V42*(1+AC66)</f>
        <v>52.68996159527326</v>
      </c>
      <c r="W43" s="869">
        <f t="shared" ref="W43:W57" si="22">W42*(1+AD66)</f>
        <v>46.713429837518461</v>
      </c>
      <c r="X43" s="868">
        <f t="shared" ref="X43:X57" si="23">X42*(1+AE66)</f>
        <v>0</v>
      </c>
      <c r="Y43" s="867">
        <f t="shared" ref="Y43:Y57" si="24">Y42</f>
        <v>0.32160709010339739</v>
      </c>
      <c r="Z43" s="849">
        <v>5.4213555600000003</v>
      </c>
      <c r="AA43" s="838"/>
      <c r="AB43" s="797"/>
      <c r="AC43" s="797"/>
      <c r="AD43" s="796"/>
      <c r="AF43" s="776"/>
      <c r="AG43" s="776"/>
      <c r="AH43" s="776"/>
      <c r="AI43" s="776"/>
      <c r="AJ43" s="776"/>
      <c r="AK43" s="776"/>
      <c r="AL43" s="797"/>
    </row>
    <row r="44" spans="1:42">
      <c r="A44" s="866" t="s">
        <v>1486</v>
      </c>
      <c r="B44" s="865">
        <f t="shared" si="1"/>
        <v>3.3480000000000003</v>
      </c>
      <c r="C44" s="835">
        <f t="shared" si="2"/>
        <v>27.286942302532264</v>
      </c>
      <c r="D44" s="845">
        <f t="shared" si="3"/>
        <v>9.2947309658697694</v>
      </c>
      <c r="E44" s="842">
        <f t="shared" si="4"/>
        <v>3.6041661349488443</v>
      </c>
      <c r="F44" s="844">
        <f t="shared" si="5"/>
        <v>59.022315531666607</v>
      </c>
      <c r="G44" s="843">
        <f t="shared" si="6"/>
        <v>45.361633570256558</v>
      </c>
      <c r="H44" s="839">
        <f t="shared" si="7"/>
        <v>32.3288930110892</v>
      </c>
      <c r="I44" s="835">
        <f t="shared" si="8"/>
        <v>105.4376395628734</v>
      </c>
      <c r="J44" s="843">
        <f t="shared" si="9"/>
        <v>13.8</v>
      </c>
      <c r="K44" s="835">
        <f t="shared" si="10"/>
        <v>27.286942302532264</v>
      </c>
      <c r="L44" s="842">
        <f t="shared" si="11"/>
        <v>9.2947309658697694</v>
      </c>
      <c r="M44" s="838">
        <f t="shared" si="12"/>
        <v>59.022315531666607</v>
      </c>
      <c r="N44" s="835">
        <f t="shared" si="13"/>
        <v>0.1</v>
      </c>
      <c r="O44" s="840">
        <f t="shared" si="14"/>
        <v>20.16</v>
      </c>
      <c r="P44" s="841">
        <f t="shared" si="15"/>
        <v>19.566526769006064</v>
      </c>
      <c r="Q44" s="841">
        <f t="shared" si="16"/>
        <v>9.3111759656652371</v>
      </c>
      <c r="R44" s="841">
        <f t="shared" si="17"/>
        <v>20.576549356223175</v>
      </c>
      <c r="S44" s="841">
        <f t="shared" si="18"/>
        <v>22.32</v>
      </c>
      <c r="T44" s="841">
        <f t="shared" si="19"/>
        <v>30.079313304721026</v>
      </c>
      <c r="U44" s="840">
        <f t="shared" si="20"/>
        <v>30.240000000000002</v>
      </c>
      <c r="V44" s="839">
        <f t="shared" si="21"/>
        <v>52.68996159527326</v>
      </c>
      <c r="W44" s="839">
        <f t="shared" si="22"/>
        <v>46.713429837518461</v>
      </c>
      <c r="X44" s="864">
        <f t="shared" si="23"/>
        <v>0</v>
      </c>
      <c r="Y44" s="863">
        <f t="shared" si="24"/>
        <v>0.32160709010339739</v>
      </c>
      <c r="Z44" s="849">
        <v>5.5299999600000005</v>
      </c>
      <c r="AA44" s="835"/>
      <c r="AB44" s="797"/>
      <c r="AC44" s="835"/>
      <c r="AD44" s="835"/>
      <c r="AE44" s="838"/>
      <c r="AG44" s="797"/>
      <c r="AH44" s="796"/>
      <c r="AJ44" s="776"/>
      <c r="AK44" s="776"/>
      <c r="AL44" s="776"/>
      <c r="AM44" s="776"/>
      <c r="AN44" s="776"/>
    </row>
    <row r="45" spans="1:42">
      <c r="A45" s="866" t="s">
        <v>1485</v>
      </c>
      <c r="B45" s="865">
        <f t="shared" si="1"/>
        <v>3.3480000000000003</v>
      </c>
      <c r="C45" s="835">
        <f t="shared" si="2"/>
        <v>27.286942302532264</v>
      </c>
      <c r="D45" s="845">
        <f t="shared" si="3"/>
        <v>9.2947309658697694</v>
      </c>
      <c r="E45" s="842">
        <f t="shared" si="4"/>
        <v>3.6041661349488443</v>
      </c>
      <c r="F45" s="844">
        <f t="shared" si="5"/>
        <v>59.022315531666607</v>
      </c>
      <c r="G45" s="843">
        <f t="shared" si="6"/>
        <v>45.361633570256558</v>
      </c>
      <c r="H45" s="839">
        <f t="shared" si="7"/>
        <v>32.3288930110892</v>
      </c>
      <c r="I45" s="835">
        <f t="shared" si="8"/>
        <v>105.4376395628734</v>
      </c>
      <c r="J45" s="843">
        <f t="shared" si="9"/>
        <v>13.8</v>
      </c>
      <c r="K45" s="835">
        <f t="shared" si="10"/>
        <v>27.286942302532264</v>
      </c>
      <c r="L45" s="842">
        <f t="shared" si="11"/>
        <v>9.2947309658697694</v>
      </c>
      <c r="M45" s="838">
        <f t="shared" si="12"/>
        <v>59.022315531666607</v>
      </c>
      <c r="N45" s="835">
        <f t="shared" si="13"/>
        <v>0.1</v>
      </c>
      <c r="O45" s="840">
        <f t="shared" si="14"/>
        <v>20.16</v>
      </c>
      <c r="P45" s="841">
        <f t="shared" si="15"/>
        <v>19.566526769006064</v>
      </c>
      <c r="Q45" s="841">
        <f t="shared" si="16"/>
        <v>9.3111759656652371</v>
      </c>
      <c r="R45" s="841">
        <f t="shared" si="17"/>
        <v>20.576549356223175</v>
      </c>
      <c r="S45" s="841">
        <f t="shared" si="18"/>
        <v>22.32</v>
      </c>
      <c r="T45" s="841">
        <f t="shared" si="19"/>
        <v>30.079313304721026</v>
      </c>
      <c r="U45" s="840">
        <f t="shared" si="20"/>
        <v>30.240000000000002</v>
      </c>
      <c r="V45" s="839">
        <f t="shared" si="21"/>
        <v>52.68996159527326</v>
      </c>
      <c r="W45" s="839">
        <f t="shared" si="22"/>
        <v>46.713429837518461</v>
      </c>
      <c r="X45" s="864">
        <f t="shared" si="23"/>
        <v>0</v>
      </c>
      <c r="Y45" s="863">
        <f t="shared" si="24"/>
        <v>0.32160709010339739</v>
      </c>
      <c r="Z45" s="849">
        <v>5.6386443599999998</v>
      </c>
      <c r="AA45" s="835"/>
      <c r="AB45" s="797"/>
      <c r="AC45" s="835"/>
      <c r="AD45" s="835"/>
      <c r="AE45" s="838"/>
      <c r="AG45" s="797"/>
      <c r="AH45" s="796"/>
      <c r="AJ45" s="776"/>
      <c r="AK45" s="776"/>
      <c r="AL45" s="776"/>
      <c r="AM45" s="776"/>
      <c r="AN45" s="776"/>
      <c r="AO45" s="776"/>
      <c r="AP45" s="797"/>
    </row>
    <row r="46" spans="1:42">
      <c r="A46" s="866" t="s">
        <v>1484</v>
      </c>
      <c r="B46" s="865">
        <f t="shared" si="1"/>
        <v>3.3480000000000003</v>
      </c>
      <c r="C46" s="835">
        <f t="shared" si="2"/>
        <v>27.286942302532264</v>
      </c>
      <c r="D46" s="845">
        <f t="shared" si="3"/>
        <v>9.2947309658697694</v>
      </c>
      <c r="E46" s="842">
        <f t="shared" si="4"/>
        <v>3.6041661349488443</v>
      </c>
      <c r="F46" s="844">
        <f t="shared" si="5"/>
        <v>59.022315531666607</v>
      </c>
      <c r="G46" s="843">
        <f t="shared" si="6"/>
        <v>45.361633570256558</v>
      </c>
      <c r="H46" s="839">
        <f t="shared" si="7"/>
        <v>32.3288930110892</v>
      </c>
      <c r="I46" s="835">
        <f t="shared" si="8"/>
        <v>105.4376395628734</v>
      </c>
      <c r="J46" s="843">
        <f t="shared" si="9"/>
        <v>13.8</v>
      </c>
      <c r="K46" s="835">
        <f t="shared" si="10"/>
        <v>27.286942302532264</v>
      </c>
      <c r="L46" s="842">
        <f t="shared" si="11"/>
        <v>9.2947309658697694</v>
      </c>
      <c r="M46" s="838">
        <f t="shared" si="12"/>
        <v>59.022315531666607</v>
      </c>
      <c r="N46" s="835">
        <f t="shared" si="13"/>
        <v>0.1</v>
      </c>
      <c r="O46" s="840">
        <f t="shared" si="14"/>
        <v>20.16</v>
      </c>
      <c r="P46" s="841">
        <f t="shared" si="15"/>
        <v>19.566526769006064</v>
      </c>
      <c r="Q46" s="841">
        <f t="shared" si="16"/>
        <v>9.3111759656652371</v>
      </c>
      <c r="R46" s="841">
        <f t="shared" si="17"/>
        <v>20.576549356223175</v>
      </c>
      <c r="S46" s="841">
        <f t="shared" si="18"/>
        <v>22.32</v>
      </c>
      <c r="T46" s="841">
        <f t="shared" si="19"/>
        <v>30.079313304721026</v>
      </c>
      <c r="U46" s="840">
        <f t="shared" si="20"/>
        <v>30.240000000000002</v>
      </c>
      <c r="V46" s="839">
        <f t="shared" si="21"/>
        <v>52.68996159527326</v>
      </c>
      <c r="W46" s="839">
        <f t="shared" si="22"/>
        <v>46.713429837518461</v>
      </c>
      <c r="X46" s="864">
        <f t="shared" si="23"/>
        <v>0</v>
      </c>
      <c r="Y46" s="863">
        <f t="shared" si="24"/>
        <v>0.32160709010339739</v>
      </c>
      <c r="Z46" s="849">
        <v>5.7527209799999994</v>
      </c>
      <c r="AA46" s="835"/>
      <c r="AB46" s="797"/>
      <c r="AC46" s="835"/>
      <c r="AD46" s="835"/>
      <c r="AE46" s="838"/>
      <c r="AG46" s="797"/>
      <c r="AH46" s="796"/>
      <c r="AJ46" s="776"/>
      <c r="AK46" s="776"/>
      <c r="AL46" s="776"/>
      <c r="AM46" s="776"/>
      <c r="AN46" s="776"/>
      <c r="AO46" s="776"/>
      <c r="AP46" s="797"/>
    </row>
    <row r="47" spans="1:42">
      <c r="A47" s="866" t="s">
        <v>1483</v>
      </c>
      <c r="B47" s="865">
        <f t="shared" si="1"/>
        <v>3.3480000000000003</v>
      </c>
      <c r="C47" s="835">
        <f t="shared" si="2"/>
        <v>27.286942302532264</v>
      </c>
      <c r="D47" s="845">
        <f t="shared" si="3"/>
        <v>9.2947309658697694</v>
      </c>
      <c r="E47" s="842">
        <f t="shared" si="4"/>
        <v>3.6041661349488443</v>
      </c>
      <c r="F47" s="844">
        <f t="shared" si="5"/>
        <v>59.022315531666607</v>
      </c>
      <c r="G47" s="843">
        <f t="shared" si="6"/>
        <v>45.361633570256558</v>
      </c>
      <c r="H47" s="839">
        <f t="shared" si="7"/>
        <v>32.3288930110892</v>
      </c>
      <c r="I47" s="835">
        <f t="shared" si="8"/>
        <v>105.4376395628734</v>
      </c>
      <c r="J47" s="843">
        <f t="shared" si="9"/>
        <v>13.8</v>
      </c>
      <c r="K47" s="835">
        <f t="shared" si="10"/>
        <v>27.286942302532264</v>
      </c>
      <c r="L47" s="842">
        <f t="shared" si="11"/>
        <v>9.2947309658697694</v>
      </c>
      <c r="M47" s="838">
        <f t="shared" si="12"/>
        <v>59.022315531666607</v>
      </c>
      <c r="N47" s="835">
        <f t="shared" si="13"/>
        <v>0.1</v>
      </c>
      <c r="O47" s="840">
        <f t="shared" si="14"/>
        <v>20.16</v>
      </c>
      <c r="P47" s="841">
        <f t="shared" si="15"/>
        <v>19.566526769006064</v>
      </c>
      <c r="Q47" s="841">
        <f t="shared" si="16"/>
        <v>9.3111759656652371</v>
      </c>
      <c r="R47" s="841">
        <f t="shared" si="17"/>
        <v>20.576549356223175</v>
      </c>
      <c r="S47" s="841">
        <f t="shared" si="18"/>
        <v>22.32</v>
      </c>
      <c r="T47" s="841">
        <f t="shared" si="19"/>
        <v>30.079313304721026</v>
      </c>
      <c r="U47" s="840">
        <f t="shared" si="20"/>
        <v>30.240000000000002</v>
      </c>
      <c r="V47" s="839">
        <f t="shared" si="21"/>
        <v>52.68996159527326</v>
      </c>
      <c r="W47" s="839">
        <f t="shared" si="22"/>
        <v>46.713429837518461</v>
      </c>
      <c r="X47" s="864">
        <f t="shared" si="23"/>
        <v>0</v>
      </c>
      <c r="Y47" s="863">
        <f t="shared" si="24"/>
        <v>0.32160709010339739</v>
      </c>
      <c r="Z47" s="849">
        <v>5.8667975999999999</v>
      </c>
      <c r="AA47" s="835"/>
      <c r="AB47" s="797"/>
      <c r="AC47" s="835"/>
      <c r="AD47" s="835"/>
      <c r="AE47" s="838"/>
      <c r="AG47" s="797"/>
      <c r="AH47" s="796"/>
      <c r="AJ47" s="776"/>
      <c r="AK47" s="776"/>
      <c r="AL47" s="776"/>
      <c r="AM47" s="776"/>
      <c r="AN47" s="776"/>
      <c r="AO47" s="776"/>
      <c r="AP47" s="797"/>
    </row>
    <row r="48" spans="1:42">
      <c r="A48" s="866" t="s">
        <v>1482</v>
      </c>
      <c r="B48" s="865">
        <f t="shared" si="1"/>
        <v>3.3480000000000003</v>
      </c>
      <c r="C48" s="835">
        <f t="shared" si="2"/>
        <v>27.286942302532264</v>
      </c>
      <c r="D48" s="845">
        <f t="shared" si="3"/>
        <v>9.2947309658697694</v>
      </c>
      <c r="E48" s="842">
        <f t="shared" si="4"/>
        <v>3.6041661349488443</v>
      </c>
      <c r="F48" s="844">
        <f t="shared" si="5"/>
        <v>59.022315531666607</v>
      </c>
      <c r="G48" s="843">
        <f t="shared" si="6"/>
        <v>45.361633570256558</v>
      </c>
      <c r="H48" s="839">
        <f t="shared" si="7"/>
        <v>32.3288930110892</v>
      </c>
      <c r="I48" s="835">
        <f t="shared" si="8"/>
        <v>105.4376395628734</v>
      </c>
      <c r="J48" s="843">
        <f t="shared" si="9"/>
        <v>13.8</v>
      </c>
      <c r="K48" s="835">
        <f t="shared" si="10"/>
        <v>27.286942302532264</v>
      </c>
      <c r="L48" s="842">
        <f t="shared" si="11"/>
        <v>9.2947309658697694</v>
      </c>
      <c r="M48" s="838">
        <f t="shared" si="12"/>
        <v>59.022315531666607</v>
      </c>
      <c r="N48" s="835">
        <f t="shared" si="13"/>
        <v>0.1</v>
      </c>
      <c r="O48" s="840">
        <f t="shared" si="14"/>
        <v>20.16</v>
      </c>
      <c r="P48" s="841">
        <f t="shared" si="15"/>
        <v>19.566526769006064</v>
      </c>
      <c r="Q48" s="841">
        <f t="shared" si="16"/>
        <v>9.3111759656652371</v>
      </c>
      <c r="R48" s="841">
        <f t="shared" si="17"/>
        <v>20.576549356223175</v>
      </c>
      <c r="S48" s="841">
        <f t="shared" si="18"/>
        <v>22.32</v>
      </c>
      <c r="T48" s="841">
        <f t="shared" si="19"/>
        <v>30.079313304721026</v>
      </c>
      <c r="U48" s="840">
        <f t="shared" si="20"/>
        <v>30.240000000000002</v>
      </c>
      <c r="V48" s="839">
        <f t="shared" si="21"/>
        <v>52.68996159527326</v>
      </c>
      <c r="W48" s="839">
        <f t="shared" si="22"/>
        <v>46.713429837518461</v>
      </c>
      <c r="X48" s="864">
        <f t="shared" si="23"/>
        <v>0</v>
      </c>
      <c r="Y48" s="863">
        <f t="shared" si="24"/>
        <v>0.32160709010339739</v>
      </c>
      <c r="Z48" s="849">
        <v>5.9863064400000008</v>
      </c>
      <c r="AA48" s="835"/>
      <c r="AB48" s="797"/>
      <c r="AC48" s="835"/>
      <c r="AD48" s="835"/>
      <c r="AE48" s="838"/>
      <c r="AG48" s="797"/>
      <c r="AH48" s="796"/>
      <c r="AJ48" s="776"/>
      <c r="AK48" s="776"/>
      <c r="AL48" s="776"/>
      <c r="AM48" s="776"/>
      <c r="AN48" s="776"/>
      <c r="AO48" s="776"/>
      <c r="AP48" s="797"/>
    </row>
    <row r="49" spans="1:47">
      <c r="A49" s="866" t="s">
        <v>1481</v>
      </c>
      <c r="B49" s="865">
        <f t="shared" si="1"/>
        <v>3.3480000000000003</v>
      </c>
      <c r="C49" s="835">
        <f t="shared" si="2"/>
        <v>27.286942302532264</v>
      </c>
      <c r="D49" s="845">
        <f t="shared" si="3"/>
        <v>9.2947309658697694</v>
      </c>
      <c r="E49" s="842">
        <f t="shared" si="4"/>
        <v>3.6041661349488443</v>
      </c>
      <c r="F49" s="844">
        <f t="shared" si="5"/>
        <v>59.022315531666607</v>
      </c>
      <c r="G49" s="843">
        <f t="shared" si="6"/>
        <v>45.361633570256558</v>
      </c>
      <c r="H49" s="839">
        <f t="shared" si="7"/>
        <v>32.3288930110892</v>
      </c>
      <c r="I49" s="835">
        <f t="shared" si="8"/>
        <v>105.4376395628734</v>
      </c>
      <c r="J49" s="843">
        <f t="shared" si="9"/>
        <v>13.8</v>
      </c>
      <c r="K49" s="835">
        <f t="shared" si="10"/>
        <v>27.286942302532264</v>
      </c>
      <c r="L49" s="842">
        <f t="shared" si="11"/>
        <v>9.2947309658697694</v>
      </c>
      <c r="M49" s="838">
        <f t="shared" si="12"/>
        <v>59.022315531666607</v>
      </c>
      <c r="N49" s="835">
        <f t="shared" si="13"/>
        <v>0.1</v>
      </c>
      <c r="O49" s="840">
        <f t="shared" si="14"/>
        <v>20.16</v>
      </c>
      <c r="P49" s="841">
        <f t="shared" si="15"/>
        <v>19.566526769006064</v>
      </c>
      <c r="Q49" s="841">
        <f t="shared" si="16"/>
        <v>9.3111759656652371</v>
      </c>
      <c r="R49" s="841">
        <f t="shared" si="17"/>
        <v>20.576549356223175</v>
      </c>
      <c r="S49" s="841">
        <f t="shared" si="18"/>
        <v>22.32</v>
      </c>
      <c r="T49" s="841">
        <f t="shared" si="19"/>
        <v>30.079313304721026</v>
      </c>
      <c r="U49" s="840">
        <f t="shared" si="20"/>
        <v>30.240000000000002</v>
      </c>
      <c r="V49" s="839">
        <f t="shared" si="21"/>
        <v>52.68996159527326</v>
      </c>
      <c r="W49" s="839">
        <f t="shared" si="22"/>
        <v>46.713429837518461</v>
      </c>
      <c r="X49" s="864">
        <f t="shared" si="23"/>
        <v>0</v>
      </c>
      <c r="Y49" s="863">
        <f t="shared" si="24"/>
        <v>0.32160709010339739</v>
      </c>
      <c r="Z49" s="849">
        <v>6.1058152800000007</v>
      </c>
      <c r="AA49" s="835"/>
      <c r="AB49" s="797"/>
      <c r="AC49" s="835"/>
      <c r="AD49" s="835"/>
      <c r="AE49" s="838"/>
      <c r="AG49" s="797"/>
      <c r="AH49" s="796"/>
      <c r="AJ49" s="776"/>
      <c r="AK49" s="776"/>
      <c r="AL49" s="776"/>
      <c r="AM49" s="776"/>
      <c r="AN49" s="776"/>
      <c r="AO49" s="776"/>
      <c r="AP49" s="797"/>
    </row>
    <row r="50" spans="1:47">
      <c r="A50" s="866" t="s">
        <v>1480</v>
      </c>
      <c r="B50" s="865">
        <f t="shared" si="1"/>
        <v>3.3480000000000003</v>
      </c>
      <c r="C50" s="835">
        <f t="shared" si="2"/>
        <v>27.286942302532264</v>
      </c>
      <c r="D50" s="845">
        <f t="shared" si="3"/>
        <v>9.2947309658697694</v>
      </c>
      <c r="E50" s="842">
        <f t="shared" si="4"/>
        <v>3.6041661349488443</v>
      </c>
      <c r="F50" s="844">
        <f t="shared" si="5"/>
        <v>59.022315531666607</v>
      </c>
      <c r="G50" s="843">
        <f t="shared" si="6"/>
        <v>45.361633570256558</v>
      </c>
      <c r="H50" s="839">
        <f t="shared" si="7"/>
        <v>32.3288930110892</v>
      </c>
      <c r="I50" s="835">
        <f t="shared" si="8"/>
        <v>105.4376395628734</v>
      </c>
      <c r="J50" s="843">
        <f t="shared" si="9"/>
        <v>13.8</v>
      </c>
      <c r="K50" s="835">
        <f t="shared" si="10"/>
        <v>27.286942302532264</v>
      </c>
      <c r="L50" s="842">
        <f t="shared" si="11"/>
        <v>9.2947309658697694</v>
      </c>
      <c r="M50" s="838">
        <f t="shared" si="12"/>
        <v>59.022315531666607</v>
      </c>
      <c r="N50" s="835">
        <f t="shared" si="13"/>
        <v>0.1</v>
      </c>
      <c r="O50" s="840">
        <f t="shared" si="14"/>
        <v>20.16</v>
      </c>
      <c r="P50" s="841">
        <f t="shared" si="15"/>
        <v>19.566526769006064</v>
      </c>
      <c r="Q50" s="841">
        <f t="shared" si="16"/>
        <v>9.3111759656652371</v>
      </c>
      <c r="R50" s="841">
        <f t="shared" si="17"/>
        <v>20.576549356223175</v>
      </c>
      <c r="S50" s="841">
        <f t="shared" si="18"/>
        <v>22.32</v>
      </c>
      <c r="T50" s="841">
        <f t="shared" si="19"/>
        <v>30.079313304721026</v>
      </c>
      <c r="U50" s="840">
        <f t="shared" si="20"/>
        <v>30.240000000000002</v>
      </c>
      <c r="V50" s="839">
        <f t="shared" si="21"/>
        <v>52.68996159527326</v>
      </c>
      <c r="W50" s="839">
        <f t="shared" si="22"/>
        <v>46.713429837518461</v>
      </c>
      <c r="X50" s="864">
        <f t="shared" si="23"/>
        <v>0</v>
      </c>
      <c r="Y50" s="863">
        <f t="shared" si="24"/>
        <v>0.32160709010339739</v>
      </c>
      <c r="Z50" s="849">
        <v>6.2253241199999998</v>
      </c>
      <c r="AA50" s="835"/>
      <c r="AB50" s="797"/>
      <c r="AC50" s="835"/>
      <c r="AD50" s="835"/>
      <c r="AE50" s="838"/>
      <c r="AG50" s="797"/>
      <c r="AH50" s="796"/>
      <c r="AJ50" s="776"/>
      <c r="AK50" s="776"/>
      <c r="AL50" s="776"/>
      <c r="AM50" s="776"/>
      <c r="AN50" s="776"/>
      <c r="AO50" s="776"/>
      <c r="AP50" s="797"/>
    </row>
    <row r="51" spans="1:47">
      <c r="A51" s="866" t="s">
        <v>1479</v>
      </c>
      <c r="B51" s="865">
        <f t="shared" si="1"/>
        <v>3.3480000000000003</v>
      </c>
      <c r="C51" s="835">
        <f t="shared" si="2"/>
        <v>27.286942302532264</v>
      </c>
      <c r="D51" s="845">
        <f t="shared" si="3"/>
        <v>9.2947309658697694</v>
      </c>
      <c r="E51" s="842">
        <f t="shared" si="4"/>
        <v>3.6041661349488443</v>
      </c>
      <c r="F51" s="844">
        <f t="shared" si="5"/>
        <v>59.022315531666607</v>
      </c>
      <c r="G51" s="843">
        <f t="shared" si="6"/>
        <v>45.361633570256558</v>
      </c>
      <c r="H51" s="839">
        <f t="shared" si="7"/>
        <v>32.3288930110892</v>
      </c>
      <c r="I51" s="835">
        <f t="shared" si="8"/>
        <v>105.4376395628734</v>
      </c>
      <c r="J51" s="843">
        <f t="shared" si="9"/>
        <v>13.8</v>
      </c>
      <c r="K51" s="835">
        <f t="shared" si="10"/>
        <v>27.286942302532264</v>
      </c>
      <c r="L51" s="842">
        <f t="shared" si="11"/>
        <v>9.2947309658697694</v>
      </c>
      <c r="M51" s="838">
        <f t="shared" si="12"/>
        <v>59.022315531666607</v>
      </c>
      <c r="N51" s="835">
        <f t="shared" si="13"/>
        <v>0.1</v>
      </c>
      <c r="O51" s="840">
        <f t="shared" si="14"/>
        <v>20.16</v>
      </c>
      <c r="P51" s="841">
        <f t="shared" si="15"/>
        <v>19.566526769006064</v>
      </c>
      <c r="Q51" s="841">
        <f t="shared" si="16"/>
        <v>9.3111759656652371</v>
      </c>
      <c r="R51" s="841">
        <f t="shared" si="17"/>
        <v>20.576549356223175</v>
      </c>
      <c r="S51" s="841">
        <f t="shared" si="18"/>
        <v>22.32</v>
      </c>
      <c r="T51" s="841">
        <f t="shared" si="19"/>
        <v>30.079313304721026</v>
      </c>
      <c r="U51" s="840">
        <f t="shared" si="20"/>
        <v>30.240000000000002</v>
      </c>
      <c r="V51" s="839">
        <f t="shared" si="21"/>
        <v>52.68996159527326</v>
      </c>
      <c r="W51" s="839">
        <f t="shared" si="22"/>
        <v>46.713429837518461</v>
      </c>
      <c r="X51" s="864">
        <f t="shared" si="23"/>
        <v>0</v>
      </c>
      <c r="Y51" s="863">
        <f t="shared" si="24"/>
        <v>0.32160709010339739</v>
      </c>
      <c r="Z51" s="849">
        <v>6.3502651800000001</v>
      </c>
      <c r="AA51" s="835"/>
      <c r="AB51" s="797"/>
      <c r="AC51" s="835"/>
      <c r="AD51" s="835"/>
      <c r="AE51" s="838"/>
      <c r="AG51" s="797"/>
      <c r="AH51" s="796"/>
      <c r="AJ51" s="776"/>
      <c r="AK51" s="776"/>
      <c r="AL51" s="776"/>
      <c r="AM51" s="776"/>
      <c r="AN51" s="776"/>
      <c r="AO51" s="776"/>
      <c r="AP51" s="797"/>
    </row>
    <row r="52" spans="1:47">
      <c r="A52" s="866" t="s">
        <v>1478</v>
      </c>
      <c r="B52" s="865">
        <f t="shared" si="1"/>
        <v>3.3480000000000003</v>
      </c>
      <c r="C52" s="835">
        <f t="shared" si="2"/>
        <v>27.286942302532264</v>
      </c>
      <c r="D52" s="845">
        <f t="shared" si="3"/>
        <v>9.2947309658697694</v>
      </c>
      <c r="E52" s="842">
        <f t="shared" si="4"/>
        <v>3.6041661349488443</v>
      </c>
      <c r="F52" s="844">
        <f t="shared" si="5"/>
        <v>59.022315531666607</v>
      </c>
      <c r="G52" s="843">
        <f t="shared" si="6"/>
        <v>45.361633570256558</v>
      </c>
      <c r="H52" s="839">
        <f t="shared" si="7"/>
        <v>32.3288930110892</v>
      </c>
      <c r="I52" s="835">
        <f t="shared" si="8"/>
        <v>105.4376395628734</v>
      </c>
      <c r="J52" s="843">
        <f t="shared" si="9"/>
        <v>13.8</v>
      </c>
      <c r="K52" s="835">
        <f t="shared" si="10"/>
        <v>27.286942302532264</v>
      </c>
      <c r="L52" s="842">
        <f t="shared" si="11"/>
        <v>9.2947309658697694</v>
      </c>
      <c r="M52" s="838">
        <f t="shared" si="12"/>
        <v>59.022315531666607</v>
      </c>
      <c r="N52" s="835">
        <f t="shared" si="13"/>
        <v>0.1</v>
      </c>
      <c r="O52" s="840">
        <f t="shared" si="14"/>
        <v>20.16</v>
      </c>
      <c r="P52" s="841">
        <f t="shared" si="15"/>
        <v>19.566526769006064</v>
      </c>
      <c r="Q52" s="841">
        <f t="shared" si="16"/>
        <v>9.3111759656652371</v>
      </c>
      <c r="R52" s="841">
        <f t="shared" si="17"/>
        <v>20.576549356223175</v>
      </c>
      <c r="S52" s="841">
        <f t="shared" si="18"/>
        <v>22.32</v>
      </c>
      <c r="T52" s="841">
        <f t="shared" si="19"/>
        <v>30.079313304721026</v>
      </c>
      <c r="U52" s="840">
        <f t="shared" si="20"/>
        <v>30.240000000000002</v>
      </c>
      <c r="V52" s="839">
        <f t="shared" si="21"/>
        <v>52.68996159527326</v>
      </c>
      <c r="W52" s="839">
        <f t="shared" si="22"/>
        <v>46.713429837518461</v>
      </c>
      <c r="X52" s="864">
        <f t="shared" si="23"/>
        <v>0</v>
      </c>
      <c r="Y52" s="863">
        <f t="shared" si="24"/>
        <v>0.32160709010339739</v>
      </c>
      <c r="Z52" s="849">
        <v>6.4806384599999998</v>
      </c>
      <c r="AA52" s="835"/>
      <c r="AB52" s="797"/>
      <c r="AC52" s="835"/>
      <c r="AD52" s="835"/>
      <c r="AE52" s="838"/>
      <c r="AG52" s="797"/>
      <c r="AH52" s="796"/>
      <c r="AJ52" s="776"/>
      <c r="AK52" s="776"/>
      <c r="AL52" s="776"/>
      <c r="AM52" s="776"/>
      <c r="AN52" s="776"/>
      <c r="AO52" s="776"/>
      <c r="AP52" s="797"/>
    </row>
    <row r="53" spans="1:47">
      <c r="A53" s="866" t="s">
        <v>1477</v>
      </c>
      <c r="B53" s="865">
        <f t="shared" si="1"/>
        <v>3.3480000000000003</v>
      </c>
      <c r="C53" s="835">
        <f t="shared" si="2"/>
        <v>27.286942302532264</v>
      </c>
      <c r="D53" s="845">
        <f t="shared" si="3"/>
        <v>9.2947309658697694</v>
      </c>
      <c r="E53" s="842">
        <f t="shared" si="4"/>
        <v>3.6041661349488443</v>
      </c>
      <c r="F53" s="844">
        <f t="shared" si="5"/>
        <v>59.022315531666607</v>
      </c>
      <c r="G53" s="843">
        <f t="shared" si="6"/>
        <v>45.361633570256558</v>
      </c>
      <c r="H53" s="839">
        <f t="shared" si="7"/>
        <v>32.3288930110892</v>
      </c>
      <c r="I53" s="835">
        <f t="shared" si="8"/>
        <v>105.4376395628734</v>
      </c>
      <c r="J53" s="843">
        <f t="shared" si="9"/>
        <v>13.8</v>
      </c>
      <c r="K53" s="835">
        <f t="shared" si="10"/>
        <v>27.286942302532264</v>
      </c>
      <c r="L53" s="842">
        <f t="shared" si="11"/>
        <v>9.2947309658697694</v>
      </c>
      <c r="M53" s="838">
        <f t="shared" si="12"/>
        <v>59.022315531666607</v>
      </c>
      <c r="N53" s="835">
        <f t="shared" si="13"/>
        <v>0.1</v>
      </c>
      <c r="O53" s="840">
        <f t="shared" si="14"/>
        <v>20.16</v>
      </c>
      <c r="P53" s="841">
        <f t="shared" si="15"/>
        <v>19.566526769006064</v>
      </c>
      <c r="Q53" s="841">
        <f t="shared" si="16"/>
        <v>9.3111759656652371</v>
      </c>
      <c r="R53" s="841">
        <f t="shared" si="17"/>
        <v>20.576549356223175</v>
      </c>
      <c r="S53" s="841">
        <f t="shared" si="18"/>
        <v>22.32</v>
      </c>
      <c r="T53" s="841">
        <f t="shared" si="19"/>
        <v>30.079313304721026</v>
      </c>
      <c r="U53" s="840">
        <f t="shared" si="20"/>
        <v>30.240000000000002</v>
      </c>
      <c r="V53" s="839">
        <f t="shared" si="21"/>
        <v>52.68996159527326</v>
      </c>
      <c r="W53" s="839">
        <f t="shared" si="22"/>
        <v>46.713429837518461</v>
      </c>
      <c r="X53" s="864">
        <f t="shared" si="23"/>
        <v>0</v>
      </c>
      <c r="Y53" s="863">
        <f t="shared" si="24"/>
        <v>0.32160709010339739</v>
      </c>
      <c r="Z53" s="849">
        <v>6.60557952</v>
      </c>
      <c r="AA53" s="835"/>
      <c r="AB53" s="797"/>
      <c r="AC53" s="835"/>
      <c r="AD53" s="835"/>
      <c r="AE53" s="838"/>
      <c r="AG53" s="797"/>
      <c r="AH53" s="796"/>
      <c r="AJ53" s="776"/>
      <c r="AK53" s="776"/>
      <c r="AL53" s="776"/>
      <c r="AM53" s="776"/>
      <c r="AN53" s="776"/>
      <c r="AO53" s="776"/>
      <c r="AP53" s="797"/>
    </row>
    <row r="54" spans="1:47">
      <c r="A54" s="866" t="s">
        <v>1476</v>
      </c>
      <c r="B54" s="865">
        <f t="shared" si="1"/>
        <v>3.3480000000000003</v>
      </c>
      <c r="C54" s="835">
        <f t="shared" si="2"/>
        <v>27.286942302532264</v>
      </c>
      <c r="D54" s="845">
        <f t="shared" si="3"/>
        <v>9.2947309658697694</v>
      </c>
      <c r="E54" s="842">
        <f t="shared" si="4"/>
        <v>3.6041661349488443</v>
      </c>
      <c r="F54" s="844">
        <f t="shared" si="5"/>
        <v>59.022315531666607</v>
      </c>
      <c r="G54" s="843">
        <f t="shared" si="6"/>
        <v>45.361633570256558</v>
      </c>
      <c r="H54" s="839">
        <f t="shared" si="7"/>
        <v>32.3288930110892</v>
      </c>
      <c r="I54" s="835">
        <f t="shared" si="8"/>
        <v>105.4376395628734</v>
      </c>
      <c r="J54" s="843">
        <f t="shared" si="9"/>
        <v>13.8</v>
      </c>
      <c r="K54" s="835">
        <f t="shared" si="10"/>
        <v>27.286942302532264</v>
      </c>
      <c r="L54" s="842">
        <f t="shared" si="11"/>
        <v>9.2947309658697694</v>
      </c>
      <c r="M54" s="838">
        <f t="shared" si="12"/>
        <v>59.022315531666607</v>
      </c>
      <c r="N54" s="835">
        <f t="shared" si="13"/>
        <v>0.1</v>
      </c>
      <c r="O54" s="840">
        <f t="shared" si="14"/>
        <v>20.16</v>
      </c>
      <c r="P54" s="841">
        <f t="shared" si="15"/>
        <v>19.566526769006064</v>
      </c>
      <c r="Q54" s="841">
        <f t="shared" si="16"/>
        <v>9.3111759656652371</v>
      </c>
      <c r="R54" s="841">
        <f t="shared" si="17"/>
        <v>20.576549356223175</v>
      </c>
      <c r="S54" s="841">
        <f t="shared" si="18"/>
        <v>22.32</v>
      </c>
      <c r="T54" s="841">
        <f t="shared" si="19"/>
        <v>30.079313304721026</v>
      </c>
      <c r="U54" s="840">
        <f t="shared" si="20"/>
        <v>30.240000000000002</v>
      </c>
      <c r="V54" s="839">
        <f t="shared" si="21"/>
        <v>52.68996159527326</v>
      </c>
      <c r="W54" s="839">
        <f t="shared" si="22"/>
        <v>46.713429837518461</v>
      </c>
      <c r="X54" s="864">
        <f t="shared" si="23"/>
        <v>0</v>
      </c>
      <c r="Y54" s="863">
        <f t="shared" si="24"/>
        <v>0.32160709010339739</v>
      </c>
      <c r="Z54" s="849">
        <v>6.7413850200000009</v>
      </c>
      <c r="AA54" s="835"/>
      <c r="AB54" s="797"/>
      <c r="AC54" s="835"/>
      <c r="AD54" s="835"/>
      <c r="AE54" s="838"/>
      <c r="AG54" s="797"/>
      <c r="AH54" s="796"/>
      <c r="AJ54" s="776"/>
      <c r="AK54" s="776"/>
      <c r="AL54" s="776"/>
      <c r="AM54" s="776"/>
      <c r="AN54" s="776"/>
      <c r="AO54" s="776"/>
      <c r="AP54" s="797"/>
    </row>
    <row r="55" spans="1:47">
      <c r="A55" s="866" t="s">
        <v>1475</v>
      </c>
      <c r="B55" s="865">
        <f t="shared" si="1"/>
        <v>3.3480000000000003</v>
      </c>
      <c r="C55" s="835">
        <f t="shared" si="2"/>
        <v>27.286942302532264</v>
      </c>
      <c r="D55" s="845">
        <f t="shared" si="3"/>
        <v>9.2947309658697694</v>
      </c>
      <c r="E55" s="842">
        <f t="shared" si="4"/>
        <v>3.6041661349488443</v>
      </c>
      <c r="F55" s="844">
        <f t="shared" si="5"/>
        <v>59.022315531666607</v>
      </c>
      <c r="G55" s="843">
        <f t="shared" si="6"/>
        <v>45.361633570256558</v>
      </c>
      <c r="H55" s="839">
        <f t="shared" si="7"/>
        <v>32.3288930110892</v>
      </c>
      <c r="I55" s="835">
        <f t="shared" si="8"/>
        <v>105.4376395628734</v>
      </c>
      <c r="J55" s="843">
        <f t="shared" si="9"/>
        <v>13.8</v>
      </c>
      <c r="K55" s="835">
        <f t="shared" si="10"/>
        <v>27.286942302532264</v>
      </c>
      <c r="L55" s="842">
        <f t="shared" si="11"/>
        <v>9.2947309658697694</v>
      </c>
      <c r="M55" s="838">
        <f t="shared" si="12"/>
        <v>59.022315531666607</v>
      </c>
      <c r="N55" s="835">
        <f t="shared" si="13"/>
        <v>0.1</v>
      </c>
      <c r="O55" s="840">
        <f t="shared" si="14"/>
        <v>20.16</v>
      </c>
      <c r="P55" s="841">
        <f t="shared" si="15"/>
        <v>19.566526769006064</v>
      </c>
      <c r="Q55" s="841">
        <f t="shared" si="16"/>
        <v>9.3111759656652371</v>
      </c>
      <c r="R55" s="841">
        <f t="shared" si="17"/>
        <v>20.576549356223175</v>
      </c>
      <c r="S55" s="841">
        <f t="shared" si="18"/>
        <v>22.32</v>
      </c>
      <c r="T55" s="841">
        <f t="shared" si="19"/>
        <v>30.079313304721026</v>
      </c>
      <c r="U55" s="840">
        <f t="shared" si="20"/>
        <v>30.240000000000002</v>
      </c>
      <c r="V55" s="839">
        <f t="shared" si="21"/>
        <v>52.68996159527326</v>
      </c>
      <c r="W55" s="839">
        <f t="shared" si="22"/>
        <v>46.713429837518461</v>
      </c>
      <c r="X55" s="864">
        <f t="shared" si="23"/>
        <v>0</v>
      </c>
      <c r="Y55" s="863">
        <f t="shared" si="24"/>
        <v>0.32160709010339739</v>
      </c>
      <c r="Z55" s="849">
        <v>6.8771905200000001</v>
      </c>
      <c r="AA55" s="835"/>
      <c r="AB55" s="797"/>
      <c r="AC55" s="835"/>
      <c r="AD55" s="835"/>
      <c r="AE55" s="838"/>
      <c r="AG55" s="797"/>
      <c r="AH55" s="796"/>
      <c r="AJ55" s="776"/>
      <c r="AK55" s="776"/>
      <c r="AL55" s="776"/>
      <c r="AM55" s="776"/>
      <c r="AN55" s="776"/>
      <c r="AO55" s="776"/>
      <c r="AP55" s="797"/>
    </row>
    <row r="56" spans="1:47">
      <c r="A56" s="866" t="s">
        <v>1474</v>
      </c>
      <c r="B56" s="865">
        <f t="shared" si="1"/>
        <v>3.3480000000000003</v>
      </c>
      <c r="C56" s="835">
        <f t="shared" si="2"/>
        <v>27.286942302532264</v>
      </c>
      <c r="D56" s="845">
        <f t="shared" si="3"/>
        <v>9.2947309658697694</v>
      </c>
      <c r="E56" s="842">
        <f t="shared" si="4"/>
        <v>3.6041661349488443</v>
      </c>
      <c r="F56" s="844">
        <f t="shared" si="5"/>
        <v>59.022315531666607</v>
      </c>
      <c r="G56" s="843">
        <f t="shared" si="6"/>
        <v>45.361633570256558</v>
      </c>
      <c r="H56" s="839">
        <f t="shared" si="7"/>
        <v>32.3288930110892</v>
      </c>
      <c r="I56" s="835">
        <f t="shared" si="8"/>
        <v>105.4376395628734</v>
      </c>
      <c r="J56" s="843">
        <f t="shared" si="9"/>
        <v>13.8</v>
      </c>
      <c r="K56" s="835">
        <f t="shared" si="10"/>
        <v>27.286942302532264</v>
      </c>
      <c r="L56" s="842">
        <f t="shared" si="11"/>
        <v>9.2947309658697694</v>
      </c>
      <c r="M56" s="838">
        <f t="shared" si="12"/>
        <v>59.022315531666607</v>
      </c>
      <c r="N56" s="835">
        <f t="shared" si="13"/>
        <v>0.1</v>
      </c>
      <c r="O56" s="840">
        <f t="shared" si="14"/>
        <v>20.16</v>
      </c>
      <c r="P56" s="841">
        <f t="shared" si="15"/>
        <v>19.566526769006064</v>
      </c>
      <c r="Q56" s="841">
        <f t="shared" si="16"/>
        <v>9.3111759656652371</v>
      </c>
      <c r="R56" s="841">
        <f t="shared" si="17"/>
        <v>20.576549356223175</v>
      </c>
      <c r="S56" s="841">
        <f t="shared" si="18"/>
        <v>22.32</v>
      </c>
      <c r="T56" s="841">
        <f t="shared" si="19"/>
        <v>30.079313304721026</v>
      </c>
      <c r="U56" s="840">
        <f t="shared" si="20"/>
        <v>30.240000000000002</v>
      </c>
      <c r="V56" s="839">
        <f t="shared" si="21"/>
        <v>52.68996159527326</v>
      </c>
      <c r="W56" s="839">
        <f t="shared" si="22"/>
        <v>46.713429837518461</v>
      </c>
      <c r="X56" s="864">
        <f t="shared" si="23"/>
        <v>0</v>
      </c>
      <c r="Y56" s="863">
        <f t="shared" si="24"/>
        <v>0.32160709010339739</v>
      </c>
      <c r="Z56" s="849">
        <v>7.0129960200000001</v>
      </c>
      <c r="AA56" s="835"/>
      <c r="AB56" s="797"/>
      <c r="AC56" s="835"/>
      <c r="AD56" s="835"/>
      <c r="AE56" s="838"/>
      <c r="AG56" s="797"/>
      <c r="AH56" s="796"/>
      <c r="AJ56" s="776"/>
      <c r="AK56" s="776"/>
      <c r="AL56" s="776"/>
      <c r="AM56" s="776"/>
      <c r="AN56" s="776"/>
      <c r="AO56" s="776"/>
    </row>
    <row r="57" spans="1:47">
      <c r="A57" s="862" t="s">
        <v>1473</v>
      </c>
      <c r="B57" s="861">
        <f t="shared" si="1"/>
        <v>3.3480000000000003</v>
      </c>
      <c r="C57" s="855">
        <f t="shared" si="2"/>
        <v>27.286942302532264</v>
      </c>
      <c r="D57" s="860">
        <f t="shared" si="3"/>
        <v>9.2947309658697694</v>
      </c>
      <c r="E57" s="857">
        <f t="shared" si="4"/>
        <v>3.6041661349488443</v>
      </c>
      <c r="F57" s="859">
        <f t="shared" si="5"/>
        <v>59.022315531666607</v>
      </c>
      <c r="G57" s="858">
        <f t="shared" si="6"/>
        <v>45.361633570256558</v>
      </c>
      <c r="H57" s="852">
        <f t="shared" si="7"/>
        <v>32.3288930110892</v>
      </c>
      <c r="I57" s="855">
        <f t="shared" si="8"/>
        <v>105.4376395628734</v>
      </c>
      <c r="J57" s="858">
        <f t="shared" si="9"/>
        <v>13.8</v>
      </c>
      <c r="K57" s="855">
        <f t="shared" si="10"/>
        <v>27.286942302532264</v>
      </c>
      <c r="L57" s="857">
        <f t="shared" si="11"/>
        <v>9.2947309658697694</v>
      </c>
      <c r="M57" s="856">
        <f t="shared" si="12"/>
        <v>59.022315531666607</v>
      </c>
      <c r="N57" s="855">
        <f t="shared" si="13"/>
        <v>0.1</v>
      </c>
      <c r="O57" s="853">
        <f t="shared" si="14"/>
        <v>20.16</v>
      </c>
      <c r="P57" s="854">
        <f t="shared" si="15"/>
        <v>19.566526769006064</v>
      </c>
      <c r="Q57" s="854">
        <f t="shared" si="16"/>
        <v>9.3111759656652371</v>
      </c>
      <c r="R57" s="854">
        <f t="shared" si="17"/>
        <v>20.576549356223175</v>
      </c>
      <c r="S57" s="854">
        <f t="shared" si="18"/>
        <v>22.32</v>
      </c>
      <c r="T57" s="854">
        <f t="shared" si="19"/>
        <v>30.079313304721026</v>
      </c>
      <c r="U57" s="853">
        <f t="shared" si="20"/>
        <v>30.240000000000002</v>
      </c>
      <c r="V57" s="852">
        <f t="shared" si="21"/>
        <v>52.68996159527326</v>
      </c>
      <c r="W57" s="852">
        <f t="shared" si="22"/>
        <v>46.713429837518461</v>
      </c>
      <c r="X57" s="851">
        <f t="shared" si="23"/>
        <v>0</v>
      </c>
      <c r="Y57" s="850">
        <f t="shared" si="24"/>
        <v>0.32160709010339739</v>
      </c>
      <c r="Z57" s="849">
        <v>7.1542337400000005</v>
      </c>
      <c r="AA57" s="835"/>
      <c r="AB57" s="797"/>
      <c r="AC57" s="835"/>
      <c r="AD57" s="835"/>
      <c r="AE57" s="838"/>
      <c r="AG57" s="797"/>
      <c r="AH57" s="796"/>
      <c r="AJ57" s="776"/>
      <c r="AK57" s="776"/>
      <c r="AL57" s="776"/>
      <c r="AM57" s="776"/>
      <c r="AN57" s="776"/>
      <c r="AO57" s="776"/>
    </row>
    <row r="58" spans="1:47">
      <c r="B58" s="830"/>
      <c r="C58" s="843"/>
      <c r="D58" s="835"/>
      <c r="E58" s="845"/>
      <c r="F58" s="848"/>
      <c r="G58" s="844"/>
      <c r="H58" s="835"/>
      <c r="I58" s="835"/>
      <c r="J58" s="847"/>
      <c r="K58" s="847"/>
      <c r="L58" s="846"/>
      <c r="M58" s="835"/>
      <c r="N58" s="838"/>
      <c r="O58" s="779"/>
      <c r="P58" s="835"/>
      <c r="Q58" s="835"/>
      <c r="R58" s="835"/>
      <c r="S58" s="835"/>
      <c r="T58" s="835"/>
      <c r="U58" s="835"/>
      <c r="V58" s="835"/>
      <c r="W58" s="835"/>
      <c r="X58" s="835"/>
      <c r="Y58" s="835"/>
      <c r="Z58" s="835"/>
      <c r="AA58" s="835"/>
      <c r="AB58" s="835"/>
      <c r="AC58" s="835"/>
      <c r="AD58" s="835"/>
      <c r="AE58" s="838"/>
      <c r="AG58" s="797"/>
      <c r="AH58" s="796"/>
      <c r="AJ58" s="776"/>
      <c r="AK58" s="776"/>
      <c r="AL58" s="776"/>
      <c r="AM58" s="776"/>
      <c r="AN58" s="776"/>
      <c r="AO58" s="776"/>
      <c r="AP58" s="776"/>
    </row>
    <row r="59" spans="1:47">
      <c r="B59" s="830"/>
      <c r="C59" s="843"/>
      <c r="D59" s="835"/>
      <c r="E59" s="845"/>
      <c r="F59" s="842"/>
      <c r="G59" s="844"/>
      <c r="H59" s="835"/>
      <c r="I59" s="835"/>
      <c r="J59" s="843"/>
      <c r="K59" s="835"/>
      <c r="L59" s="842"/>
      <c r="M59" s="838"/>
      <c r="N59" s="835"/>
      <c r="O59" s="835"/>
      <c r="P59" s="841"/>
      <c r="Q59" s="841"/>
      <c r="R59" s="841"/>
      <c r="S59" s="841"/>
      <c r="T59" s="841"/>
      <c r="U59" s="840"/>
      <c r="V59" s="840"/>
      <c r="W59" s="839"/>
      <c r="X59" s="839"/>
      <c r="Y59" s="835"/>
      <c r="Z59" s="835"/>
      <c r="AA59" s="835"/>
      <c r="AB59" s="835"/>
      <c r="AC59" s="835"/>
      <c r="AD59" s="838"/>
      <c r="AF59" s="797"/>
      <c r="AG59" s="796"/>
      <c r="AI59" s="776"/>
      <c r="AJ59" s="776"/>
      <c r="AK59" s="776"/>
      <c r="AL59" s="776"/>
      <c r="AM59" s="776"/>
      <c r="AN59" s="776"/>
      <c r="AO59" s="797"/>
      <c r="AP59" s="776"/>
    </row>
    <row r="60" spans="1:47">
      <c r="A60" s="772" t="s">
        <v>1472</v>
      </c>
      <c r="C60" s="776"/>
      <c r="D60" s="776"/>
      <c r="H60" s="776"/>
      <c r="I60" s="776"/>
      <c r="P60" s="776"/>
      <c r="S60" s="776"/>
      <c r="T60" s="776"/>
      <c r="U60" s="776"/>
      <c r="V60" s="776"/>
      <c r="W60" s="776"/>
      <c r="X60" s="776"/>
      <c r="Y60" s="776"/>
      <c r="Z60" s="776"/>
      <c r="AA60" s="776"/>
      <c r="AB60" s="835"/>
      <c r="AG60" s="776"/>
      <c r="AP60" s="776"/>
    </row>
    <row r="61" spans="1:47" ht="14.25" customHeight="1">
      <c r="A61" s="772" t="s">
        <v>1471</v>
      </c>
      <c r="H61" s="837"/>
      <c r="I61" s="837"/>
      <c r="J61" s="837"/>
      <c r="K61" s="837"/>
      <c r="L61" s="837"/>
      <c r="M61" s="837"/>
      <c r="N61" s="837"/>
      <c r="O61" s="837"/>
      <c r="P61" s="837"/>
      <c r="Q61" s="798"/>
      <c r="R61" s="798"/>
      <c r="S61" s="798"/>
      <c r="T61" s="798"/>
      <c r="U61" s="837"/>
      <c r="V61" s="837"/>
      <c r="W61" s="837"/>
      <c r="X61" s="837"/>
      <c r="Y61" s="837"/>
      <c r="Z61" s="837"/>
      <c r="AA61" s="837"/>
      <c r="AB61" s="835"/>
      <c r="AC61" s="837"/>
      <c r="AD61" s="837"/>
      <c r="AE61" s="798"/>
      <c r="AF61" s="798"/>
      <c r="AG61" s="798"/>
      <c r="AH61" s="798"/>
      <c r="AL61" s="798"/>
      <c r="AM61" s="798"/>
      <c r="AO61" s="776"/>
      <c r="AP61" s="776"/>
      <c r="AU61" s="797"/>
    </row>
    <row r="62" spans="1:47">
      <c r="A62" s="772" t="s">
        <v>1470</v>
      </c>
      <c r="Q62" s="776"/>
      <c r="R62" s="776"/>
      <c r="S62" s="776"/>
      <c r="W62" s="776"/>
      <c r="X62" s="776"/>
      <c r="Y62" s="836"/>
      <c r="Z62" s="835"/>
      <c r="AA62" s="835"/>
      <c r="AB62" s="835"/>
      <c r="AC62" s="835"/>
      <c r="AD62" s="835"/>
      <c r="AE62" s="776"/>
      <c r="AH62" s="776"/>
      <c r="AL62" s="776"/>
      <c r="AM62" s="776"/>
      <c r="AO62" s="776"/>
      <c r="AP62" s="776"/>
      <c r="AU62" s="797"/>
    </row>
    <row r="63" spans="1:47">
      <c r="G63" s="829"/>
      <c r="H63" s="828"/>
      <c r="I63" s="827"/>
      <c r="J63" s="826"/>
      <c r="K63" s="825"/>
      <c r="L63" s="815"/>
      <c r="M63" s="815"/>
      <c r="N63" s="815"/>
      <c r="O63" s="815"/>
      <c r="P63" s="824"/>
      <c r="Q63" s="810"/>
      <c r="R63" s="810"/>
      <c r="S63" s="810"/>
      <c r="U63" s="834"/>
      <c r="V63" s="823"/>
      <c r="W63" s="833"/>
      <c r="X63" s="833"/>
      <c r="Y63" s="833"/>
      <c r="Z63" s="813"/>
      <c r="AA63" s="813"/>
      <c r="AB63" s="835"/>
      <c r="AC63" s="813"/>
      <c r="AD63" s="813"/>
      <c r="AE63" s="810"/>
      <c r="AF63" s="823"/>
      <c r="AG63" s="823"/>
      <c r="AH63" s="776"/>
      <c r="AL63" s="810"/>
      <c r="AM63" s="810"/>
      <c r="AO63" s="776"/>
      <c r="AP63" s="776"/>
      <c r="AU63" s="797"/>
    </row>
    <row r="64" spans="1:47">
      <c r="A64" s="772" t="s">
        <v>1469</v>
      </c>
      <c r="G64" s="829"/>
      <c r="H64" s="828"/>
      <c r="I64" s="827"/>
      <c r="J64" s="826"/>
      <c r="K64" s="825"/>
      <c r="L64" s="815"/>
      <c r="M64" s="815"/>
      <c r="N64" s="815"/>
      <c r="O64" s="834"/>
      <c r="P64" s="824"/>
      <c r="Q64" s="810"/>
      <c r="R64" s="810"/>
      <c r="S64" s="810"/>
      <c r="U64" s="834"/>
      <c r="V64" s="823"/>
      <c r="W64" s="833"/>
      <c r="X64" s="833"/>
      <c r="Y64" s="833"/>
      <c r="Z64" s="813"/>
      <c r="AA64" s="813"/>
      <c r="AB64" s="813"/>
      <c r="AC64" s="813"/>
      <c r="AD64" s="813"/>
      <c r="AE64" s="810"/>
      <c r="AF64" s="823"/>
      <c r="AG64" s="823"/>
      <c r="AH64" s="776"/>
      <c r="AL64" s="810"/>
      <c r="AM64" s="810"/>
      <c r="AO64" s="776"/>
      <c r="AP64" s="776"/>
      <c r="AU64" s="797"/>
    </row>
    <row r="65" spans="1:47">
      <c r="A65" s="772" t="s">
        <v>1468</v>
      </c>
      <c r="G65" s="829"/>
      <c r="H65" s="828"/>
      <c r="I65" s="827"/>
      <c r="J65" s="827"/>
      <c r="K65" s="827"/>
      <c r="L65" s="827"/>
      <c r="M65" s="827"/>
      <c r="N65" s="815"/>
      <c r="O65" s="827"/>
      <c r="P65" s="827"/>
      <c r="Q65" s="810"/>
      <c r="R65" s="810"/>
      <c r="S65" s="810"/>
      <c r="U65" s="827"/>
      <c r="V65" s="827"/>
      <c r="W65" s="827"/>
      <c r="X65" s="827"/>
      <c r="Y65" s="827"/>
      <c r="Z65" s="827"/>
      <c r="AA65" s="827"/>
      <c r="AB65" s="827"/>
      <c r="AC65" s="827"/>
      <c r="AD65" s="827"/>
      <c r="AE65" s="810"/>
      <c r="AF65" s="823"/>
      <c r="AG65" s="823"/>
      <c r="AH65" s="776"/>
      <c r="AL65" s="810"/>
      <c r="AM65" s="810"/>
      <c r="AO65" s="776"/>
      <c r="AP65" s="776"/>
      <c r="AU65" s="797"/>
    </row>
    <row r="66" spans="1:47">
      <c r="A66" s="772" t="s">
        <v>1467</v>
      </c>
      <c r="G66" s="829"/>
      <c r="H66" s="828"/>
      <c r="I66" s="827"/>
      <c r="J66" s="826"/>
      <c r="K66" s="825"/>
      <c r="L66" s="815"/>
      <c r="M66" s="815"/>
      <c r="N66" s="815"/>
      <c r="O66" s="815"/>
      <c r="P66" s="824"/>
      <c r="Q66" s="810"/>
      <c r="R66" s="810"/>
      <c r="S66" s="810"/>
      <c r="U66" s="815"/>
      <c r="V66" s="823"/>
      <c r="W66" s="810"/>
      <c r="X66" s="810"/>
      <c r="Y66" s="810"/>
      <c r="Z66" s="810"/>
      <c r="AA66" s="810"/>
      <c r="AB66" s="813"/>
      <c r="AC66" s="813"/>
      <c r="AD66" s="813"/>
      <c r="AE66" s="810"/>
      <c r="AF66" s="823"/>
      <c r="AG66" s="823"/>
      <c r="AH66" s="776"/>
      <c r="AL66" s="810"/>
      <c r="AM66" s="810"/>
      <c r="AO66" s="776"/>
      <c r="AP66" s="776"/>
      <c r="AU66" s="797"/>
    </row>
    <row r="67" spans="1:47">
      <c r="A67" s="772" t="s">
        <v>1466</v>
      </c>
      <c r="G67" s="829"/>
      <c r="H67" s="828"/>
      <c r="I67" s="827"/>
      <c r="J67" s="826"/>
      <c r="K67" s="825"/>
      <c r="L67" s="815"/>
      <c r="M67" s="815"/>
      <c r="N67" s="815"/>
      <c r="O67" s="815"/>
      <c r="P67" s="824"/>
      <c r="Q67" s="810"/>
      <c r="R67" s="810"/>
      <c r="S67" s="810"/>
      <c r="U67" s="815"/>
      <c r="V67" s="823"/>
      <c r="W67" s="810"/>
      <c r="X67" s="810"/>
      <c r="Y67" s="810"/>
      <c r="Z67" s="810"/>
      <c r="AA67" s="810"/>
      <c r="AB67" s="813"/>
      <c r="AC67" s="813"/>
      <c r="AD67" s="813"/>
      <c r="AE67" s="810"/>
      <c r="AF67" s="823"/>
      <c r="AG67" s="823"/>
      <c r="AH67" s="776"/>
      <c r="AL67" s="810"/>
      <c r="AM67" s="810"/>
      <c r="AO67" s="776"/>
      <c r="AP67" s="776"/>
      <c r="AU67" s="797"/>
    </row>
    <row r="68" spans="1:47">
      <c r="A68" s="772" t="s">
        <v>1465</v>
      </c>
      <c r="G68" s="829"/>
      <c r="H68" s="828"/>
      <c r="I68" s="827"/>
      <c r="J68" s="826"/>
      <c r="K68" s="825"/>
      <c r="L68" s="815"/>
      <c r="M68" s="815"/>
      <c r="N68" s="815"/>
      <c r="O68" s="815"/>
      <c r="P68" s="824"/>
      <c r="Q68" s="810"/>
      <c r="R68" s="810"/>
      <c r="S68" s="810"/>
      <c r="U68" s="815"/>
      <c r="V68" s="823"/>
      <c r="W68" s="810"/>
      <c r="X68" s="810"/>
      <c r="Y68" s="810"/>
      <c r="Z68" s="810"/>
      <c r="AA68" s="810"/>
      <c r="AB68" s="813"/>
      <c r="AC68" s="813"/>
      <c r="AD68" s="813"/>
      <c r="AE68" s="810"/>
      <c r="AF68" s="823"/>
      <c r="AG68" s="823"/>
      <c r="AH68" s="776"/>
      <c r="AL68" s="810"/>
      <c r="AM68" s="810"/>
      <c r="AO68" s="776"/>
      <c r="AP68" s="776"/>
      <c r="AU68" s="797"/>
    </row>
    <row r="69" spans="1:47">
      <c r="A69" s="832" t="s">
        <v>1464</v>
      </c>
      <c r="B69" s="831"/>
      <c r="C69" s="820"/>
      <c r="D69" s="820"/>
      <c r="E69" s="821"/>
      <c r="F69" s="821"/>
      <c r="G69" s="829"/>
      <c r="H69" s="828"/>
      <c r="I69" s="827"/>
      <c r="J69" s="826"/>
      <c r="K69" s="825"/>
      <c r="L69" s="815"/>
      <c r="M69" s="815"/>
      <c r="N69" s="815"/>
      <c r="O69" s="815"/>
      <c r="P69" s="824"/>
      <c r="Q69" s="810"/>
      <c r="R69" s="810"/>
      <c r="S69" s="810"/>
      <c r="U69" s="815"/>
      <c r="V69" s="823"/>
      <c r="W69" s="810"/>
      <c r="X69" s="810"/>
      <c r="Y69" s="810"/>
      <c r="Z69" s="810"/>
      <c r="AA69" s="810"/>
      <c r="AB69" s="813"/>
      <c r="AC69" s="813"/>
      <c r="AD69" s="813"/>
      <c r="AE69" s="810"/>
      <c r="AF69" s="823"/>
      <c r="AG69" s="823"/>
      <c r="AH69" s="776"/>
      <c r="AL69" s="810"/>
      <c r="AM69" s="810"/>
      <c r="AO69" s="776"/>
      <c r="AP69" s="776"/>
      <c r="AU69" s="797"/>
    </row>
    <row r="70" spans="1:47">
      <c r="A70" s="830"/>
      <c r="B70" s="822"/>
      <c r="C70" s="820"/>
      <c r="D70" s="820"/>
      <c r="E70" s="821"/>
      <c r="F70" s="821"/>
      <c r="G70" s="829"/>
      <c r="H70" s="828"/>
      <c r="I70" s="827"/>
      <c r="J70" s="826"/>
      <c r="K70" s="825"/>
      <c r="L70" s="815"/>
      <c r="M70" s="815"/>
      <c r="N70" s="815"/>
      <c r="O70" s="815"/>
      <c r="P70" s="824"/>
      <c r="Q70" s="810"/>
      <c r="R70" s="810"/>
      <c r="S70" s="810"/>
      <c r="U70" s="815"/>
      <c r="V70" s="823"/>
      <c r="W70" s="810"/>
      <c r="X70" s="810"/>
      <c r="Y70" s="810"/>
      <c r="Z70" s="810"/>
      <c r="AA70" s="810"/>
      <c r="AB70" s="813"/>
      <c r="AC70" s="813"/>
      <c r="AD70" s="813"/>
      <c r="AE70" s="810"/>
      <c r="AF70" s="823"/>
      <c r="AG70" s="823"/>
      <c r="AH70" s="811"/>
      <c r="AL70" s="810"/>
      <c r="AM70" s="810"/>
      <c r="AO70" s="776"/>
      <c r="AP70" s="776"/>
      <c r="AU70" s="797"/>
    </row>
    <row r="71" spans="1:47">
      <c r="B71" s="822"/>
      <c r="C71" s="820"/>
      <c r="D71" s="820"/>
      <c r="E71" s="821"/>
      <c r="F71" s="821"/>
      <c r="G71" s="829"/>
      <c r="H71" s="828"/>
      <c r="I71" s="827"/>
      <c r="J71" s="826"/>
      <c r="K71" s="825"/>
      <c r="L71" s="815"/>
      <c r="M71" s="815"/>
      <c r="N71" s="815"/>
      <c r="O71" s="815"/>
      <c r="P71" s="824"/>
      <c r="Q71" s="810"/>
      <c r="R71" s="810"/>
      <c r="S71" s="810"/>
      <c r="U71" s="815"/>
      <c r="V71" s="823"/>
      <c r="W71" s="810"/>
      <c r="X71" s="810"/>
      <c r="Y71" s="810"/>
      <c r="Z71" s="810"/>
      <c r="AA71" s="810"/>
      <c r="AB71" s="813"/>
      <c r="AC71" s="813"/>
      <c r="AD71" s="813"/>
      <c r="AE71" s="810"/>
      <c r="AF71" s="823"/>
      <c r="AG71" s="823"/>
      <c r="AH71" s="811"/>
      <c r="AL71" s="810"/>
      <c r="AM71" s="810"/>
      <c r="AO71" s="776"/>
      <c r="AP71" s="776"/>
      <c r="AU71" s="797"/>
    </row>
    <row r="72" spans="1:47">
      <c r="B72" s="822"/>
      <c r="C72" s="820"/>
      <c r="D72" s="820"/>
      <c r="E72" s="821"/>
      <c r="F72" s="821"/>
      <c r="G72" s="829"/>
      <c r="H72" s="828"/>
      <c r="I72" s="827"/>
      <c r="J72" s="826"/>
      <c r="K72" s="825"/>
      <c r="L72" s="815"/>
      <c r="M72" s="815"/>
      <c r="N72" s="815"/>
      <c r="O72" s="815"/>
      <c r="P72" s="824"/>
      <c r="Q72" s="810"/>
      <c r="R72" s="810"/>
      <c r="S72" s="810"/>
      <c r="U72" s="815"/>
      <c r="V72" s="823"/>
      <c r="W72" s="810"/>
      <c r="X72" s="810"/>
      <c r="Y72" s="810"/>
      <c r="Z72" s="810"/>
      <c r="AA72" s="810"/>
      <c r="AB72" s="813"/>
      <c r="AC72" s="813"/>
      <c r="AD72" s="813"/>
      <c r="AE72" s="810"/>
      <c r="AF72" s="823"/>
      <c r="AG72" s="823"/>
      <c r="AH72" s="811"/>
      <c r="AL72" s="810"/>
      <c r="AM72" s="810"/>
      <c r="AO72" s="776"/>
      <c r="AP72" s="776"/>
      <c r="AU72" s="797"/>
    </row>
    <row r="73" spans="1:47">
      <c r="B73" s="822"/>
      <c r="C73" s="820"/>
      <c r="D73" s="820"/>
      <c r="E73" s="821"/>
      <c r="F73" s="821"/>
      <c r="G73" s="829"/>
      <c r="H73" s="828"/>
      <c r="I73" s="827"/>
      <c r="J73" s="826"/>
      <c r="K73" s="825"/>
      <c r="L73" s="815"/>
      <c r="M73" s="815"/>
      <c r="N73" s="815"/>
      <c r="O73" s="815"/>
      <c r="P73" s="824"/>
      <c r="Q73" s="810"/>
      <c r="R73" s="810"/>
      <c r="S73" s="810"/>
      <c r="U73" s="815"/>
      <c r="V73" s="823"/>
      <c r="W73" s="810"/>
      <c r="X73" s="810"/>
      <c r="Y73" s="810"/>
      <c r="Z73" s="810"/>
      <c r="AA73" s="810"/>
      <c r="AB73" s="813"/>
      <c r="AC73" s="813"/>
      <c r="AD73" s="813"/>
      <c r="AE73" s="810"/>
      <c r="AF73" s="823"/>
      <c r="AG73" s="823"/>
      <c r="AH73" s="811"/>
      <c r="AL73" s="810"/>
      <c r="AM73" s="810"/>
      <c r="AO73" s="776"/>
      <c r="AP73" s="776"/>
      <c r="AU73" s="797"/>
    </row>
    <row r="74" spans="1:47">
      <c r="B74" s="822"/>
      <c r="C74" s="820"/>
      <c r="D74" s="820"/>
      <c r="E74" s="821"/>
      <c r="F74" s="821"/>
      <c r="G74" s="829"/>
      <c r="H74" s="828"/>
      <c r="I74" s="827"/>
      <c r="J74" s="826"/>
      <c r="K74" s="825"/>
      <c r="L74" s="815"/>
      <c r="M74" s="815"/>
      <c r="N74" s="815"/>
      <c r="O74" s="815"/>
      <c r="P74" s="824"/>
      <c r="Q74" s="810"/>
      <c r="R74" s="810"/>
      <c r="S74" s="810"/>
      <c r="U74" s="815"/>
      <c r="V74" s="823"/>
      <c r="W74" s="810"/>
      <c r="X74" s="810"/>
      <c r="Y74" s="810"/>
      <c r="Z74" s="810"/>
      <c r="AA74" s="810"/>
      <c r="AB74" s="813"/>
      <c r="AC74" s="813"/>
      <c r="AD74" s="813"/>
      <c r="AE74" s="810"/>
      <c r="AF74" s="823"/>
      <c r="AG74" s="823"/>
      <c r="AH74" s="811"/>
      <c r="AL74" s="810"/>
      <c r="AM74" s="810"/>
      <c r="AO74" s="776"/>
      <c r="AP74" s="776"/>
      <c r="AU74" s="797"/>
    </row>
    <row r="75" spans="1:47">
      <c r="B75" s="822"/>
      <c r="C75" s="820"/>
      <c r="D75" s="820"/>
      <c r="E75" s="821"/>
      <c r="F75" s="821"/>
      <c r="G75" s="829"/>
      <c r="H75" s="828"/>
      <c r="I75" s="827"/>
      <c r="J75" s="826"/>
      <c r="K75" s="825"/>
      <c r="L75" s="815"/>
      <c r="M75" s="815"/>
      <c r="N75" s="815"/>
      <c r="O75" s="815"/>
      <c r="P75" s="824"/>
      <c r="Q75" s="810"/>
      <c r="R75" s="810"/>
      <c r="S75" s="810"/>
      <c r="U75" s="815"/>
      <c r="V75" s="823"/>
      <c r="W75" s="810"/>
      <c r="X75" s="810"/>
      <c r="Y75" s="810"/>
      <c r="Z75" s="810"/>
      <c r="AA75" s="810"/>
      <c r="AB75" s="813"/>
      <c r="AC75" s="813"/>
      <c r="AD75" s="813"/>
      <c r="AE75" s="810"/>
      <c r="AF75" s="823"/>
      <c r="AG75" s="823"/>
      <c r="AH75" s="811"/>
      <c r="AL75" s="810"/>
      <c r="AM75" s="810"/>
      <c r="AO75" s="776"/>
      <c r="AP75" s="776"/>
      <c r="AU75" s="797"/>
    </row>
    <row r="76" spans="1:47">
      <c r="B76" s="822"/>
      <c r="C76" s="820"/>
      <c r="D76" s="820"/>
      <c r="E76" s="821"/>
      <c r="F76" s="821"/>
      <c r="G76" s="829"/>
      <c r="H76" s="828"/>
      <c r="I76" s="827"/>
      <c r="J76" s="826"/>
      <c r="K76" s="825"/>
      <c r="L76" s="815"/>
      <c r="M76" s="815"/>
      <c r="N76" s="815"/>
      <c r="O76" s="815"/>
      <c r="P76" s="824"/>
      <c r="Q76" s="810"/>
      <c r="R76" s="810"/>
      <c r="S76" s="810"/>
      <c r="U76" s="815"/>
      <c r="V76" s="823"/>
      <c r="W76" s="810"/>
      <c r="X76" s="810"/>
      <c r="Y76" s="810"/>
      <c r="Z76" s="810"/>
      <c r="AA76" s="810"/>
      <c r="AB76" s="813"/>
      <c r="AC76" s="813"/>
      <c r="AD76" s="813"/>
      <c r="AE76" s="810"/>
      <c r="AF76" s="823"/>
      <c r="AG76" s="823"/>
      <c r="AH76" s="811"/>
      <c r="AL76" s="810"/>
      <c r="AM76" s="810"/>
      <c r="AO76" s="776"/>
      <c r="AP76" s="776"/>
      <c r="AU76" s="797"/>
    </row>
    <row r="77" spans="1:47">
      <c r="B77" s="822"/>
      <c r="C77" s="820"/>
      <c r="D77" s="820"/>
      <c r="E77" s="821"/>
      <c r="F77" s="821"/>
      <c r="G77" s="829"/>
      <c r="H77" s="828"/>
      <c r="I77" s="827"/>
      <c r="J77" s="826"/>
      <c r="K77" s="825"/>
      <c r="L77" s="815"/>
      <c r="M77" s="815"/>
      <c r="N77" s="815"/>
      <c r="O77" s="815"/>
      <c r="P77" s="824"/>
      <c r="Q77" s="810"/>
      <c r="R77" s="810"/>
      <c r="S77" s="810"/>
      <c r="U77" s="815"/>
      <c r="V77" s="823"/>
      <c r="W77" s="810"/>
      <c r="X77" s="810"/>
      <c r="Y77" s="810"/>
      <c r="Z77" s="810"/>
      <c r="AA77" s="810"/>
      <c r="AB77" s="813"/>
      <c r="AC77" s="813"/>
      <c r="AD77" s="813"/>
      <c r="AE77" s="810"/>
      <c r="AF77" s="823"/>
      <c r="AG77" s="823"/>
      <c r="AH77" s="811"/>
      <c r="AL77" s="810"/>
      <c r="AM77" s="810"/>
      <c r="AO77" s="776"/>
      <c r="AP77" s="776"/>
      <c r="AS77" s="797"/>
    </row>
    <row r="78" spans="1:47">
      <c r="B78" s="822"/>
      <c r="C78" s="820"/>
      <c r="D78" s="820"/>
      <c r="E78" s="821"/>
      <c r="F78" s="821"/>
      <c r="G78" s="829"/>
      <c r="H78" s="828"/>
      <c r="I78" s="827"/>
      <c r="J78" s="826"/>
      <c r="K78" s="825"/>
      <c r="L78" s="815"/>
      <c r="M78" s="815"/>
      <c r="N78" s="815"/>
      <c r="O78" s="815"/>
      <c r="P78" s="824"/>
      <c r="Q78" s="810"/>
      <c r="R78" s="810"/>
      <c r="S78" s="810"/>
      <c r="U78" s="815"/>
      <c r="V78" s="823"/>
      <c r="W78" s="810"/>
      <c r="X78" s="810"/>
      <c r="Y78" s="810"/>
      <c r="Z78" s="810"/>
      <c r="AA78" s="810"/>
      <c r="AB78" s="813"/>
      <c r="AC78" s="813"/>
      <c r="AD78" s="813"/>
      <c r="AE78" s="810"/>
      <c r="AF78" s="823"/>
      <c r="AG78" s="823"/>
      <c r="AH78" s="811"/>
      <c r="AL78" s="810"/>
      <c r="AM78" s="810"/>
      <c r="AO78" s="776"/>
      <c r="AP78" s="776"/>
      <c r="AR78" s="797"/>
    </row>
    <row r="79" spans="1:47">
      <c r="A79" s="830" t="s">
        <v>1463</v>
      </c>
      <c r="B79" s="822"/>
      <c r="C79" s="820"/>
      <c r="D79" s="820"/>
      <c r="E79" s="821"/>
      <c r="F79" s="821"/>
      <c r="G79" s="829"/>
      <c r="H79" s="828"/>
      <c r="I79" s="827"/>
      <c r="J79" s="826"/>
      <c r="K79" s="825"/>
      <c r="L79" s="815"/>
      <c r="M79" s="815"/>
      <c r="N79" s="815"/>
      <c r="O79" s="815"/>
      <c r="P79" s="824"/>
      <c r="Q79" s="810"/>
      <c r="R79" s="810"/>
      <c r="S79" s="810"/>
      <c r="U79" s="815"/>
      <c r="V79" s="823"/>
      <c r="W79" s="810"/>
      <c r="X79" s="810"/>
      <c r="Y79" s="810"/>
      <c r="Z79" s="810"/>
      <c r="AA79" s="810"/>
      <c r="AB79" s="813"/>
      <c r="AC79" s="813"/>
      <c r="AD79" s="813"/>
      <c r="AE79" s="810"/>
      <c r="AF79" s="823"/>
      <c r="AG79" s="823"/>
      <c r="AH79" s="811"/>
      <c r="AL79" s="810"/>
      <c r="AM79" s="810"/>
      <c r="AO79" s="776"/>
      <c r="AP79" s="776"/>
      <c r="AS79" s="797"/>
    </row>
    <row r="80" spans="1:47">
      <c r="A80" s="830" t="s">
        <v>1462</v>
      </c>
      <c r="B80" s="822"/>
      <c r="C80" s="820"/>
      <c r="D80" s="820"/>
      <c r="E80" s="821"/>
      <c r="F80" s="820"/>
      <c r="G80" s="829"/>
      <c r="H80" s="828"/>
      <c r="I80" s="827"/>
      <c r="J80" s="826"/>
      <c r="K80" s="825"/>
      <c r="L80" s="815"/>
      <c r="M80" s="815"/>
      <c r="N80" s="815"/>
      <c r="O80" s="815"/>
      <c r="P80" s="824"/>
      <c r="Q80" s="810"/>
      <c r="R80" s="810"/>
      <c r="S80" s="810"/>
      <c r="U80" s="815"/>
      <c r="V80" s="823"/>
      <c r="W80" s="810"/>
      <c r="X80" s="810"/>
      <c r="Y80" s="810"/>
      <c r="Z80" s="810"/>
      <c r="AA80" s="810"/>
      <c r="AB80" s="813"/>
      <c r="AC80" s="813"/>
      <c r="AD80" s="813"/>
      <c r="AE80" s="810"/>
      <c r="AF80" s="823"/>
      <c r="AG80" s="823"/>
      <c r="AH80" s="811"/>
      <c r="AL80" s="810"/>
      <c r="AM80" s="810"/>
      <c r="AO80" s="776"/>
      <c r="AP80" s="776"/>
      <c r="AU80" s="797"/>
    </row>
    <row r="81" spans="1:47">
      <c r="B81" s="822"/>
      <c r="C81" s="820"/>
      <c r="D81" s="821"/>
      <c r="E81" s="820"/>
      <c r="F81" s="819"/>
      <c r="G81" s="817"/>
      <c r="H81" s="816"/>
      <c r="I81" s="814"/>
      <c r="J81" s="814"/>
      <c r="K81" s="814"/>
      <c r="L81" s="814"/>
      <c r="M81" s="814"/>
      <c r="N81" s="815"/>
      <c r="O81" s="814"/>
      <c r="P81" s="814"/>
      <c r="Q81" s="810"/>
      <c r="R81" s="810"/>
      <c r="S81" s="810"/>
      <c r="U81" s="814"/>
      <c r="V81" s="812"/>
      <c r="W81" s="810"/>
      <c r="X81" s="810"/>
      <c r="Y81" s="810"/>
      <c r="Z81" s="810"/>
      <c r="AA81" s="810"/>
      <c r="AB81" s="811"/>
      <c r="AC81" s="813"/>
      <c r="AD81" s="811"/>
      <c r="AE81" s="810"/>
      <c r="AF81" s="812"/>
      <c r="AG81" s="812"/>
      <c r="AH81" s="811"/>
      <c r="AL81" s="810"/>
      <c r="AM81" s="810"/>
      <c r="AO81" s="776"/>
      <c r="AP81" s="776"/>
      <c r="AU81" s="797"/>
    </row>
    <row r="82" spans="1:47">
      <c r="A82" s="772" t="s">
        <v>1461</v>
      </c>
      <c r="C82" s="772">
        <v>20.613600000000002</v>
      </c>
      <c r="D82" s="818">
        <v>10.481513327601032</v>
      </c>
      <c r="G82" s="817"/>
      <c r="H82" s="816"/>
      <c r="I82" s="814"/>
      <c r="J82" s="814"/>
      <c r="K82" s="814"/>
      <c r="L82" s="814"/>
      <c r="M82" s="814"/>
      <c r="N82" s="815"/>
      <c r="O82" s="814"/>
      <c r="P82" s="814"/>
      <c r="Q82" s="810"/>
      <c r="R82" s="810"/>
      <c r="S82" s="810"/>
      <c r="U82" s="814"/>
      <c r="V82" s="812"/>
      <c r="W82" s="810"/>
      <c r="X82" s="810"/>
      <c r="Y82" s="810"/>
      <c r="Z82" s="810"/>
      <c r="AA82" s="810"/>
      <c r="AB82" s="776"/>
      <c r="AC82" s="813"/>
      <c r="AD82" s="776"/>
      <c r="AE82" s="810"/>
      <c r="AF82" s="812"/>
      <c r="AG82" s="812"/>
      <c r="AH82" s="811"/>
      <c r="AL82" s="810"/>
      <c r="AM82" s="810"/>
      <c r="AO82" s="776"/>
      <c r="AP82" s="776"/>
      <c r="AU82" s="797"/>
    </row>
    <row r="83" spans="1:47">
      <c r="A83" s="772" t="s">
        <v>1460</v>
      </c>
      <c r="C83" s="772">
        <v>25.678799999999999</v>
      </c>
      <c r="D83" s="818">
        <v>13.13966343201081</v>
      </c>
      <c r="G83" s="817"/>
      <c r="H83" s="816"/>
      <c r="I83" s="814"/>
      <c r="J83" s="814"/>
      <c r="K83" s="814"/>
      <c r="L83" s="814"/>
      <c r="M83" s="814"/>
      <c r="N83" s="815"/>
      <c r="O83" s="814"/>
      <c r="P83" s="814"/>
      <c r="Q83" s="810"/>
      <c r="R83" s="810"/>
      <c r="S83" s="810"/>
      <c r="U83" s="814"/>
      <c r="V83" s="812"/>
      <c r="W83" s="810"/>
      <c r="X83" s="810"/>
      <c r="Y83" s="810"/>
      <c r="Z83" s="810"/>
      <c r="AA83" s="810"/>
      <c r="AB83" s="776"/>
      <c r="AC83" s="813"/>
      <c r="AD83" s="776"/>
      <c r="AE83" s="810"/>
      <c r="AF83" s="812"/>
      <c r="AG83" s="812"/>
      <c r="AH83" s="811"/>
      <c r="AL83" s="810"/>
      <c r="AM83" s="810"/>
      <c r="AO83" s="776"/>
      <c r="AQ83" s="797"/>
    </row>
    <row r="84" spans="1:47">
      <c r="A84" s="772" t="s">
        <v>1459</v>
      </c>
      <c r="C84" s="772">
        <v>29.019600000000001</v>
      </c>
      <c r="D84" s="809">
        <v>11.426114727920403</v>
      </c>
      <c r="G84" s="817"/>
      <c r="H84" s="816"/>
      <c r="I84" s="814"/>
      <c r="J84" s="814"/>
      <c r="K84" s="814"/>
      <c r="L84" s="814"/>
      <c r="M84" s="814"/>
      <c r="N84" s="815"/>
      <c r="O84" s="814"/>
      <c r="P84" s="814"/>
      <c r="Q84" s="810"/>
      <c r="R84" s="810"/>
      <c r="S84" s="810"/>
      <c r="U84" s="814"/>
      <c r="V84" s="812"/>
      <c r="W84" s="810"/>
      <c r="X84" s="810"/>
      <c r="Y84" s="810"/>
      <c r="Z84" s="810"/>
      <c r="AA84" s="810"/>
      <c r="AB84" s="776"/>
      <c r="AC84" s="813"/>
      <c r="AD84" s="776"/>
      <c r="AE84" s="810"/>
      <c r="AF84" s="812"/>
      <c r="AG84" s="812"/>
      <c r="AH84" s="811"/>
      <c r="AL84" s="810"/>
      <c r="AM84" s="810"/>
      <c r="AO84" s="776"/>
      <c r="AQ84" s="797"/>
    </row>
    <row r="85" spans="1:47">
      <c r="A85" s="772" t="s">
        <v>1458</v>
      </c>
      <c r="C85" s="772">
        <v>27.561599999999999</v>
      </c>
      <c r="D85" s="809">
        <v>9.7187077754575615</v>
      </c>
      <c r="G85" s="817"/>
      <c r="H85" s="816"/>
      <c r="I85" s="814"/>
      <c r="J85" s="814"/>
      <c r="K85" s="814"/>
      <c r="L85" s="814"/>
      <c r="M85" s="814"/>
      <c r="N85" s="815"/>
      <c r="O85" s="814"/>
      <c r="P85" s="814"/>
      <c r="Q85" s="810"/>
      <c r="R85" s="810"/>
      <c r="S85" s="810"/>
      <c r="U85" s="814"/>
      <c r="V85" s="812"/>
      <c r="W85" s="810"/>
      <c r="X85" s="810"/>
      <c r="Y85" s="810"/>
      <c r="Z85" s="810"/>
      <c r="AA85" s="810"/>
      <c r="AB85" s="776"/>
      <c r="AC85" s="813"/>
      <c r="AD85" s="776"/>
      <c r="AE85" s="810"/>
      <c r="AF85" s="812"/>
      <c r="AG85" s="812"/>
      <c r="AH85" s="811"/>
      <c r="AL85" s="810"/>
      <c r="AM85" s="810"/>
      <c r="AO85" s="776"/>
      <c r="AQ85" s="797"/>
    </row>
    <row r="86" spans="1:47">
      <c r="A86" s="772" t="s">
        <v>1457</v>
      </c>
      <c r="C86" s="772">
        <v>23.536799999999999</v>
      </c>
      <c r="D86" s="809">
        <v>8.9595872742906284</v>
      </c>
      <c r="AG86" s="776"/>
      <c r="AH86" s="797"/>
      <c r="AI86" s="796"/>
      <c r="AQ86" s="797"/>
    </row>
    <row r="87" spans="1:47">
      <c r="A87" s="772" t="s">
        <v>1456</v>
      </c>
      <c r="C87" s="808">
        <v>29.261957318155993</v>
      </c>
      <c r="D87" s="808">
        <v>11.840692298770533</v>
      </c>
      <c r="F87" s="808">
        <v>62.962614751634241</v>
      </c>
      <c r="AG87" s="776"/>
      <c r="AH87" s="797"/>
      <c r="AI87" s="796"/>
      <c r="AQ87" s="797"/>
    </row>
    <row r="88" spans="1:47">
      <c r="A88" s="772" t="s">
        <v>1455</v>
      </c>
      <c r="C88" s="808">
        <v>30.082208837465096</v>
      </c>
      <c r="D88" s="808">
        <v>10.43599330680938</v>
      </c>
      <c r="F88" s="808">
        <v>56.234705301717113</v>
      </c>
      <c r="AG88" s="776"/>
      <c r="AH88" s="797"/>
      <c r="AI88" s="796"/>
      <c r="AQ88" s="797"/>
    </row>
    <row r="89" spans="1:47">
      <c r="A89" s="772" t="s">
        <v>1454</v>
      </c>
      <c r="C89" s="808">
        <v>25.047193574263442</v>
      </c>
      <c r="D89" s="808">
        <v>9.7668571396385815</v>
      </c>
      <c r="F89" s="808">
        <v>51.559553653859901</v>
      </c>
      <c r="AG89" s="776"/>
      <c r="AH89" s="797"/>
      <c r="AI89" s="796"/>
      <c r="AQ89" s="797"/>
    </row>
    <row r="90" spans="1:47">
      <c r="A90" s="772" t="s">
        <v>1453</v>
      </c>
      <c r="C90" s="807">
        <v>33.276833333333343</v>
      </c>
      <c r="D90" s="802">
        <v>9.1577484836801037</v>
      </c>
      <c r="F90" s="807">
        <v>85.567333333333352</v>
      </c>
      <c r="V90" s="776"/>
      <c r="W90" s="776"/>
      <c r="X90" s="776"/>
      <c r="Y90" s="776"/>
      <c r="Z90" s="776"/>
      <c r="AA90" s="776"/>
      <c r="AB90" s="776"/>
      <c r="AG90" s="776"/>
      <c r="AH90" s="797"/>
      <c r="AI90" s="796"/>
      <c r="AQ90" s="797"/>
    </row>
    <row r="91" spans="1:47">
      <c r="A91" s="776" t="s">
        <v>1452</v>
      </c>
      <c r="C91" s="776">
        <v>29.22</v>
      </c>
      <c r="D91" s="776">
        <f>8.08+0.167528</f>
        <v>8.2475280000000009</v>
      </c>
      <c r="F91" s="776">
        <v>68.959999999999994</v>
      </c>
      <c r="V91" s="776"/>
      <c r="W91" s="776"/>
      <c r="X91" s="776"/>
      <c r="Y91" s="776"/>
      <c r="Z91" s="776"/>
      <c r="AA91" s="776"/>
      <c r="AB91" s="776"/>
      <c r="AG91" s="776"/>
      <c r="AH91" s="797"/>
      <c r="AI91" s="796"/>
      <c r="AQ91" s="797"/>
    </row>
    <row r="92" spans="1:47">
      <c r="A92" s="772" t="s">
        <v>1451</v>
      </c>
      <c r="V92" s="776"/>
      <c r="W92" s="776"/>
      <c r="X92" s="776"/>
      <c r="Y92" s="776"/>
      <c r="Z92" s="776"/>
      <c r="AA92" s="776"/>
      <c r="AB92" s="776"/>
      <c r="AG92" s="776"/>
      <c r="AH92" s="797"/>
      <c r="AI92" s="796"/>
      <c r="AQ92" s="797"/>
    </row>
    <row r="93" spans="1:47">
      <c r="A93" s="772" t="s">
        <v>1450</v>
      </c>
      <c r="V93" s="776"/>
      <c r="W93" s="776"/>
      <c r="X93" s="776"/>
      <c r="Y93" s="776"/>
      <c r="Z93" s="776"/>
      <c r="AA93" s="776"/>
      <c r="AB93" s="776"/>
      <c r="AG93" s="776"/>
      <c r="AH93" s="797"/>
      <c r="AI93" s="796"/>
      <c r="AQ93" s="797"/>
    </row>
    <row r="94" spans="1:47">
      <c r="A94" s="772" t="s">
        <v>1449</v>
      </c>
      <c r="J94" s="806"/>
      <c r="V94" s="776"/>
      <c r="W94" s="776"/>
      <c r="X94" s="776"/>
      <c r="Y94" s="776"/>
      <c r="Z94" s="776"/>
      <c r="AA94" s="776"/>
      <c r="AB94" s="776"/>
      <c r="AG94" s="776"/>
      <c r="AH94" s="797"/>
      <c r="AI94" s="796"/>
      <c r="AQ94" s="797"/>
    </row>
    <row r="95" spans="1:47">
      <c r="A95" s="772" t="s">
        <v>1448</v>
      </c>
      <c r="J95" s="806"/>
      <c r="V95" s="776"/>
      <c r="W95" s="776"/>
      <c r="X95" s="776"/>
      <c r="Y95" s="776"/>
      <c r="Z95" s="776"/>
      <c r="AA95" s="776"/>
      <c r="AB95" s="776"/>
      <c r="AG95" s="776"/>
      <c r="AH95" s="797"/>
      <c r="AI95" s="796"/>
      <c r="AQ95" s="797"/>
    </row>
    <row r="96" spans="1:47">
      <c r="A96" s="772" t="s">
        <v>1447</v>
      </c>
      <c r="J96" s="806"/>
      <c r="V96" s="776"/>
      <c r="W96" s="776"/>
      <c r="X96" s="776"/>
      <c r="Y96" s="776"/>
      <c r="Z96" s="776"/>
      <c r="AA96" s="776"/>
      <c r="AB96" s="776"/>
      <c r="AG96" s="776"/>
      <c r="AH96" s="797"/>
      <c r="AI96" s="796"/>
      <c r="AQ96" s="797"/>
    </row>
    <row r="97" spans="1:43">
      <c r="A97" s="772" t="s">
        <v>1446</v>
      </c>
      <c r="J97" s="806"/>
      <c r="V97" s="776"/>
      <c r="W97" s="776"/>
      <c r="X97" s="776"/>
      <c r="Y97" s="776"/>
      <c r="Z97" s="776"/>
      <c r="AA97" s="776"/>
      <c r="AB97" s="776"/>
      <c r="AG97" s="776"/>
      <c r="AH97" s="797"/>
      <c r="AI97" s="796"/>
      <c r="AQ97" s="797"/>
    </row>
    <row r="98" spans="1:43">
      <c r="A98" s="772" t="s">
        <v>1445</v>
      </c>
      <c r="J98" s="806"/>
      <c r="V98" s="776"/>
      <c r="W98" s="776"/>
      <c r="X98" s="776"/>
      <c r="Y98" s="776"/>
      <c r="Z98" s="776"/>
      <c r="AA98" s="776"/>
      <c r="AB98" s="776"/>
      <c r="AG98" s="776"/>
      <c r="AH98" s="797"/>
      <c r="AI98" s="796"/>
      <c r="AQ98" s="797"/>
    </row>
    <row r="99" spans="1:43">
      <c r="A99" s="772" t="s">
        <v>1444</v>
      </c>
      <c r="J99" s="806"/>
      <c r="V99" s="776"/>
      <c r="W99" s="776"/>
      <c r="X99" s="776"/>
      <c r="Y99" s="776"/>
      <c r="Z99" s="776"/>
      <c r="AA99" s="776"/>
      <c r="AB99" s="776"/>
      <c r="AG99" s="776"/>
      <c r="AH99" s="797"/>
      <c r="AI99" s="796"/>
      <c r="AQ99" s="797"/>
    </row>
    <row r="100" spans="1:43">
      <c r="A100" s="772" t="s">
        <v>1443</v>
      </c>
      <c r="J100" s="806"/>
      <c r="V100" s="776"/>
      <c r="W100" s="776"/>
      <c r="X100" s="776"/>
      <c r="Y100" s="776"/>
      <c r="Z100" s="776"/>
      <c r="AA100" s="776"/>
      <c r="AB100" s="776"/>
      <c r="AG100" s="776"/>
      <c r="AH100" s="797"/>
      <c r="AI100" s="796"/>
      <c r="AQ100" s="797"/>
    </row>
    <row r="101" spans="1:43">
      <c r="A101" s="772" t="s">
        <v>1442</v>
      </c>
      <c r="J101" s="806"/>
      <c r="V101" s="776"/>
      <c r="W101" s="776"/>
      <c r="X101" s="776"/>
      <c r="Y101" s="776"/>
      <c r="Z101" s="776"/>
      <c r="AA101" s="776"/>
      <c r="AB101" s="776"/>
      <c r="AG101" s="776"/>
      <c r="AH101" s="797"/>
      <c r="AI101" s="796"/>
      <c r="AQ101" s="797"/>
    </row>
    <row r="102" spans="1:43">
      <c r="A102" s="772" t="s">
        <v>1441</v>
      </c>
      <c r="J102" s="806"/>
      <c r="V102" s="776"/>
      <c r="W102" s="776"/>
      <c r="X102" s="776"/>
      <c r="Y102" s="776"/>
      <c r="Z102" s="776"/>
      <c r="AA102" s="776"/>
      <c r="AB102" s="776"/>
      <c r="AG102" s="776"/>
      <c r="AH102" s="797"/>
      <c r="AI102" s="796"/>
      <c r="AQ102" s="797"/>
    </row>
    <row r="103" spans="1:43">
      <c r="A103" s="772" t="s">
        <v>1440</v>
      </c>
      <c r="J103" s="806"/>
      <c r="V103" s="776"/>
      <c r="W103" s="776"/>
      <c r="X103" s="776"/>
      <c r="Y103" s="776"/>
      <c r="Z103" s="776"/>
      <c r="AA103" s="776"/>
      <c r="AB103" s="776"/>
      <c r="AG103" s="776"/>
      <c r="AH103" s="797"/>
      <c r="AI103" s="796"/>
      <c r="AQ103" s="797"/>
    </row>
    <row r="104" spans="1:43">
      <c r="A104" s="772" t="s">
        <v>1439</v>
      </c>
      <c r="V104" s="776"/>
      <c r="W104" s="776"/>
      <c r="X104" s="776"/>
      <c r="Y104" s="776"/>
      <c r="Z104" s="776"/>
      <c r="AA104" s="776"/>
      <c r="AB104" s="776"/>
      <c r="AG104" s="776"/>
      <c r="AH104" s="797"/>
      <c r="AI104" s="796"/>
      <c r="AQ104" s="797"/>
    </row>
    <row r="105" spans="1:43">
      <c r="A105" s="772" t="s">
        <v>1438</v>
      </c>
      <c r="V105" s="776"/>
      <c r="W105" s="776"/>
      <c r="X105" s="776"/>
      <c r="Y105" s="776"/>
      <c r="Z105" s="776"/>
      <c r="AA105" s="776"/>
      <c r="AB105" s="776"/>
      <c r="AG105" s="776"/>
      <c r="AH105" s="797"/>
      <c r="AI105" s="796"/>
      <c r="AQ105" s="797"/>
    </row>
    <row r="106" spans="1:43">
      <c r="A106" s="772" t="s">
        <v>1437</v>
      </c>
      <c r="V106" s="776"/>
      <c r="W106" s="776"/>
      <c r="X106" s="776"/>
      <c r="Y106" s="776"/>
      <c r="Z106" s="776"/>
      <c r="AA106" s="776"/>
      <c r="AB106" s="776"/>
      <c r="AG106" s="776"/>
      <c r="AH106" s="797"/>
      <c r="AI106" s="796"/>
      <c r="AQ106" s="797"/>
    </row>
    <row r="107" spans="1:43">
      <c r="A107" s="772" t="s">
        <v>1436</v>
      </c>
      <c r="V107" s="776"/>
      <c r="W107" s="776"/>
      <c r="X107" s="776"/>
      <c r="Y107" s="776"/>
      <c r="Z107" s="776"/>
      <c r="AA107" s="776"/>
      <c r="AB107" s="776"/>
      <c r="AG107" s="776"/>
      <c r="AH107" s="797"/>
      <c r="AI107" s="796"/>
      <c r="AQ107" s="797"/>
    </row>
    <row r="108" spans="1:43">
      <c r="A108" s="772" t="s">
        <v>1435</v>
      </c>
      <c r="V108" s="776"/>
      <c r="W108" s="776"/>
      <c r="X108" s="776"/>
      <c r="Y108" s="776"/>
      <c r="Z108" s="776"/>
      <c r="AA108" s="776"/>
      <c r="AB108" s="776"/>
      <c r="AG108" s="776"/>
      <c r="AH108" s="797"/>
      <c r="AI108" s="796"/>
      <c r="AQ108" s="797"/>
    </row>
    <row r="109" spans="1:43">
      <c r="A109" s="772" t="s">
        <v>1434</v>
      </c>
      <c r="V109" s="776"/>
      <c r="W109" s="776"/>
      <c r="X109" s="776"/>
      <c r="Y109" s="776"/>
      <c r="Z109" s="776"/>
      <c r="AA109" s="776"/>
      <c r="AB109" s="776"/>
      <c r="AG109" s="776"/>
      <c r="AH109" s="797"/>
      <c r="AI109" s="796"/>
      <c r="AQ109" s="797"/>
    </row>
    <row r="110" spans="1:43">
      <c r="A110" s="772" t="s">
        <v>1433</v>
      </c>
      <c r="V110" s="776"/>
      <c r="W110" s="776"/>
      <c r="X110" s="776"/>
      <c r="Y110" s="776"/>
      <c r="Z110" s="776"/>
      <c r="AA110" s="776"/>
      <c r="AB110" s="776"/>
      <c r="AG110" s="776"/>
      <c r="AH110" s="797"/>
      <c r="AI110" s="796"/>
      <c r="AQ110" s="797"/>
    </row>
    <row r="111" spans="1:43">
      <c r="A111" s="772" t="s">
        <v>1432</v>
      </c>
      <c r="V111" s="776"/>
      <c r="W111" s="776"/>
      <c r="X111" s="776"/>
      <c r="Y111" s="776"/>
      <c r="Z111" s="776"/>
      <c r="AA111" s="776"/>
      <c r="AB111" s="776"/>
      <c r="AG111" s="776"/>
      <c r="AH111" s="797"/>
      <c r="AI111" s="796"/>
      <c r="AQ111" s="797"/>
    </row>
    <row r="112" spans="1:43">
      <c r="B112" s="1350" t="s">
        <v>1431</v>
      </c>
      <c r="C112" s="1350"/>
      <c r="D112" s="1350"/>
      <c r="E112" s="1350"/>
      <c r="F112" s="1350" t="s">
        <v>1430</v>
      </c>
      <c r="G112" s="1350"/>
      <c r="H112" s="1350"/>
      <c r="I112" s="1350" t="s">
        <v>1429</v>
      </c>
      <c r="J112" s="1350"/>
      <c r="K112" s="1350"/>
      <c r="V112" s="776"/>
      <c r="W112" s="776"/>
      <c r="X112" s="776"/>
      <c r="Y112" s="776"/>
      <c r="Z112" s="776"/>
      <c r="AA112" s="776"/>
      <c r="AB112" s="776"/>
      <c r="AG112" s="776"/>
      <c r="AH112" s="797"/>
      <c r="AI112" s="796"/>
      <c r="AQ112" s="797"/>
    </row>
    <row r="113" spans="1:43">
      <c r="B113" s="772" t="s">
        <v>1428</v>
      </c>
      <c r="C113" s="772">
        <v>2020</v>
      </c>
      <c r="D113" s="772">
        <v>2030</v>
      </c>
      <c r="E113" s="772" t="s">
        <v>1427</v>
      </c>
      <c r="F113" s="772">
        <v>2020</v>
      </c>
      <c r="G113" s="772">
        <v>2030</v>
      </c>
      <c r="H113" s="772" t="s">
        <v>1427</v>
      </c>
      <c r="I113" s="772">
        <v>2020</v>
      </c>
      <c r="J113" s="772">
        <v>2030</v>
      </c>
      <c r="K113" s="772" t="s">
        <v>1427</v>
      </c>
      <c r="V113" s="776"/>
      <c r="W113" s="776"/>
      <c r="X113" s="776"/>
      <c r="Y113" s="776"/>
      <c r="Z113" s="776"/>
      <c r="AA113" s="776"/>
      <c r="AB113" s="776"/>
      <c r="AG113" s="776"/>
      <c r="AH113" s="797"/>
      <c r="AI113" s="796"/>
      <c r="AQ113" s="797"/>
    </row>
    <row r="114" spans="1:43">
      <c r="A114" s="805" t="s">
        <v>1422</v>
      </c>
      <c r="W114" s="776"/>
      <c r="X114" s="776"/>
      <c r="Y114" s="776"/>
      <c r="Z114" s="776"/>
      <c r="AA114" s="776"/>
      <c r="AB114" s="776"/>
      <c r="AG114" s="776"/>
      <c r="AH114" s="797"/>
      <c r="AI114" s="796"/>
      <c r="AQ114" s="797"/>
    </row>
    <row r="115" spans="1:43">
      <c r="A115" s="804" t="s">
        <v>1425</v>
      </c>
      <c r="B115" s="772">
        <v>106</v>
      </c>
      <c r="C115" s="772">
        <v>112</v>
      </c>
      <c r="D115" s="772">
        <v>123</v>
      </c>
      <c r="E115" s="772">
        <v>132</v>
      </c>
      <c r="F115" s="772">
        <v>116</v>
      </c>
      <c r="G115" s="772">
        <v>139</v>
      </c>
      <c r="H115" s="772">
        <v>155</v>
      </c>
      <c r="I115" s="772">
        <v>105</v>
      </c>
      <c r="J115" s="772">
        <v>102</v>
      </c>
      <c r="K115" s="772">
        <v>100</v>
      </c>
      <c r="V115" s="776"/>
      <c r="W115" s="776"/>
      <c r="X115" s="776"/>
      <c r="Y115" s="776"/>
      <c r="Z115" s="776"/>
      <c r="AA115" s="776"/>
      <c r="AB115" s="776"/>
      <c r="AG115" s="776"/>
      <c r="AH115" s="797"/>
      <c r="AI115" s="796"/>
      <c r="AQ115" s="797"/>
    </row>
    <row r="116" spans="1:43">
      <c r="A116" s="804" t="s">
        <v>1424</v>
      </c>
      <c r="B116" s="772">
        <v>10.6</v>
      </c>
      <c r="C116" s="772">
        <v>11.1</v>
      </c>
      <c r="D116" s="772">
        <v>12.1</v>
      </c>
      <c r="E116" s="772">
        <v>12.7</v>
      </c>
      <c r="F116" s="772">
        <v>11.5</v>
      </c>
      <c r="G116" s="772">
        <v>13.2</v>
      </c>
      <c r="H116" s="772">
        <v>14</v>
      </c>
      <c r="I116" s="772">
        <v>10.5</v>
      </c>
      <c r="J116" s="772">
        <v>10</v>
      </c>
      <c r="K116" s="772">
        <v>9.1999999999999993</v>
      </c>
      <c r="V116" s="776"/>
      <c r="W116" s="776"/>
      <c r="X116" s="776"/>
      <c r="Y116" s="776"/>
      <c r="Z116" s="776"/>
      <c r="AA116" s="776"/>
      <c r="AB116" s="776"/>
      <c r="AG116" s="776"/>
      <c r="AH116" s="797"/>
      <c r="AI116" s="796"/>
      <c r="AQ116" s="797"/>
    </row>
    <row r="117" spans="1:43">
      <c r="A117" s="804" t="s">
        <v>1419</v>
      </c>
      <c r="B117" s="772">
        <v>86</v>
      </c>
      <c r="C117" s="772">
        <v>101</v>
      </c>
      <c r="D117" s="772">
        <v>108</v>
      </c>
      <c r="E117" s="772">
        <v>112</v>
      </c>
      <c r="F117" s="772">
        <v>107</v>
      </c>
      <c r="G117" s="772">
        <v>117</v>
      </c>
      <c r="H117" s="772">
        <v>124</v>
      </c>
      <c r="I117" s="772">
        <v>88</v>
      </c>
      <c r="J117" s="772">
        <v>78</v>
      </c>
      <c r="K117" s="772">
        <v>77</v>
      </c>
      <c r="V117" s="776"/>
      <c r="W117" s="776"/>
      <c r="X117" s="776"/>
      <c r="Y117" s="776"/>
      <c r="Z117" s="776"/>
      <c r="AA117" s="776"/>
      <c r="AB117" s="776"/>
      <c r="AG117" s="776"/>
      <c r="AH117" s="797"/>
      <c r="AI117" s="796"/>
      <c r="AQ117" s="797"/>
    </row>
    <row r="118" spans="1:43">
      <c r="A118" s="803" t="s">
        <v>1426</v>
      </c>
      <c r="P118" s="776"/>
      <c r="R118" s="802"/>
      <c r="S118" s="776"/>
      <c r="T118" s="776"/>
      <c r="U118" s="776"/>
      <c r="V118" s="776"/>
      <c r="W118" s="776"/>
      <c r="X118" s="776"/>
      <c r="Y118" s="776"/>
      <c r="Z118" s="776"/>
      <c r="AA118" s="776"/>
      <c r="AB118" s="776"/>
      <c r="AG118" s="776"/>
      <c r="AH118" s="797"/>
      <c r="AI118" s="796"/>
      <c r="AQ118" s="797"/>
    </row>
    <row r="119" spans="1:43">
      <c r="A119" s="801" t="s">
        <v>1425</v>
      </c>
      <c r="B119" s="772">
        <v>109</v>
      </c>
      <c r="C119" s="772">
        <v>113</v>
      </c>
      <c r="D119" s="772">
        <v>121</v>
      </c>
      <c r="E119" s="772">
        <v>128</v>
      </c>
      <c r="F119" s="772">
        <v>120</v>
      </c>
      <c r="G119" s="772">
        <v>136</v>
      </c>
      <c r="H119" s="772">
        <v>145</v>
      </c>
      <c r="I119" s="772">
        <v>110</v>
      </c>
      <c r="J119" s="772">
        <v>104</v>
      </c>
      <c r="K119" s="772">
        <v>100</v>
      </c>
      <c r="P119" s="776"/>
      <c r="R119" s="802"/>
      <c r="S119" s="776"/>
      <c r="T119" s="776"/>
      <c r="U119" s="776"/>
      <c r="V119" s="776"/>
      <c r="W119" s="776"/>
      <c r="X119" s="776"/>
      <c r="Y119" s="776"/>
      <c r="Z119" s="776"/>
      <c r="AA119" s="776"/>
      <c r="AB119" s="776"/>
      <c r="AG119" s="776"/>
      <c r="AH119" s="797"/>
      <c r="AI119" s="796"/>
      <c r="AQ119" s="797"/>
    </row>
    <row r="120" spans="1:43">
      <c r="A120" s="801" t="s">
        <v>1424</v>
      </c>
      <c r="B120" s="772">
        <v>11.7</v>
      </c>
      <c r="C120" s="772">
        <v>11.9</v>
      </c>
      <c r="D120" s="772">
        <v>12.3</v>
      </c>
      <c r="E120" s="772">
        <v>12.7</v>
      </c>
      <c r="F120" s="772">
        <v>12.4</v>
      </c>
      <c r="G120" s="772">
        <v>13.4</v>
      </c>
      <c r="H120" s="772">
        <v>14</v>
      </c>
      <c r="I120" s="772">
        <v>11.5</v>
      </c>
      <c r="J120" s="772">
        <v>10.199999999999999</v>
      </c>
      <c r="K120" s="772">
        <v>9.5</v>
      </c>
      <c r="N120" s="776"/>
      <c r="Q120" s="776"/>
      <c r="T120" s="776"/>
      <c r="U120" s="776"/>
      <c r="V120" s="776"/>
      <c r="W120" s="776"/>
      <c r="X120" s="776"/>
      <c r="Y120" s="776"/>
      <c r="Z120" s="776"/>
      <c r="AA120" s="776"/>
      <c r="AB120" s="776"/>
      <c r="AG120" s="776"/>
      <c r="AH120" s="797"/>
      <c r="AI120" s="796"/>
      <c r="AQ120" s="797"/>
    </row>
    <row r="121" spans="1:43">
      <c r="A121" s="801" t="s">
        <v>1419</v>
      </c>
      <c r="B121" s="772">
        <v>99</v>
      </c>
      <c r="C121" s="772">
        <v>106</v>
      </c>
      <c r="D121" s="772">
        <v>110</v>
      </c>
      <c r="E121" s="772">
        <v>110</v>
      </c>
      <c r="F121" s="772">
        <v>112</v>
      </c>
      <c r="G121" s="772">
        <v>118</v>
      </c>
      <c r="H121" s="772">
        <v>120</v>
      </c>
      <c r="I121" s="772">
        <v>101</v>
      </c>
      <c r="J121" s="772">
        <v>86</v>
      </c>
      <c r="K121" s="772">
        <v>75</v>
      </c>
      <c r="N121" s="799"/>
      <c r="T121" s="776"/>
      <c r="U121" s="776"/>
      <c r="V121" s="776"/>
      <c r="W121" s="776"/>
      <c r="X121" s="776"/>
      <c r="Y121" s="776"/>
      <c r="Z121" s="776"/>
      <c r="AA121" s="776"/>
      <c r="AB121" s="776"/>
      <c r="AG121" s="776"/>
      <c r="AH121" s="797"/>
      <c r="AI121" s="796"/>
    </row>
    <row r="122" spans="1:43">
      <c r="N122" s="799"/>
      <c r="V122" s="776"/>
      <c r="W122" s="776"/>
      <c r="X122" s="776"/>
      <c r="Y122" s="776"/>
      <c r="Z122" s="776"/>
      <c r="AA122" s="776"/>
      <c r="AB122" s="776"/>
      <c r="AG122" s="776"/>
      <c r="AH122" s="797"/>
      <c r="AI122" s="796"/>
    </row>
    <row r="123" spans="1:43">
      <c r="L123" s="800"/>
      <c r="N123" s="799"/>
      <c r="Q123" s="776"/>
      <c r="T123" s="776"/>
      <c r="U123" s="798"/>
      <c r="AH123" s="797"/>
      <c r="AI123" s="796"/>
    </row>
    <row r="124" spans="1:43">
      <c r="A124" s="776" t="s">
        <v>1423</v>
      </c>
      <c r="B124" s="776"/>
      <c r="C124" s="776"/>
      <c r="D124" s="776"/>
      <c r="E124" s="776"/>
      <c r="F124" s="776"/>
      <c r="G124" s="776"/>
      <c r="H124" s="776"/>
      <c r="I124" s="776"/>
      <c r="J124" s="776"/>
      <c r="K124" s="776"/>
      <c r="L124" s="776"/>
      <c r="M124" s="776"/>
      <c r="N124" s="776"/>
      <c r="O124" s="776"/>
      <c r="P124" s="776"/>
      <c r="Q124" s="776"/>
      <c r="R124" s="776"/>
      <c r="S124" s="776"/>
      <c r="T124" s="776"/>
      <c r="U124" s="776"/>
      <c r="V124" s="776"/>
      <c r="W124" s="776"/>
      <c r="X124" s="776"/>
      <c r="Y124" s="776"/>
      <c r="Z124" s="776"/>
      <c r="AA124" s="776"/>
      <c r="AB124" s="776"/>
      <c r="AC124" s="776"/>
      <c r="AD124" s="776"/>
    </row>
    <row r="125" spans="1:43">
      <c r="A125" s="776"/>
      <c r="B125" s="776"/>
      <c r="C125" s="776"/>
      <c r="D125" s="776"/>
      <c r="E125" s="776"/>
      <c r="F125" s="776"/>
      <c r="G125" s="776"/>
      <c r="H125" s="776"/>
      <c r="I125" s="776"/>
      <c r="J125" s="776"/>
      <c r="K125" s="776"/>
      <c r="L125" s="776"/>
      <c r="M125" s="776"/>
      <c r="N125" s="776"/>
      <c r="O125" s="776"/>
      <c r="P125" s="776"/>
      <c r="Q125" s="776"/>
      <c r="R125" s="776"/>
      <c r="S125" s="776"/>
      <c r="T125" s="776"/>
      <c r="U125" s="776"/>
      <c r="V125" s="776"/>
      <c r="W125" s="776"/>
      <c r="X125" s="776"/>
      <c r="Y125" s="776"/>
      <c r="Z125" s="776"/>
      <c r="AA125" s="776"/>
      <c r="AB125" s="776"/>
      <c r="AC125" s="776"/>
      <c r="AD125" s="776"/>
    </row>
    <row r="126" spans="1:43" ht="57.6">
      <c r="A126" s="776"/>
      <c r="C126" s="795" t="s">
        <v>1422</v>
      </c>
      <c r="D126" s="794" t="s">
        <v>1421</v>
      </c>
      <c r="E126" s="794" t="s">
        <v>1420</v>
      </c>
      <c r="F126" s="794" t="s">
        <v>1419</v>
      </c>
      <c r="G126" s="776"/>
      <c r="H126" s="776"/>
      <c r="I126" s="776"/>
      <c r="J126" s="776"/>
      <c r="K126" s="776"/>
      <c r="L126" s="776"/>
      <c r="M126" s="776"/>
      <c r="N126" s="776"/>
      <c r="O126" s="776"/>
      <c r="P126" s="776"/>
      <c r="Q126" s="776"/>
      <c r="R126" s="776"/>
      <c r="S126" s="776"/>
      <c r="T126" s="776"/>
      <c r="U126" s="776"/>
      <c r="V126" s="776"/>
      <c r="W126" s="776"/>
      <c r="X126" s="776"/>
      <c r="Y126" s="776"/>
      <c r="Z126" s="776"/>
      <c r="AA126" s="776"/>
      <c r="AB126" s="776"/>
      <c r="AC126" s="776"/>
      <c r="AD126" s="776"/>
    </row>
    <row r="127" spans="1:43">
      <c r="A127" s="776"/>
      <c r="B127" s="772">
        <v>2013</v>
      </c>
      <c r="D127" s="772">
        <v>106</v>
      </c>
      <c r="E127" s="772">
        <v>10.6</v>
      </c>
      <c r="F127" s="772">
        <v>86</v>
      </c>
      <c r="G127" s="776"/>
      <c r="H127" s="776"/>
      <c r="I127" s="776"/>
      <c r="J127" s="776"/>
      <c r="K127" s="776"/>
      <c r="L127" s="776"/>
      <c r="M127" s="776"/>
      <c r="N127" s="776"/>
      <c r="O127" s="776"/>
      <c r="P127" s="776"/>
      <c r="Q127" s="776"/>
      <c r="R127" s="776"/>
      <c r="S127" s="776"/>
      <c r="T127" s="776"/>
      <c r="U127" s="776"/>
      <c r="V127" s="776"/>
      <c r="W127" s="776"/>
      <c r="X127" s="776"/>
      <c r="Y127" s="776"/>
      <c r="Z127" s="776"/>
      <c r="AA127" s="776"/>
      <c r="AB127" s="776"/>
      <c r="AC127" s="776"/>
      <c r="AD127" s="776"/>
    </row>
    <row r="128" spans="1:43">
      <c r="A128" s="776"/>
      <c r="B128" s="772">
        <v>2020</v>
      </c>
      <c r="D128" s="772">
        <v>112</v>
      </c>
      <c r="E128" s="772">
        <v>11.1</v>
      </c>
      <c r="F128" s="772">
        <v>101</v>
      </c>
      <c r="G128" s="776"/>
      <c r="H128" s="776"/>
      <c r="I128" s="776"/>
      <c r="J128" s="776"/>
      <c r="K128" s="776"/>
      <c r="L128" s="776"/>
      <c r="M128" s="776"/>
      <c r="N128" s="776"/>
      <c r="O128" s="776"/>
      <c r="P128" s="776"/>
      <c r="Q128" s="776"/>
      <c r="R128" s="776"/>
      <c r="S128" s="776"/>
      <c r="T128" s="776"/>
      <c r="U128" s="776"/>
      <c r="V128" s="776"/>
      <c r="W128" s="776"/>
      <c r="X128" s="776"/>
      <c r="Y128" s="776"/>
      <c r="Z128" s="776"/>
      <c r="AA128" s="776"/>
      <c r="AB128" s="776"/>
      <c r="AC128" s="776"/>
      <c r="AD128" s="776"/>
    </row>
    <row r="129" spans="1:30">
      <c r="A129" s="776"/>
      <c r="B129" s="772">
        <v>2030</v>
      </c>
      <c r="D129" s="772">
        <v>123</v>
      </c>
      <c r="E129" s="772">
        <v>12.1</v>
      </c>
      <c r="F129" s="772">
        <v>108</v>
      </c>
      <c r="G129" s="776"/>
      <c r="H129" s="776"/>
      <c r="I129" s="776"/>
      <c r="J129" s="776"/>
      <c r="K129" s="776"/>
      <c r="L129" s="776"/>
      <c r="M129" s="776"/>
      <c r="N129" s="776"/>
      <c r="O129" s="776"/>
      <c r="P129" s="776"/>
      <c r="Q129" s="776"/>
      <c r="R129" s="776"/>
      <c r="S129" s="776"/>
      <c r="T129" s="776"/>
      <c r="U129" s="776"/>
      <c r="V129" s="776"/>
      <c r="W129" s="776"/>
      <c r="X129" s="776"/>
      <c r="Y129" s="776"/>
      <c r="Z129" s="776"/>
      <c r="AA129" s="776"/>
      <c r="AB129" s="776"/>
      <c r="AC129" s="776"/>
      <c r="AD129" s="776"/>
    </row>
    <row r="130" spans="1:30">
      <c r="A130" s="776"/>
      <c r="B130" s="772">
        <v>2040</v>
      </c>
      <c r="D130" s="772">
        <v>132</v>
      </c>
      <c r="E130" s="772">
        <v>12.7</v>
      </c>
      <c r="F130" s="772">
        <v>112</v>
      </c>
      <c r="G130" s="778"/>
      <c r="H130" s="776"/>
      <c r="I130" s="776"/>
      <c r="J130" s="776"/>
      <c r="K130" s="776"/>
      <c r="L130" s="776"/>
      <c r="M130" s="776"/>
      <c r="N130" s="776"/>
      <c r="O130" s="776"/>
      <c r="P130" s="776" t="s">
        <v>1418</v>
      </c>
      <c r="Q130" s="776"/>
      <c r="R130" s="776"/>
      <c r="S130" s="776"/>
      <c r="T130" s="776"/>
      <c r="U130" s="776"/>
      <c r="V130" s="776"/>
      <c r="W130" s="776"/>
      <c r="X130" s="776"/>
      <c r="Y130" s="776"/>
      <c r="Z130" s="776"/>
      <c r="AA130" s="776"/>
      <c r="AB130" s="776"/>
      <c r="AC130" s="776"/>
      <c r="AD130" s="776"/>
    </row>
    <row r="131" spans="1:30">
      <c r="A131" s="776"/>
      <c r="B131" s="776"/>
      <c r="C131" s="776"/>
      <c r="D131" s="776"/>
      <c r="E131" s="776"/>
      <c r="F131" s="776"/>
      <c r="G131" s="776"/>
      <c r="H131" s="776"/>
      <c r="I131" s="776"/>
      <c r="J131" s="776"/>
      <c r="K131" s="776"/>
      <c r="L131" s="776"/>
      <c r="M131" s="776"/>
      <c r="N131" s="776"/>
      <c r="O131" s="776"/>
      <c r="P131" s="776" t="s">
        <v>1417</v>
      </c>
      <c r="Q131" s="776"/>
      <c r="R131" s="776"/>
      <c r="S131" s="776"/>
      <c r="T131" s="776"/>
      <c r="U131" s="776"/>
      <c r="V131" s="776"/>
      <c r="W131" s="776"/>
      <c r="X131" s="776"/>
      <c r="Y131" s="776"/>
      <c r="Z131" s="776"/>
      <c r="AA131" s="776"/>
      <c r="AB131" s="776"/>
      <c r="AC131" s="776"/>
      <c r="AD131" s="776"/>
    </row>
    <row r="132" spans="1:30">
      <c r="A132" s="776"/>
      <c r="B132" s="776"/>
      <c r="C132" s="776"/>
      <c r="D132" s="793">
        <v>5.84</v>
      </c>
      <c r="E132" s="792">
        <v>1.0550999999999999</v>
      </c>
      <c r="F132" s="791">
        <v>24.23</v>
      </c>
      <c r="G132" s="776"/>
      <c r="H132" s="776"/>
      <c r="I132" s="776"/>
      <c r="J132" s="776"/>
      <c r="K132" s="776"/>
      <c r="L132" s="776"/>
      <c r="M132" s="776"/>
      <c r="N132" s="776"/>
      <c r="O132" s="776"/>
      <c r="P132" s="776"/>
      <c r="Q132" s="776"/>
      <c r="R132" s="776"/>
      <c r="S132" s="776"/>
      <c r="T132" s="776"/>
      <c r="U132" s="776"/>
      <c r="V132" s="776"/>
      <c r="W132" s="776"/>
      <c r="X132" s="776"/>
      <c r="Y132" s="776"/>
      <c r="Z132" s="776"/>
      <c r="AA132" s="776"/>
      <c r="AB132" s="776"/>
      <c r="AC132" s="776"/>
      <c r="AD132" s="776"/>
    </row>
    <row r="133" spans="1:30">
      <c r="A133" s="776"/>
      <c r="B133" s="787"/>
      <c r="C133" s="776"/>
      <c r="D133" s="789" t="s">
        <v>1416</v>
      </c>
      <c r="E133" s="790" t="s">
        <v>1415</v>
      </c>
      <c r="F133" s="789" t="s">
        <v>430</v>
      </c>
      <c r="G133" s="788"/>
      <c r="H133" s="776"/>
      <c r="I133" s="776"/>
      <c r="J133" s="776"/>
      <c r="K133" s="776"/>
      <c r="L133" s="776"/>
      <c r="M133" s="776"/>
      <c r="N133" s="776"/>
      <c r="O133" s="776"/>
      <c r="P133" s="776"/>
      <c r="Q133" s="776"/>
      <c r="R133" s="776" t="s">
        <v>57</v>
      </c>
      <c r="S133" s="776"/>
      <c r="T133" s="776"/>
      <c r="U133" s="776" t="s">
        <v>1409</v>
      </c>
      <c r="V133" s="776"/>
      <c r="W133" s="776"/>
      <c r="X133" s="776" t="s">
        <v>1408</v>
      </c>
      <c r="Y133" s="776"/>
      <c r="Z133" s="776"/>
      <c r="AA133" s="776"/>
      <c r="AB133" s="776"/>
      <c r="AC133" s="776"/>
      <c r="AD133" s="776"/>
    </row>
    <row r="134" spans="1:30">
      <c r="A134" s="776"/>
      <c r="B134" s="787"/>
      <c r="C134" s="776"/>
      <c r="D134" s="776"/>
      <c r="E134" s="776"/>
      <c r="F134" s="776"/>
      <c r="G134" s="786"/>
      <c r="H134" s="776"/>
      <c r="I134" s="776"/>
      <c r="J134" s="776"/>
      <c r="K134" s="776"/>
      <c r="L134" s="776"/>
      <c r="M134" s="776"/>
      <c r="N134" s="776"/>
      <c r="O134" s="776"/>
      <c r="P134" s="776" t="s">
        <v>1414</v>
      </c>
      <c r="Q134" s="776" t="s">
        <v>1413</v>
      </c>
      <c r="R134" s="779" t="s">
        <v>1412</v>
      </c>
      <c r="S134" s="776" t="s">
        <v>1411</v>
      </c>
      <c r="T134" s="776" t="s">
        <v>1413</v>
      </c>
      <c r="U134" s="779" t="s">
        <v>1412</v>
      </c>
      <c r="V134" s="776" t="s">
        <v>1411</v>
      </c>
      <c r="W134" s="776" t="s">
        <v>1413</v>
      </c>
      <c r="X134" s="779" t="s">
        <v>1412</v>
      </c>
      <c r="Y134" s="776" t="s">
        <v>1411</v>
      </c>
      <c r="Z134" s="776"/>
      <c r="AA134" s="776"/>
      <c r="AB134" s="776"/>
      <c r="AC134" s="776"/>
      <c r="AD134" s="776"/>
    </row>
    <row r="135" spans="1:30">
      <c r="A135" s="776"/>
      <c r="B135" s="776" t="s">
        <v>1410</v>
      </c>
      <c r="C135" s="781">
        <v>1.3281000000000001</v>
      </c>
      <c r="D135" s="776">
        <v>2013</v>
      </c>
      <c r="E135" s="776"/>
      <c r="F135" s="776"/>
      <c r="G135" s="776"/>
      <c r="H135" s="776"/>
      <c r="I135" s="776"/>
      <c r="J135" s="776"/>
      <c r="K135" s="776"/>
      <c r="L135" s="776"/>
      <c r="M135" s="776"/>
      <c r="N135" s="776"/>
      <c r="O135" s="776"/>
      <c r="P135" s="776">
        <v>2015</v>
      </c>
      <c r="Q135" s="776">
        <v>18</v>
      </c>
      <c r="R135" s="779">
        <v>20.16</v>
      </c>
      <c r="S135" s="776">
        <v>21.96</v>
      </c>
      <c r="T135" s="776">
        <v>20.16</v>
      </c>
      <c r="U135" s="779">
        <v>22.32</v>
      </c>
      <c r="V135" s="776">
        <v>24.48</v>
      </c>
      <c r="W135" s="776">
        <v>27.36</v>
      </c>
      <c r="X135" s="779">
        <v>30.240000000000002</v>
      </c>
      <c r="Y135" s="776">
        <v>32.04</v>
      </c>
      <c r="Z135" s="776"/>
      <c r="AA135" s="776"/>
      <c r="AB135" s="776" t="s">
        <v>57</v>
      </c>
      <c r="AC135" s="776" t="s">
        <v>1409</v>
      </c>
      <c r="AD135" s="776" t="s">
        <v>1408</v>
      </c>
    </row>
    <row r="136" spans="1:30">
      <c r="A136" s="776"/>
      <c r="B136" s="776" t="s">
        <v>1407</v>
      </c>
      <c r="C136" s="781">
        <v>7.4579000000000004</v>
      </c>
      <c r="D136" s="776">
        <v>2013</v>
      </c>
      <c r="E136" s="776"/>
      <c r="F136" s="776"/>
      <c r="G136" s="776"/>
      <c r="H136" s="776"/>
      <c r="I136" s="776"/>
      <c r="J136" s="776"/>
      <c r="K136" s="776"/>
      <c r="L136" s="776"/>
      <c r="M136" s="776"/>
      <c r="N136" s="776"/>
      <c r="O136" s="776"/>
      <c r="P136" s="776">
        <v>2016</v>
      </c>
      <c r="Q136" s="776">
        <v>18.36</v>
      </c>
      <c r="R136" s="779">
        <v>20.16</v>
      </c>
      <c r="S136" s="776">
        <v>22.32</v>
      </c>
      <c r="T136" s="776">
        <v>20.16</v>
      </c>
      <c r="U136" s="779">
        <v>22.32</v>
      </c>
      <c r="V136" s="776">
        <v>24.840000000000003</v>
      </c>
      <c r="W136" s="776">
        <v>27.36</v>
      </c>
      <c r="X136" s="779">
        <v>30.240000000000002</v>
      </c>
      <c r="Y136" s="776">
        <v>32.04</v>
      </c>
      <c r="Z136" s="776"/>
      <c r="AA136" s="776"/>
      <c r="AB136" s="777">
        <f t="shared" ref="AB136:AB155" si="25">R136/R135-1</f>
        <v>0</v>
      </c>
      <c r="AC136" s="777">
        <f t="shared" ref="AC136:AC155" si="26">U136/U135-1</f>
        <v>0</v>
      </c>
      <c r="AD136" s="777">
        <f t="shared" ref="AD136:AD155" si="27">X136/X135-1</f>
        <v>0</v>
      </c>
    </row>
    <row r="137" spans="1:30">
      <c r="A137" s="776"/>
      <c r="B137" s="776"/>
      <c r="C137" s="781"/>
      <c r="D137" s="776"/>
      <c r="E137" s="776"/>
      <c r="F137" s="776"/>
      <c r="G137" s="776"/>
      <c r="H137" s="776"/>
      <c r="I137" s="776"/>
      <c r="J137" s="776"/>
      <c r="K137" s="776"/>
      <c r="L137" s="776"/>
      <c r="M137" s="776"/>
      <c r="N137" s="776"/>
      <c r="O137" s="776"/>
      <c r="P137" s="776">
        <v>2017</v>
      </c>
      <c r="Q137" s="776">
        <v>18.36</v>
      </c>
      <c r="R137" s="779">
        <v>20.52</v>
      </c>
      <c r="S137" s="776">
        <v>22.32</v>
      </c>
      <c r="T137" s="776">
        <v>20.52</v>
      </c>
      <c r="U137" s="779">
        <v>22.68</v>
      </c>
      <c r="V137" s="776">
        <v>24.840000000000003</v>
      </c>
      <c r="W137" s="776">
        <v>27.36</v>
      </c>
      <c r="X137" s="779">
        <v>30.240000000000002</v>
      </c>
      <c r="Y137" s="776">
        <v>32.4</v>
      </c>
      <c r="Z137" s="776"/>
      <c r="AA137" s="776"/>
      <c r="AB137" s="777">
        <f t="shared" si="25"/>
        <v>1.7857142857142794E-2</v>
      </c>
      <c r="AC137" s="777">
        <f t="shared" si="26"/>
        <v>1.6129032258064502E-2</v>
      </c>
      <c r="AD137" s="777">
        <f t="shared" si="27"/>
        <v>0</v>
      </c>
    </row>
    <row r="138" spans="1:30">
      <c r="A138" s="776"/>
      <c r="B138" s="776"/>
      <c r="C138" s="776"/>
      <c r="D138" s="776" t="s">
        <v>197</v>
      </c>
      <c r="E138" s="776" t="s">
        <v>99</v>
      </c>
      <c r="F138" s="776" t="s">
        <v>1400</v>
      </c>
      <c r="G138" s="776" t="s">
        <v>49</v>
      </c>
      <c r="H138" s="776"/>
      <c r="I138" s="776"/>
      <c r="J138" s="776"/>
      <c r="K138" s="776"/>
      <c r="L138" s="776"/>
      <c r="M138" s="776"/>
      <c r="N138" s="776"/>
      <c r="O138" s="776"/>
      <c r="P138" s="776">
        <v>2018</v>
      </c>
      <c r="Q138" s="776">
        <v>18.36</v>
      </c>
      <c r="R138" s="779">
        <v>20.52</v>
      </c>
      <c r="S138" s="776">
        <v>22.68</v>
      </c>
      <c r="T138" s="776">
        <v>20.52</v>
      </c>
      <c r="U138" s="779">
        <v>23.040000000000003</v>
      </c>
      <c r="V138" s="776">
        <v>25.2</v>
      </c>
      <c r="W138" s="776">
        <v>27.36</v>
      </c>
      <c r="X138" s="779">
        <v>30.6</v>
      </c>
      <c r="Y138" s="776">
        <v>32.4</v>
      </c>
      <c r="Z138" s="776"/>
      <c r="AA138" s="776"/>
      <c r="AB138" s="777">
        <f t="shared" si="25"/>
        <v>0</v>
      </c>
      <c r="AC138" s="777">
        <f t="shared" si="26"/>
        <v>1.5873015873016039E-2</v>
      </c>
      <c r="AD138" s="777">
        <f t="shared" si="27"/>
        <v>1.1904761904761862E-2</v>
      </c>
    </row>
    <row r="139" spans="1:30">
      <c r="A139" s="776"/>
      <c r="B139" s="776"/>
      <c r="C139" s="776" t="s">
        <v>1406</v>
      </c>
      <c r="D139" s="776">
        <v>4.3</v>
      </c>
      <c r="E139" s="776">
        <v>4.3</v>
      </c>
      <c r="F139" s="776">
        <v>-3.3</v>
      </c>
      <c r="G139" s="776">
        <v>-0.3</v>
      </c>
      <c r="H139" s="776" t="s">
        <v>379</v>
      </c>
      <c r="I139" s="776"/>
      <c r="J139" s="776"/>
      <c r="K139" s="776"/>
      <c r="L139" s="776"/>
      <c r="M139" s="776"/>
      <c r="N139" s="776"/>
      <c r="O139" s="776"/>
      <c r="P139" s="776">
        <v>2019</v>
      </c>
      <c r="Q139" s="776">
        <v>18.36</v>
      </c>
      <c r="R139" s="779">
        <v>20.88</v>
      </c>
      <c r="S139" s="776">
        <v>22.68</v>
      </c>
      <c r="T139" s="776">
        <v>20.52</v>
      </c>
      <c r="U139" s="779">
        <v>23.040000000000003</v>
      </c>
      <c r="V139" s="776">
        <v>25.2</v>
      </c>
      <c r="W139" s="776">
        <v>27.36</v>
      </c>
      <c r="X139" s="779">
        <v>30.6</v>
      </c>
      <c r="Y139" s="776">
        <v>32.4</v>
      </c>
      <c r="Z139" s="776"/>
      <c r="AA139" s="776"/>
      <c r="AB139" s="777">
        <f t="shared" si="25"/>
        <v>1.7543859649122862E-2</v>
      </c>
      <c r="AC139" s="777">
        <f t="shared" si="26"/>
        <v>0</v>
      </c>
      <c r="AD139" s="777">
        <f t="shared" si="27"/>
        <v>0</v>
      </c>
    </row>
    <row r="140" spans="1:30">
      <c r="A140" s="776"/>
      <c r="B140" s="776"/>
      <c r="C140" s="776" t="s">
        <v>994</v>
      </c>
      <c r="D140" s="776">
        <v>2.1</v>
      </c>
      <c r="E140" s="776">
        <v>2.1</v>
      </c>
      <c r="F140" s="776">
        <f>1.5-0.6</f>
        <v>0.9</v>
      </c>
      <c r="G140" s="776">
        <v>0.3</v>
      </c>
      <c r="H140" s="776" t="s">
        <v>379</v>
      </c>
      <c r="I140" s="776"/>
      <c r="J140" s="776"/>
      <c r="K140" s="776"/>
      <c r="L140" s="776"/>
      <c r="M140" s="776"/>
      <c r="N140" s="776"/>
      <c r="O140" s="776"/>
      <c r="P140" s="776">
        <v>2020</v>
      </c>
      <c r="Q140" s="776">
        <v>18.720000000000002</v>
      </c>
      <c r="R140" s="779">
        <v>20.88</v>
      </c>
      <c r="S140" s="776">
        <v>23.040000000000003</v>
      </c>
      <c r="T140" s="776">
        <v>20.52</v>
      </c>
      <c r="U140" s="779">
        <v>23.400000000000002</v>
      </c>
      <c r="V140" s="776">
        <v>25.56</v>
      </c>
      <c r="W140" s="776">
        <v>27.720000000000002</v>
      </c>
      <c r="X140" s="779">
        <v>30.6</v>
      </c>
      <c r="Y140" s="776">
        <v>32.4</v>
      </c>
      <c r="Z140" s="776"/>
      <c r="AA140" s="776"/>
      <c r="AB140" s="777">
        <f t="shared" si="25"/>
        <v>0</v>
      </c>
      <c r="AC140" s="777">
        <f t="shared" si="26"/>
        <v>1.5625E-2</v>
      </c>
      <c r="AD140" s="777">
        <f t="shared" si="27"/>
        <v>0</v>
      </c>
    </row>
    <row r="141" spans="1:30">
      <c r="A141" s="776"/>
      <c r="B141" s="776"/>
      <c r="C141" s="776" t="s">
        <v>1405</v>
      </c>
      <c r="D141" s="772">
        <f>7.9+4.1+4.6</f>
        <v>16.600000000000001</v>
      </c>
      <c r="E141" s="776">
        <f>7.9+4.1-23.7</f>
        <v>-11.7</v>
      </c>
      <c r="G141" s="776"/>
      <c r="H141" s="776" t="s">
        <v>379</v>
      </c>
      <c r="I141" s="776"/>
      <c r="J141" s="776"/>
      <c r="K141" s="776"/>
      <c r="L141" s="776"/>
      <c r="M141" s="776"/>
      <c r="N141" s="776"/>
      <c r="O141" s="776"/>
      <c r="P141" s="776">
        <v>2021</v>
      </c>
      <c r="Q141" s="776">
        <v>18.720000000000002</v>
      </c>
      <c r="R141" s="779">
        <v>21.240000000000002</v>
      </c>
      <c r="S141" s="776">
        <v>23.040000000000003</v>
      </c>
      <c r="T141" s="776">
        <v>20.88</v>
      </c>
      <c r="U141" s="779">
        <v>23.759999999999998</v>
      </c>
      <c r="V141" s="776">
        <v>25.92</v>
      </c>
      <c r="W141" s="776">
        <v>27.720000000000002</v>
      </c>
      <c r="X141" s="779">
        <v>30.96</v>
      </c>
      <c r="Y141" s="776">
        <v>32.76</v>
      </c>
      <c r="Z141" s="776"/>
      <c r="AA141" s="776"/>
      <c r="AB141" s="777">
        <f t="shared" si="25"/>
        <v>1.7241379310344973E-2</v>
      </c>
      <c r="AC141" s="777">
        <f t="shared" si="26"/>
        <v>1.5384615384615108E-2</v>
      </c>
      <c r="AD141" s="777">
        <f t="shared" si="27"/>
        <v>1.1764705882352899E-2</v>
      </c>
    </row>
    <row r="142" spans="1:30">
      <c r="A142" s="776"/>
      <c r="B142" s="776"/>
      <c r="C142" s="785" t="s">
        <v>1404</v>
      </c>
      <c r="D142" s="785">
        <f>SUM(D139:D141)</f>
        <v>23</v>
      </c>
      <c r="E142" s="785">
        <f>SUM(E139:E141)</f>
        <v>-5.2999999999999989</v>
      </c>
      <c r="F142" s="785">
        <f>SUM(F139:F141)</f>
        <v>-2.4</v>
      </c>
      <c r="G142" s="785">
        <f>SUM(G139:G141)</f>
        <v>0</v>
      </c>
      <c r="H142" s="776" t="s">
        <v>379</v>
      </c>
      <c r="I142" s="776"/>
      <c r="J142" s="776"/>
      <c r="K142" s="776"/>
      <c r="L142" s="776"/>
      <c r="M142" s="776"/>
      <c r="N142" s="776"/>
      <c r="O142" s="776"/>
      <c r="P142" s="776">
        <v>2022</v>
      </c>
      <c r="Q142" s="776">
        <v>18.720000000000002</v>
      </c>
      <c r="R142" s="779">
        <v>21.6</v>
      </c>
      <c r="S142" s="776">
        <v>23.400000000000002</v>
      </c>
      <c r="T142" s="776">
        <v>20.88</v>
      </c>
      <c r="U142" s="779">
        <v>23.759999999999998</v>
      </c>
      <c r="V142" s="776">
        <v>25.92</v>
      </c>
      <c r="W142" s="776">
        <v>27.720000000000002</v>
      </c>
      <c r="X142" s="779">
        <v>30.96</v>
      </c>
      <c r="Y142" s="776">
        <v>32.76</v>
      </c>
      <c r="Z142" s="776"/>
      <c r="AA142" s="776"/>
      <c r="AB142" s="777">
        <f t="shared" si="25"/>
        <v>1.6949152542372836E-2</v>
      </c>
      <c r="AC142" s="777">
        <f t="shared" si="26"/>
        <v>0</v>
      </c>
      <c r="AD142" s="777">
        <f t="shared" si="27"/>
        <v>0</v>
      </c>
    </row>
    <row r="143" spans="1:30">
      <c r="A143" s="776"/>
      <c r="B143" s="776"/>
      <c r="C143" s="784" t="s">
        <v>1403</v>
      </c>
      <c r="D143" s="776">
        <f>D142-D139</f>
        <v>18.7</v>
      </c>
      <c r="E143" s="776">
        <f>E142-E139</f>
        <v>-9.5999999999999979</v>
      </c>
      <c r="F143" s="776">
        <f>F142-F139</f>
        <v>0.89999999999999991</v>
      </c>
      <c r="G143" s="776">
        <f>G142-G139</f>
        <v>0.3</v>
      </c>
      <c r="H143" s="776" t="s">
        <v>379</v>
      </c>
      <c r="I143" s="776"/>
      <c r="J143" s="776"/>
      <c r="K143" s="776"/>
      <c r="L143" s="776"/>
      <c r="M143" s="776"/>
      <c r="N143" s="776"/>
      <c r="O143" s="776"/>
      <c r="P143" s="776">
        <v>2023</v>
      </c>
      <c r="Q143" s="776">
        <v>18.720000000000002</v>
      </c>
      <c r="R143" s="779">
        <v>21.6</v>
      </c>
      <c r="S143" s="776">
        <v>23.759999999999998</v>
      </c>
      <c r="T143" s="776">
        <v>20.88</v>
      </c>
      <c r="U143" s="779">
        <v>24.12</v>
      </c>
      <c r="V143" s="776">
        <v>26.28</v>
      </c>
      <c r="W143" s="776">
        <v>27.720000000000002</v>
      </c>
      <c r="X143" s="779">
        <v>30.96</v>
      </c>
      <c r="Y143" s="776">
        <v>33.119999999999997</v>
      </c>
      <c r="Z143" s="776"/>
      <c r="AA143" s="776"/>
      <c r="AB143" s="777">
        <f t="shared" si="25"/>
        <v>0</v>
      </c>
      <c r="AC143" s="777">
        <f t="shared" si="26"/>
        <v>1.515151515151536E-2</v>
      </c>
      <c r="AD143" s="777">
        <f t="shared" si="27"/>
        <v>0</v>
      </c>
    </row>
    <row r="144" spans="1:30">
      <c r="A144" s="776"/>
      <c r="B144" s="776"/>
      <c r="C144" s="782" t="s">
        <v>1403</v>
      </c>
      <c r="D144" s="783">
        <f>D143/$C$136*3.6</f>
        <v>9.026669705949395</v>
      </c>
      <c r="E144" s="783">
        <f>E143/$C$136*3.6</f>
        <v>-4.6340122554606511</v>
      </c>
      <c r="F144" s="783">
        <f>F143/$C$136*3.6</f>
        <v>0.43443864894943612</v>
      </c>
      <c r="G144" s="783">
        <f>G143/$C$136*3.6</f>
        <v>0.14481288298314537</v>
      </c>
      <c r="H144" s="782" t="s">
        <v>1402</v>
      </c>
      <c r="I144" s="776"/>
      <c r="J144" s="776"/>
      <c r="K144" s="776"/>
      <c r="L144" s="776"/>
      <c r="M144" s="776"/>
      <c r="N144" s="776"/>
      <c r="O144" s="776"/>
      <c r="P144" s="776">
        <v>2024</v>
      </c>
      <c r="Q144" s="776">
        <v>18.720000000000002</v>
      </c>
      <c r="R144" s="779">
        <v>21.96</v>
      </c>
      <c r="S144" s="776">
        <v>24.12</v>
      </c>
      <c r="T144" s="776">
        <v>20.88</v>
      </c>
      <c r="U144" s="779">
        <v>24.12</v>
      </c>
      <c r="V144" s="776">
        <v>26.64</v>
      </c>
      <c r="W144" s="776">
        <v>27.720000000000002</v>
      </c>
      <c r="X144" s="779">
        <v>31.319999999999997</v>
      </c>
      <c r="Y144" s="776">
        <v>33.119999999999997</v>
      </c>
      <c r="Z144" s="776"/>
      <c r="AA144" s="776"/>
      <c r="AB144" s="777">
        <f t="shared" si="25"/>
        <v>1.6666666666666607E-2</v>
      </c>
      <c r="AC144" s="777">
        <f t="shared" si="26"/>
        <v>0</v>
      </c>
      <c r="AD144" s="777">
        <f t="shared" si="27"/>
        <v>1.1627906976743985E-2</v>
      </c>
    </row>
    <row r="145" spans="1:30">
      <c r="A145" s="776"/>
      <c r="B145" s="776"/>
      <c r="C145" s="781"/>
      <c r="D145" s="776"/>
      <c r="E145" s="776"/>
      <c r="F145" s="776"/>
      <c r="G145" s="776"/>
      <c r="H145" s="776"/>
      <c r="I145" s="776"/>
      <c r="J145" s="776"/>
      <c r="K145" s="776"/>
      <c r="L145" s="776"/>
      <c r="M145" s="776"/>
      <c r="N145" s="776"/>
      <c r="O145" s="776"/>
      <c r="P145" s="776">
        <v>2025</v>
      </c>
      <c r="Q145" s="776">
        <v>19.079999999999998</v>
      </c>
      <c r="R145" s="779">
        <v>21.96</v>
      </c>
      <c r="S145" s="776">
        <v>24.48</v>
      </c>
      <c r="T145" s="776">
        <v>21.240000000000002</v>
      </c>
      <c r="U145" s="779">
        <v>24.48</v>
      </c>
      <c r="V145" s="776">
        <v>27</v>
      </c>
      <c r="W145" s="776">
        <v>27.720000000000002</v>
      </c>
      <c r="X145" s="779">
        <v>31.319999999999997</v>
      </c>
      <c r="Y145" s="776">
        <v>33.119999999999997</v>
      </c>
      <c r="Z145" s="776"/>
      <c r="AA145" s="776"/>
      <c r="AB145" s="777">
        <f t="shared" si="25"/>
        <v>0</v>
      </c>
      <c r="AC145" s="777">
        <f t="shared" si="26"/>
        <v>1.4925373134328401E-2</v>
      </c>
      <c r="AD145" s="777">
        <f t="shared" si="27"/>
        <v>0</v>
      </c>
    </row>
    <row r="146" spans="1:30">
      <c r="A146" s="776"/>
      <c r="B146" s="776"/>
      <c r="C146" s="781"/>
      <c r="D146" s="776"/>
      <c r="E146" s="776"/>
      <c r="F146" s="776"/>
      <c r="G146" s="776"/>
      <c r="H146" s="776"/>
      <c r="I146" s="776"/>
      <c r="J146" s="776"/>
      <c r="K146" s="776"/>
      <c r="L146" s="776"/>
      <c r="M146" s="776"/>
      <c r="N146" s="776"/>
      <c r="O146" s="776"/>
      <c r="P146" s="776">
        <v>2026</v>
      </c>
      <c r="Q146" s="776">
        <v>19.079999999999998</v>
      </c>
      <c r="R146" s="779">
        <v>22.32</v>
      </c>
      <c r="S146" s="776">
        <v>24.840000000000003</v>
      </c>
      <c r="T146" s="776">
        <v>21.240000000000002</v>
      </c>
      <c r="U146" s="779">
        <v>24.840000000000003</v>
      </c>
      <c r="V146" s="776">
        <v>27.36</v>
      </c>
      <c r="W146" s="776">
        <v>27.720000000000002</v>
      </c>
      <c r="X146" s="779">
        <v>31.319999999999997</v>
      </c>
      <c r="Y146" s="776">
        <v>33.480000000000004</v>
      </c>
      <c r="Z146" s="776"/>
      <c r="AA146" s="776"/>
      <c r="AB146" s="777">
        <f t="shared" si="25"/>
        <v>1.6393442622950838E-2</v>
      </c>
      <c r="AC146" s="777">
        <f t="shared" si="26"/>
        <v>1.4705882352941346E-2</v>
      </c>
      <c r="AD146" s="777">
        <f t="shared" si="27"/>
        <v>0</v>
      </c>
    </row>
    <row r="147" spans="1:30">
      <c r="A147" s="776"/>
      <c r="B147" s="776"/>
      <c r="C147" s="781"/>
      <c r="D147" s="776"/>
      <c r="E147" s="776"/>
      <c r="F147" s="776"/>
      <c r="G147" s="776"/>
      <c r="H147" s="776"/>
      <c r="I147" s="776"/>
      <c r="J147" s="776"/>
      <c r="K147" s="776"/>
      <c r="L147" s="776"/>
      <c r="M147" s="776"/>
      <c r="N147" s="776"/>
      <c r="O147" s="776"/>
      <c r="P147" s="776">
        <v>2027</v>
      </c>
      <c r="Q147" s="776">
        <v>19.079999999999998</v>
      </c>
      <c r="R147" s="779">
        <v>22.32</v>
      </c>
      <c r="S147" s="776">
        <v>25.2</v>
      </c>
      <c r="T147" s="776">
        <v>21.240000000000002</v>
      </c>
      <c r="U147" s="779">
        <v>24.840000000000003</v>
      </c>
      <c r="V147" s="776">
        <v>27.720000000000002</v>
      </c>
      <c r="W147" s="776">
        <v>27.720000000000002</v>
      </c>
      <c r="X147" s="779">
        <v>31.680000000000003</v>
      </c>
      <c r="Y147" s="776">
        <v>33.840000000000003</v>
      </c>
      <c r="Z147" s="776"/>
      <c r="AA147" s="776"/>
      <c r="AB147" s="777">
        <f t="shared" si="25"/>
        <v>0</v>
      </c>
      <c r="AC147" s="777">
        <f t="shared" si="26"/>
        <v>0</v>
      </c>
      <c r="AD147" s="777">
        <f t="shared" si="27"/>
        <v>1.1494252873563537E-2</v>
      </c>
    </row>
    <row r="148" spans="1:30">
      <c r="A148" s="776"/>
      <c r="B148" s="776"/>
      <c r="C148" s="781"/>
      <c r="D148" s="776"/>
      <c r="E148" s="776"/>
      <c r="F148" s="776"/>
      <c r="G148" s="776"/>
      <c r="H148" s="776"/>
      <c r="I148" s="776"/>
      <c r="J148" s="776"/>
      <c r="K148" s="776"/>
      <c r="L148" s="776"/>
      <c r="M148" s="776"/>
      <c r="N148" s="776"/>
      <c r="O148" s="776"/>
      <c r="P148" s="776">
        <v>2028</v>
      </c>
      <c r="Q148" s="776">
        <v>19.079999999999998</v>
      </c>
      <c r="R148" s="779">
        <v>22.68</v>
      </c>
      <c r="S148" s="776">
        <v>25.56</v>
      </c>
      <c r="T148" s="776">
        <v>21.240000000000002</v>
      </c>
      <c r="U148" s="779">
        <v>25.2</v>
      </c>
      <c r="V148" s="776">
        <v>28.08</v>
      </c>
      <c r="W148" s="776">
        <v>27.720000000000002</v>
      </c>
      <c r="X148" s="779">
        <v>31.680000000000003</v>
      </c>
      <c r="Y148" s="776">
        <v>33.840000000000003</v>
      </c>
      <c r="Z148" s="776"/>
      <c r="AA148" s="776"/>
      <c r="AB148" s="777">
        <f t="shared" si="25"/>
        <v>1.6129032258064502E-2</v>
      </c>
      <c r="AC148" s="777">
        <f t="shared" si="26"/>
        <v>1.4492753623188248E-2</v>
      </c>
      <c r="AD148" s="777">
        <f t="shared" si="27"/>
        <v>0</v>
      </c>
    </row>
    <row r="149" spans="1:30">
      <c r="A149" s="776"/>
      <c r="B149" s="776"/>
      <c r="C149" s="776" t="s">
        <v>1401</v>
      </c>
      <c r="D149" s="776" t="s">
        <v>197</v>
      </c>
      <c r="E149" s="776" t="s">
        <v>99</v>
      </c>
      <c r="F149" s="776" t="s">
        <v>1400</v>
      </c>
      <c r="G149" s="776" t="s">
        <v>49</v>
      </c>
      <c r="H149" s="776"/>
      <c r="I149" s="776"/>
      <c r="J149" s="776"/>
      <c r="K149" s="776"/>
      <c r="L149" s="776"/>
      <c r="M149" s="776"/>
      <c r="N149" s="776"/>
      <c r="O149" s="776"/>
      <c r="P149" s="776">
        <v>2029</v>
      </c>
      <c r="Q149" s="776">
        <v>19.079999999999998</v>
      </c>
      <c r="R149" s="779">
        <v>23.040000000000003</v>
      </c>
      <c r="S149" s="776">
        <v>25.56</v>
      </c>
      <c r="T149" s="776">
        <v>21.240000000000002</v>
      </c>
      <c r="U149" s="779">
        <v>25.56</v>
      </c>
      <c r="V149" s="776">
        <v>28.44</v>
      </c>
      <c r="W149" s="776">
        <v>27.720000000000002</v>
      </c>
      <c r="X149" s="779">
        <v>32.04</v>
      </c>
      <c r="Y149" s="776">
        <v>34.200000000000003</v>
      </c>
      <c r="Z149" s="776"/>
      <c r="AA149" s="776"/>
      <c r="AB149" s="777">
        <f t="shared" si="25"/>
        <v>1.5873015873016039E-2</v>
      </c>
      <c r="AC149" s="777">
        <f t="shared" si="26"/>
        <v>1.4285714285714235E-2</v>
      </c>
      <c r="AD149" s="777">
        <f t="shared" si="27"/>
        <v>1.1363636363636243E-2</v>
      </c>
    </row>
    <row r="150" spans="1:30">
      <c r="A150" s="776"/>
      <c r="B150" s="776"/>
      <c r="C150" s="772">
        <v>2013</v>
      </c>
      <c r="D150" s="778">
        <f>D127/$D$132/$C$135*3.6+D$144</f>
        <v>58.226628860700288</v>
      </c>
      <c r="E150" s="778">
        <f>D127/$D$132/$C$135*3.6+E$144</f>
        <v>44.565946899290239</v>
      </c>
      <c r="F150" s="778">
        <f>E127/$E$132/$C$135*3.6+F$144</f>
        <v>27.666716296920736</v>
      </c>
      <c r="G150" s="778">
        <f>F127/$F$132/$C$135*3.6+G$144</f>
        <v>9.7657363779029343</v>
      </c>
      <c r="H150" s="776"/>
      <c r="I150" s="776"/>
      <c r="J150" s="776"/>
      <c r="K150" s="776"/>
      <c r="L150" s="776"/>
      <c r="M150" s="776"/>
      <c r="N150" s="776"/>
      <c r="O150" s="776"/>
      <c r="P150" s="776">
        <v>2030</v>
      </c>
      <c r="Q150" s="776">
        <v>19.079999999999998</v>
      </c>
      <c r="R150" s="779">
        <v>23.040000000000003</v>
      </c>
      <c r="S150" s="776">
        <v>25.92</v>
      </c>
      <c r="T150" s="776">
        <v>21.240000000000002</v>
      </c>
      <c r="U150" s="779">
        <v>25.56</v>
      </c>
      <c r="V150" s="776">
        <v>28.8</v>
      </c>
      <c r="W150" s="776">
        <v>27.720000000000002</v>
      </c>
      <c r="X150" s="779">
        <v>32.04</v>
      </c>
      <c r="Y150" s="776">
        <v>34.200000000000003</v>
      </c>
      <c r="Z150" s="776"/>
      <c r="AA150" s="776"/>
      <c r="AB150" s="777">
        <f t="shared" si="25"/>
        <v>0</v>
      </c>
      <c r="AC150" s="777">
        <f t="shared" si="26"/>
        <v>0</v>
      </c>
      <c r="AD150" s="777">
        <f t="shared" si="27"/>
        <v>0</v>
      </c>
    </row>
    <row r="151" spans="1:30">
      <c r="A151" s="776"/>
      <c r="B151" s="776"/>
      <c r="C151" s="772">
        <v>2020</v>
      </c>
      <c r="D151" s="778">
        <f>D128/$D$132/$C$135*3.6+D$144</f>
        <v>61.011532209082418</v>
      </c>
      <c r="E151" s="778">
        <f>D128/$D$132/$C$135*3.6+E$144</f>
        <v>47.350850247672369</v>
      </c>
      <c r="F151" s="778">
        <f>E128/$E$132/$C$135*3.6+F$144</f>
        <v>28.951257695409954</v>
      </c>
      <c r="G151" s="778">
        <f>F128/$F$132/$C$135*3.6+G$144</f>
        <v>11.443804429342432</v>
      </c>
      <c r="H151" s="776"/>
      <c r="I151" s="776"/>
      <c r="J151" s="776"/>
      <c r="K151" s="776"/>
      <c r="L151" s="776"/>
      <c r="M151" s="776"/>
      <c r="N151" s="776"/>
      <c r="O151" s="776"/>
      <c r="P151" s="776">
        <v>2031</v>
      </c>
      <c r="Q151" s="776">
        <v>19.079999999999998</v>
      </c>
      <c r="R151" s="779">
        <v>23.400000000000002</v>
      </c>
      <c r="S151" s="776">
        <v>26.28</v>
      </c>
      <c r="T151" s="776">
        <v>21.240000000000002</v>
      </c>
      <c r="U151" s="779">
        <v>25.92</v>
      </c>
      <c r="V151" s="776">
        <v>29.16</v>
      </c>
      <c r="W151" s="776">
        <v>27.720000000000002</v>
      </c>
      <c r="X151" s="779">
        <v>32.04</v>
      </c>
      <c r="Y151" s="776">
        <v>34.56</v>
      </c>
      <c r="Z151" s="776"/>
      <c r="AA151" s="776"/>
      <c r="AB151" s="777">
        <f t="shared" si="25"/>
        <v>1.5625E-2</v>
      </c>
      <c r="AC151" s="777">
        <f t="shared" si="26"/>
        <v>1.4084507042253724E-2</v>
      </c>
      <c r="AD151" s="777">
        <f t="shared" si="27"/>
        <v>0</v>
      </c>
    </row>
    <row r="152" spans="1:30">
      <c r="A152" s="776"/>
      <c r="B152" s="776"/>
      <c r="C152" s="772">
        <v>2030</v>
      </c>
      <c r="D152" s="778">
        <f>D129/$D$132/$C$135*3.6+D$144</f>
        <v>66.117188347782985</v>
      </c>
      <c r="E152" s="778">
        <f>D129/$D$132/$C$135*3.6+E$144</f>
        <v>52.456506386372936</v>
      </c>
      <c r="F152" s="778">
        <f>E129/$E$132/$C$135*3.6+F$144</f>
        <v>31.520340492388375</v>
      </c>
      <c r="G152" s="778">
        <f>F129/$F$132/$C$135*3.6+G$144</f>
        <v>12.22690285334753</v>
      </c>
      <c r="H152" s="776"/>
      <c r="I152" s="776"/>
      <c r="J152" s="776"/>
      <c r="K152" s="776"/>
      <c r="L152" s="776"/>
      <c r="M152" s="776"/>
      <c r="N152" s="776"/>
      <c r="O152" s="776"/>
      <c r="P152" s="776">
        <v>2032</v>
      </c>
      <c r="Q152" s="776">
        <v>19.079999999999998</v>
      </c>
      <c r="R152" s="779">
        <v>23.400000000000002</v>
      </c>
      <c r="S152" s="776">
        <v>26.64</v>
      </c>
      <c r="T152" s="776">
        <v>21.240000000000002</v>
      </c>
      <c r="U152" s="779">
        <v>25.92</v>
      </c>
      <c r="V152" s="776">
        <v>29.52</v>
      </c>
      <c r="W152" s="776">
        <v>27.720000000000002</v>
      </c>
      <c r="X152" s="779">
        <v>32.4</v>
      </c>
      <c r="Y152" s="776">
        <v>34.92</v>
      </c>
      <c r="Z152" s="776"/>
      <c r="AA152" s="776"/>
      <c r="AB152" s="777">
        <f t="shared" si="25"/>
        <v>0</v>
      </c>
      <c r="AC152" s="777">
        <f t="shared" si="26"/>
        <v>0</v>
      </c>
      <c r="AD152" s="777">
        <f t="shared" si="27"/>
        <v>1.1235955056179803E-2</v>
      </c>
    </row>
    <row r="153" spans="1:30">
      <c r="A153" s="776"/>
      <c r="B153" s="776"/>
      <c r="C153" s="772">
        <v>2040</v>
      </c>
      <c r="D153" s="778">
        <f>D130/$D$132/$C$135*3.6+D$144</f>
        <v>70.294543370356166</v>
      </c>
      <c r="E153" s="778">
        <f>D130/$D$132/$C$135*3.6+E$144</f>
        <v>56.633861408946117</v>
      </c>
      <c r="F153" s="778">
        <f>E130/$E$132/$C$135*3.6+F$144</f>
        <v>33.061790170575428</v>
      </c>
      <c r="G153" s="778">
        <f>F130/$F$132/$C$135*3.6+G$144</f>
        <v>12.674387667064732</v>
      </c>
      <c r="H153" s="776"/>
      <c r="I153" s="776"/>
      <c r="J153" s="776"/>
      <c r="K153" s="776"/>
      <c r="L153" s="776"/>
      <c r="M153" s="776"/>
      <c r="N153" s="776"/>
      <c r="O153" s="776"/>
      <c r="P153" s="776">
        <v>2033</v>
      </c>
      <c r="Q153" s="776">
        <v>19.079999999999998</v>
      </c>
      <c r="R153" s="779">
        <v>23.759999999999998</v>
      </c>
      <c r="S153" s="776">
        <v>27</v>
      </c>
      <c r="T153" s="776">
        <v>21.240000000000002</v>
      </c>
      <c r="U153" s="779">
        <v>26.28</v>
      </c>
      <c r="V153" s="776">
        <v>29.880000000000003</v>
      </c>
      <c r="W153" s="776">
        <v>27.720000000000002</v>
      </c>
      <c r="X153" s="779">
        <v>32.4</v>
      </c>
      <c r="Y153" s="776">
        <v>34.92</v>
      </c>
      <c r="Z153" s="776"/>
      <c r="AA153" s="776"/>
      <c r="AB153" s="777">
        <f t="shared" si="25"/>
        <v>1.5384615384615108E-2</v>
      </c>
      <c r="AC153" s="777">
        <f t="shared" si="26"/>
        <v>1.388888888888884E-2</v>
      </c>
      <c r="AD153" s="777">
        <f t="shared" si="27"/>
        <v>0</v>
      </c>
    </row>
    <row r="154" spans="1:30">
      <c r="A154" s="776"/>
      <c r="B154" s="776"/>
      <c r="C154" s="776"/>
      <c r="D154" s="776"/>
      <c r="E154" s="776"/>
      <c r="F154" s="776"/>
      <c r="G154" s="776"/>
      <c r="H154" s="776"/>
      <c r="I154" s="776"/>
      <c r="J154" s="776"/>
      <c r="K154" s="776"/>
      <c r="L154" s="776"/>
      <c r="M154" s="776"/>
      <c r="N154" s="776"/>
      <c r="O154" s="776"/>
      <c r="P154" s="776">
        <v>2034</v>
      </c>
      <c r="Q154" s="776">
        <v>19.079999999999998</v>
      </c>
      <c r="R154" s="779">
        <v>23.759999999999998</v>
      </c>
      <c r="S154" s="776">
        <v>27.36</v>
      </c>
      <c r="T154" s="776">
        <v>21.240000000000002</v>
      </c>
      <c r="U154" s="779">
        <v>26.28</v>
      </c>
      <c r="V154" s="776">
        <v>30.240000000000002</v>
      </c>
      <c r="W154" s="776">
        <v>27.720000000000002</v>
      </c>
      <c r="X154" s="779">
        <v>32.4</v>
      </c>
      <c r="Y154" s="776">
        <v>35.28</v>
      </c>
      <c r="Z154" s="776"/>
      <c r="AA154" s="776"/>
      <c r="AB154" s="777">
        <f t="shared" si="25"/>
        <v>0</v>
      </c>
      <c r="AC154" s="777">
        <f t="shared" si="26"/>
        <v>0</v>
      </c>
      <c r="AD154" s="777">
        <f t="shared" si="27"/>
        <v>0</v>
      </c>
    </row>
    <row r="155" spans="1:30">
      <c r="A155" s="776"/>
      <c r="B155" s="776"/>
      <c r="C155" s="776"/>
      <c r="D155" s="776" t="s">
        <v>197</v>
      </c>
      <c r="E155" s="776" t="s">
        <v>99</v>
      </c>
      <c r="F155" s="776" t="s">
        <v>1400</v>
      </c>
      <c r="G155" s="776" t="s">
        <v>49</v>
      </c>
      <c r="H155" s="776"/>
      <c r="I155" s="776"/>
      <c r="J155" s="776"/>
      <c r="K155" s="776"/>
      <c r="L155" s="776"/>
      <c r="M155" s="776"/>
      <c r="N155" s="776"/>
      <c r="O155" s="776"/>
      <c r="P155" s="776">
        <v>2035</v>
      </c>
      <c r="Q155" s="776">
        <v>19.079999999999998</v>
      </c>
      <c r="R155" s="779">
        <v>24.12</v>
      </c>
      <c r="S155" s="776">
        <v>27.720000000000002</v>
      </c>
      <c r="T155" s="776">
        <v>21.240000000000002</v>
      </c>
      <c r="U155" s="779">
        <v>26.64</v>
      </c>
      <c r="V155" s="776">
        <v>30.6</v>
      </c>
      <c r="W155" s="776">
        <v>27.720000000000002</v>
      </c>
      <c r="X155" s="779">
        <v>32.76</v>
      </c>
      <c r="Y155" s="776">
        <v>35.64</v>
      </c>
      <c r="Z155" s="776"/>
      <c r="AA155" s="776"/>
      <c r="AB155" s="777">
        <f t="shared" si="25"/>
        <v>1.515151515151536E-2</v>
      </c>
      <c r="AC155" s="777">
        <f t="shared" si="26"/>
        <v>1.3698630136986356E-2</v>
      </c>
      <c r="AD155" s="777">
        <f t="shared" si="27"/>
        <v>1.1111111111111072E-2</v>
      </c>
    </row>
    <row r="156" spans="1:30">
      <c r="A156" s="776"/>
      <c r="B156" s="776"/>
      <c r="C156" s="772">
        <v>2013</v>
      </c>
      <c r="D156" s="778">
        <f>D150</f>
        <v>58.226628860700288</v>
      </c>
      <c r="E156" s="778">
        <f>E150</f>
        <v>44.565946899290239</v>
      </c>
      <c r="F156" s="778">
        <f>F150</f>
        <v>27.666716296920736</v>
      </c>
      <c r="G156" s="778">
        <f>G150</f>
        <v>9.7657363779029343</v>
      </c>
      <c r="H156" s="776"/>
      <c r="I156" s="776"/>
      <c r="J156" s="776"/>
      <c r="K156" s="776"/>
      <c r="L156" s="776"/>
      <c r="M156" s="776"/>
      <c r="N156" s="776"/>
      <c r="O156" s="776"/>
      <c r="P156" s="776">
        <v>2040</v>
      </c>
      <c r="Q156" s="776">
        <v>19.079999999999998</v>
      </c>
      <c r="R156" s="779">
        <v>24.840000000000003</v>
      </c>
      <c r="S156" s="776">
        <v>29.52</v>
      </c>
      <c r="T156" s="776">
        <v>21.240000000000002</v>
      </c>
      <c r="U156" s="779">
        <v>27.36</v>
      </c>
      <c r="V156" s="776">
        <v>32.76</v>
      </c>
      <c r="W156" s="776">
        <v>27.720000000000002</v>
      </c>
      <c r="X156" s="779">
        <v>33.119999999999997</v>
      </c>
      <c r="Y156" s="776">
        <v>36.72</v>
      </c>
      <c r="Z156" s="776"/>
      <c r="AA156" s="776"/>
      <c r="AB156" s="776"/>
      <c r="AC156" s="776"/>
      <c r="AD156" s="776"/>
    </row>
    <row r="157" spans="1:30">
      <c r="A157" s="776"/>
      <c r="B157" s="776"/>
      <c r="C157" s="772">
        <v>2014</v>
      </c>
      <c r="D157" s="778">
        <f t="shared" ref="D157:E162" si="28">D156+(D$163-D$156)/7</f>
        <v>58.624472196183447</v>
      </c>
      <c r="E157" s="778">
        <f t="shared" si="28"/>
        <v>44.963790234773398</v>
      </c>
      <c r="F157" s="780">
        <f>F156+(F158-F156)/2</f>
        <v>27.476829299726518</v>
      </c>
      <c r="G157" s="778">
        <v>9</v>
      </c>
      <c r="H157" s="776"/>
      <c r="I157" s="776"/>
      <c r="J157" s="776"/>
      <c r="K157" s="776"/>
      <c r="L157" s="776"/>
      <c r="M157" s="776"/>
      <c r="N157" s="776"/>
      <c r="O157" s="776"/>
      <c r="P157" s="776">
        <v>2045</v>
      </c>
      <c r="Q157" s="776">
        <v>19.079999999999998</v>
      </c>
      <c r="R157" s="779">
        <v>25.56</v>
      </c>
      <c r="S157" s="776">
        <v>30.96</v>
      </c>
      <c r="T157" s="776">
        <v>21.240000000000002</v>
      </c>
      <c r="U157" s="779">
        <v>28.44</v>
      </c>
      <c r="V157" s="776">
        <v>34.56</v>
      </c>
      <c r="W157" s="776">
        <v>27.720000000000002</v>
      </c>
      <c r="X157" s="779">
        <v>33.840000000000003</v>
      </c>
      <c r="Y157" s="776">
        <v>38.159999999999997</v>
      </c>
      <c r="Z157" s="776"/>
      <c r="AA157" s="776"/>
      <c r="AB157" s="776"/>
      <c r="AC157" s="776"/>
      <c r="AD157" s="776"/>
    </row>
    <row r="158" spans="1:30">
      <c r="A158" s="776"/>
      <c r="B158" s="776"/>
      <c r="C158" s="772">
        <v>2015</v>
      </c>
      <c r="D158" s="778">
        <f t="shared" si="28"/>
        <v>59.022315531666607</v>
      </c>
      <c r="E158" s="778">
        <f t="shared" si="28"/>
        <v>45.361633570256558</v>
      </c>
      <c r="F158" s="778">
        <v>27.286942302532299</v>
      </c>
      <c r="G158" s="778">
        <v>9.2947309658697694</v>
      </c>
      <c r="H158" s="776"/>
      <c r="I158" s="776" t="s">
        <v>197</v>
      </c>
      <c r="J158" s="776" t="s">
        <v>99</v>
      </c>
      <c r="K158" s="776" t="s">
        <v>1400</v>
      </c>
      <c r="L158" s="776" t="s">
        <v>49</v>
      </c>
      <c r="M158" s="776"/>
      <c r="N158" s="776"/>
      <c r="O158" s="776"/>
      <c r="P158" s="776">
        <v>2050</v>
      </c>
      <c r="Q158" s="776">
        <v>19.079999999999998</v>
      </c>
      <c r="R158" s="779">
        <v>26.64</v>
      </c>
      <c r="S158" s="776">
        <v>32.76</v>
      </c>
      <c r="T158" s="776">
        <v>21.240000000000002</v>
      </c>
      <c r="U158" s="779">
        <v>29.52</v>
      </c>
      <c r="V158" s="776">
        <v>36.72</v>
      </c>
      <c r="W158" s="776">
        <v>27.720000000000002</v>
      </c>
      <c r="X158" s="779">
        <v>34.56</v>
      </c>
      <c r="Y158" s="776">
        <v>39.6</v>
      </c>
      <c r="Z158" s="776"/>
      <c r="AA158" s="776"/>
      <c r="AB158" s="776"/>
      <c r="AC158" s="776"/>
      <c r="AD158" s="776"/>
    </row>
    <row r="159" spans="1:30">
      <c r="A159" s="776"/>
      <c r="B159" s="776"/>
      <c r="C159" s="772">
        <v>2016</v>
      </c>
      <c r="D159" s="778">
        <f t="shared" si="28"/>
        <v>59.420158867149766</v>
      </c>
      <c r="E159" s="778">
        <f t="shared" si="28"/>
        <v>45.759476905739717</v>
      </c>
      <c r="F159" s="778">
        <f t="shared" ref="F159:G162" si="29">F158+(F$163-F$158)/5</f>
        <v>27.619805381107831</v>
      </c>
      <c r="G159" s="778">
        <f t="shared" si="29"/>
        <v>9.7245456585643026</v>
      </c>
      <c r="H159" s="776"/>
      <c r="I159" s="777">
        <f t="shared" ref="I159:I173" si="30">D159/D158-1</f>
        <v>6.7405579042338903E-3</v>
      </c>
      <c r="J159" s="777">
        <f t="shared" ref="J159:J173" si="31">E159/E158-1</f>
        <v>8.7704807823327791E-3</v>
      </c>
      <c r="K159" s="777">
        <f t="shared" ref="K159:K173" si="32">F159/F158-1</f>
        <v>1.2198621409649224E-2</v>
      </c>
      <c r="L159" s="777">
        <f t="shared" ref="L159:L173" si="33">G159/G158-1</f>
        <v>4.6242833092513536E-2</v>
      </c>
      <c r="M159" s="776"/>
      <c r="N159" s="776"/>
      <c r="O159" s="776"/>
      <c r="P159" s="776"/>
      <c r="Q159" s="776"/>
      <c r="R159" s="776"/>
      <c r="S159" s="776"/>
      <c r="T159" s="776"/>
      <c r="U159" s="776"/>
      <c r="V159" s="776"/>
      <c r="W159" s="776"/>
      <c r="X159" s="776"/>
      <c r="Y159" s="776"/>
      <c r="Z159" s="776"/>
      <c r="AA159" s="776"/>
      <c r="AB159" s="776"/>
      <c r="AC159" s="776"/>
      <c r="AD159" s="776"/>
    </row>
    <row r="160" spans="1:30">
      <c r="A160" s="776"/>
      <c r="B160" s="776"/>
      <c r="C160" s="772">
        <v>2017</v>
      </c>
      <c r="D160" s="778">
        <f t="shared" si="28"/>
        <v>59.818002202632925</v>
      </c>
      <c r="E160" s="778">
        <f t="shared" si="28"/>
        <v>46.157320241222877</v>
      </c>
      <c r="F160" s="778">
        <f t="shared" si="29"/>
        <v>27.952668459683363</v>
      </c>
      <c r="G160" s="778">
        <f t="shared" si="29"/>
        <v>10.154360351258836</v>
      </c>
      <c r="H160" s="776"/>
      <c r="I160" s="777">
        <f t="shared" si="30"/>
        <v>6.6954269909080821E-3</v>
      </c>
      <c r="J160" s="777">
        <f t="shared" si="31"/>
        <v>8.6942282208051225E-3</v>
      </c>
      <c r="K160" s="777">
        <f t="shared" si="32"/>
        <v>1.2051608401383307E-2</v>
      </c>
      <c r="L160" s="777">
        <f t="shared" si="33"/>
        <v>4.4198948494421408E-2</v>
      </c>
      <c r="M160" s="776"/>
      <c r="N160" s="776"/>
      <c r="O160" s="776"/>
      <c r="P160" s="776"/>
      <c r="Q160" s="776"/>
      <c r="R160" s="776"/>
      <c r="S160" s="776"/>
      <c r="T160" s="776"/>
      <c r="U160" s="776"/>
      <c r="V160" s="776"/>
      <c r="W160" s="776"/>
      <c r="X160" s="776"/>
      <c r="Y160" s="776"/>
      <c r="Z160" s="776"/>
      <c r="AA160" s="776"/>
      <c r="AB160" s="776"/>
      <c r="AC160" s="776"/>
      <c r="AD160" s="776"/>
    </row>
    <row r="161" spans="1:30">
      <c r="A161" s="776"/>
      <c r="B161" s="776"/>
      <c r="C161" s="772">
        <v>2018</v>
      </c>
      <c r="D161" s="778">
        <f t="shared" si="28"/>
        <v>60.215845538116085</v>
      </c>
      <c r="E161" s="778">
        <f t="shared" si="28"/>
        <v>46.555163576706036</v>
      </c>
      <c r="F161" s="778">
        <f t="shared" si="29"/>
        <v>28.285531538258894</v>
      </c>
      <c r="G161" s="778">
        <f t="shared" si="29"/>
        <v>10.584175043953369</v>
      </c>
      <c r="H161" s="776"/>
      <c r="I161" s="777">
        <f t="shared" si="30"/>
        <v>6.650896399640116E-3</v>
      </c>
      <c r="J161" s="777">
        <f t="shared" si="31"/>
        <v>8.6192901451815906E-3</v>
      </c>
      <c r="K161" s="777">
        <f t="shared" si="32"/>
        <v>1.19080966833498E-2</v>
      </c>
      <c r="L161" s="777">
        <f t="shared" si="33"/>
        <v>4.2328091364341791E-2</v>
      </c>
      <c r="M161" s="776"/>
      <c r="N161" s="776"/>
      <c r="O161" s="776"/>
      <c r="P161" s="776"/>
      <c r="Q161" s="776"/>
      <c r="R161" s="776"/>
      <c r="S161" s="776"/>
      <c r="T161" s="776"/>
      <c r="U161" s="776"/>
      <c r="V161" s="776"/>
      <c r="W161" s="776"/>
      <c r="X161" s="776"/>
      <c r="Y161" s="776"/>
      <c r="Z161" s="776"/>
      <c r="AA161" s="776"/>
      <c r="AB161" s="776"/>
      <c r="AC161" s="776"/>
      <c r="AD161" s="776"/>
    </row>
    <row r="162" spans="1:30">
      <c r="A162" s="776"/>
      <c r="B162" s="776"/>
      <c r="C162" s="772">
        <v>2019</v>
      </c>
      <c r="D162" s="778">
        <f t="shared" si="28"/>
        <v>60.613688873599244</v>
      </c>
      <c r="E162" s="778">
        <f t="shared" si="28"/>
        <v>46.953006912189196</v>
      </c>
      <c r="F162" s="778">
        <f t="shared" si="29"/>
        <v>28.618394616834426</v>
      </c>
      <c r="G162" s="778">
        <f t="shared" si="29"/>
        <v>11.013989736647902</v>
      </c>
      <c r="H162" s="776"/>
      <c r="I162" s="777">
        <f t="shared" si="30"/>
        <v>6.6069542315290164E-3</v>
      </c>
      <c r="J162" s="777">
        <f t="shared" si="31"/>
        <v>8.545632856120422E-3</v>
      </c>
      <c r="K162" s="777">
        <f t="shared" si="32"/>
        <v>1.1767962646390462E-2</v>
      </c>
      <c r="L162" s="777">
        <f t="shared" si="33"/>
        <v>4.060918219035714E-2</v>
      </c>
      <c r="M162" s="776"/>
      <c r="N162" s="776"/>
      <c r="O162" s="776"/>
      <c r="P162" s="776"/>
      <c r="Q162" s="776"/>
      <c r="R162" s="776"/>
      <c r="S162" s="776"/>
      <c r="T162" s="776"/>
      <c r="U162" s="776"/>
      <c r="V162" s="776"/>
      <c r="W162" s="776"/>
      <c r="X162" s="776"/>
      <c r="Y162" s="776"/>
      <c r="Z162" s="776"/>
      <c r="AA162" s="776"/>
      <c r="AB162" s="776"/>
      <c r="AC162" s="776"/>
      <c r="AD162" s="776"/>
    </row>
    <row r="163" spans="1:30">
      <c r="A163" s="776"/>
      <c r="B163" s="776"/>
      <c r="C163" s="772">
        <v>2020</v>
      </c>
      <c r="D163" s="778">
        <f>D151</f>
        <v>61.011532209082418</v>
      </c>
      <c r="E163" s="778">
        <f>E151</f>
        <v>47.350850247672369</v>
      </c>
      <c r="F163" s="778">
        <f>F151</f>
        <v>28.951257695409954</v>
      </c>
      <c r="G163" s="778">
        <f>G151</f>
        <v>11.443804429342432</v>
      </c>
      <c r="H163" s="776"/>
      <c r="I163" s="777">
        <f t="shared" si="30"/>
        <v>6.563588900071915E-3</v>
      </c>
      <c r="J163" s="777">
        <f t="shared" si="31"/>
        <v>8.4732237964484369E-3</v>
      </c>
      <c r="K163" s="777">
        <f t="shared" si="32"/>
        <v>1.1631088432183523E-2</v>
      </c>
      <c r="L163" s="777">
        <f t="shared" si="33"/>
        <v>3.9024431924461034E-2</v>
      </c>
      <c r="M163" s="776"/>
      <c r="N163" s="776"/>
      <c r="O163" s="776"/>
      <c r="P163" s="776"/>
      <c r="Q163" s="776"/>
      <c r="R163" s="776"/>
      <c r="S163" s="776"/>
      <c r="T163" s="776"/>
      <c r="U163" s="776"/>
      <c r="V163" s="776"/>
      <c r="W163" s="776"/>
      <c r="X163" s="776"/>
      <c r="Y163" s="776"/>
      <c r="Z163" s="776"/>
      <c r="AA163" s="776"/>
      <c r="AB163" s="776"/>
      <c r="AC163" s="776"/>
      <c r="AD163" s="776"/>
    </row>
    <row r="164" spans="1:30">
      <c r="A164" s="776"/>
      <c r="B164" s="776"/>
      <c r="C164" s="772">
        <v>2021</v>
      </c>
      <c r="D164" s="778">
        <f t="shared" ref="D164:D172" si="34">D163+(D$173-D$163)/10</f>
        <v>61.522097822952475</v>
      </c>
      <c r="E164" s="778">
        <f t="shared" ref="E164:E172" si="35">E163+(E$173-E$163)/10</f>
        <v>47.861415861542426</v>
      </c>
      <c r="F164" s="778">
        <f t="shared" ref="F164:F172" si="36">F163+(F$173-F$163)/10</f>
        <v>29.208165975107796</v>
      </c>
      <c r="G164" s="778">
        <f t="shared" ref="G164:G172" si="37">G163+(G$173-G$163)/10</f>
        <v>11.522114271742941</v>
      </c>
      <c r="H164" s="776"/>
      <c r="I164" s="777">
        <f t="shared" si="30"/>
        <v>8.3683460385879371E-3</v>
      </c>
      <c r="J164" s="777">
        <f t="shared" si="31"/>
        <v>1.0782607095743746E-2</v>
      </c>
      <c r="K164" s="777">
        <f t="shared" si="32"/>
        <v>8.8738210408929596E-3</v>
      </c>
      <c r="L164" s="777">
        <f t="shared" si="33"/>
        <v>6.8429902733848635E-3</v>
      </c>
      <c r="M164" s="776"/>
      <c r="N164" s="776"/>
      <c r="O164" s="776"/>
      <c r="P164" s="776"/>
      <c r="Q164" s="776"/>
      <c r="R164" s="776"/>
      <c r="S164" s="776"/>
      <c r="T164" s="776"/>
      <c r="U164" s="776"/>
      <c r="V164" s="776"/>
      <c r="W164" s="776"/>
      <c r="X164" s="776"/>
      <c r="Y164" s="776"/>
      <c r="Z164" s="776"/>
      <c r="AA164" s="776"/>
      <c r="AB164" s="776"/>
      <c r="AC164" s="776"/>
      <c r="AD164" s="776"/>
    </row>
    <row r="165" spans="1:30">
      <c r="A165" s="776"/>
      <c r="B165" s="776"/>
      <c r="C165" s="772">
        <v>2022</v>
      </c>
      <c r="D165" s="778">
        <f t="shared" si="34"/>
        <v>62.032663436822531</v>
      </c>
      <c r="E165" s="778">
        <f t="shared" si="35"/>
        <v>48.371981475412483</v>
      </c>
      <c r="F165" s="778">
        <f t="shared" si="36"/>
        <v>29.465074254805639</v>
      </c>
      <c r="G165" s="778">
        <f t="shared" si="37"/>
        <v>11.600424114143451</v>
      </c>
      <c r="H165" s="776"/>
      <c r="I165" s="777">
        <f t="shared" si="30"/>
        <v>8.2988979884814906E-3</v>
      </c>
      <c r="J165" s="777">
        <f t="shared" si="31"/>
        <v>1.0667582742371451E-2</v>
      </c>
      <c r="K165" s="777">
        <f t="shared" si="32"/>
        <v>8.7957689612141454E-3</v>
      </c>
      <c r="L165" s="777">
        <f t="shared" si="33"/>
        <v>6.7964820130761439E-3</v>
      </c>
      <c r="M165" s="776"/>
      <c r="N165" s="776"/>
      <c r="O165" s="776"/>
      <c r="P165" s="776"/>
      <c r="Q165" s="776"/>
      <c r="R165" s="776"/>
      <c r="S165" s="776"/>
      <c r="T165" s="776"/>
      <c r="U165" s="776"/>
      <c r="V165" s="776"/>
      <c r="W165" s="776"/>
      <c r="X165" s="776"/>
      <c r="Y165" s="776"/>
      <c r="Z165" s="776"/>
      <c r="AA165" s="776"/>
      <c r="AB165" s="776"/>
      <c r="AC165" s="776"/>
      <c r="AD165" s="776"/>
    </row>
    <row r="166" spans="1:30">
      <c r="A166" s="776"/>
      <c r="B166" s="776"/>
      <c r="C166" s="772">
        <v>2023</v>
      </c>
      <c r="D166" s="778">
        <f t="shared" si="34"/>
        <v>62.543229050692588</v>
      </c>
      <c r="E166" s="778">
        <f t="shared" si="35"/>
        <v>48.882547089282539</v>
      </c>
      <c r="F166" s="778">
        <f t="shared" si="36"/>
        <v>29.721982534503482</v>
      </c>
      <c r="G166" s="778">
        <f t="shared" si="37"/>
        <v>11.67873395654396</v>
      </c>
      <c r="H166" s="776"/>
      <c r="I166" s="777">
        <f t="shared" si="30"/>
        <v>8.2305931356638773E-3</v>
      </c>
      <c r="J166" s="777">
        <f t="shared" si="31"/>
        <v>1.0554986550004752E-2</v>
      </c>
      <c r="K166" s="777">
        <f t="shared" si="32"/>
        <v>8.7190779658714579E-3</v>
      </c>
      <c r="L166" s="777">
        <f t="shared" si="33"/>
        <v>6.7506016702469918E-3</v>
      </c>
      <c r="M166" s="776"/>
      <c r="N166" s="776"/>
      <c r="O166" s="776"/>
      <c r="P166" s="776"/>
      <c r="Q166" s="776"/>
      <c r="R166" s="776"/>
      <c r="S166" s="776"/>
      <c r="T166" s="776"/>
      <c r="U166" s="776"/>
      <c r="V166" s="776"/>
      <c r="W166" s="776"/>
      <c r="X166" s="776"/>
      <c r="Y166" s="776"/>
      <c r="Z166" s="776"/>
      <c r="AA166" s="776"/>
      <c r="AB166" s="776"/>
      <c r="AC166" s="776"/>
      <c r="AD166" s="776"/>
    </row>
    <row r="167" spans="1:30">
      <c r="A167" s="776"/>
      <c r="B167" s="776"/>
      <c r="C167" s="772">
        <v>2024</v>
      </c>
      <c r="D167" s="778">
        <f t="shared" si="34"/>
        <v>63.053794664562645</v>
      </c>
      <c r="E167" s="778">
        <f t="shared" si="35"/>
        <v>49.393112703152596</v>
      </c>
      <c r="F167" s="778">
        <f t="shared" si="36"/>
        <v>29.978890814201325</v>
      </c>
      <c r="G167" s="778">
        <f t="shared" si="37"/>
        <v>11.757043798944469</v>
      </c>
      <c r="H167" s="776"/>
      <c r="I167" s="777">
        <f t="shared" si="30"/>
        <v>8.163403482993159E-3</v>
      </c>
      <c r="J167" s="777">
        <f t="shared" si="31"/>
        <v>1.0444742434094545E-2</v>
      </c>
      <c r="K167" s="777">
        <f t="shared" si="32"/>
        <v>8.6437127603988806E-3</v>
      </c>
      <c r="L167" s="777">
        <f t="shared" si="33"/>
        <v>6.7053366137028725E-3</v>
      </c>
      <c r="M167" s="776"/>
      <c r="N167" s="776"/>
      <c r="O167" s="776"/>
      <c r="P167" s="776"/>
      <c r="Q167" s="776"/>
      <c r="R167" s="776"/>
      <c r="S167" s="776"/>
      <c r="T167" s="776"/>
      <c r="U167" s="776"/>
      <c r="V167" s="776"/>
      <c r="W167" s="776"/>
      <c r="X167" s="776"/>
      <c r="Y167" s="776"/>
      <c r="Z167" s="776"/>
      <c r="AA167" s="776"/>
      <c r="AB167" s="776"/>
      <c r="AC167" s="776"/>
      <c r="AD167" s="776"/>
    </row>
    <row r="168" spans="1:30">
      <c r="A168" s="776"/>
      <c r="B168" s="776"/>
      <c r="C168" s="772">
        <v>2025</v>
      </c>
      <c r="D168" s="778">
        <f t="shared" si="34"/>
        <v>63.564360278432702</v>
      </c>
      <c r="E168" s="778">
        <f t="shared" si="35"/>
        <v>49.903678317022653</v>
      </c>
      <c r="F168" s="778">
        <f t="shared" si="36"/>
        <v>30.235799093899168</v>
      </c>
      <c r="G168" s="778">
        <f t="shared" si="37"/>
        <v>11.835353641344978</v>
      </c>
      <c r="H168" s="776"/>
      <c r="I168" s="777">
        <f t="shared" si="30"/>
        <v>8.097301940132251E-3</v>
      </c>
      <c r="J168" s="777">
        <f t="shared" si="31"/>
        <v>1.0336777455968393E-2</v>
      </c>
      <c r="K168" s="777">
        <f t="shared" si="32"/>
        <v>8.5696392601737337E-3</v>
      </c>
      <c r="L168" s="777">
        <f t="shared" si="33"/>
        <v>6.6606745487789443E-3</v>
      </c>
      <c r="M168" s="776"/>
      <c r="N168" s="776"/>
      <c r="O168" s="776"/>
      <c r="P168" s="776"/>
      <c r="Q168" s="776"/>
      <c r="R168" s="776"/>
      <c r="S168" s="776"/>
      <c r="T168" s="776"/>
      <c r="U168" s="776"/>
      <c r="V168" s="776"/>
      <c r="W168" s="776"/>
      <c r="X168" s="776"/>
      <c r="Y168" s="776"/>
      <c r="Z168" s="776"/>
      <c r="AA168" s="776"/>
      <c r="AB168" s="776"/>
      <c r="AC168" s="776"/>
      <c r="AD168" s="776"/>
    </row>
    <row r="169" spans="1:30">
      <c r="A169" s="776"/>
      <c r="B169" s="776"/>
      <c r="C169" s="772">
        <v>2026</v>
      </c>
      <c r="D169" s="778">
        <f t="shared" si="34"/>
        <v>64.074925892302758</v>
      </c>
      <c r="E169" s="778">
        <f t="shared" si="35"/>
        <v>50.414243930892709</v>
      </c>
      <c r="F169" s="778">
        <f t="shared" si="36"/>
        <v>30.49270737359701</v>
      </c>
      <c r="G169" s="778">
        <f t="shared" si="37"/>
        <v>11.913663483745488</v>
      </c>
      <c r="H169" s="776"/>
      <c r="I169" s="777">
        <f t="shared" si="30"/>
        <v>8.0322622871309424E-3</v>
      </c>
      <c r="J169" s="777">
        <f t="shared" si="31"/>
        <v>1.0231021661902151E-2</v>
      </c>
      <c r="K169" s="777">
        <f t="shared" si="32"/>
        <v>8.4968245390173447E-3</v>
      </c>
      <c r="L169" s="777">
        <f t="shared" si="33"/>
        <v>6.6166035062058537E-3</v>
      </c>
      <c r="M169" s="776"/>
      <c r="N169" s="776"/>
      <c r="O169" s="776"/>
      <c r="P169" s="776"/>
      <c r="Q169" s="776"/>
      <c r="R169" s="776"/>
      <c r="S169" s="776"/>
      <c r="T169" s="776"/>
      <c r="U169" s="776"/>
      <c r="V169" s="776"/>
      <c r="W169" s="776"/>
      <c r="X169" s="776"/>
      <c r="Y169" s="776"/>
      <c r="Z169" s="776"/>
      <c r="AA169" s="776"/>
      <c r="AB169" s="776"/>
      <c r="AC169" s="776"/>
      <c r="AD169" s="776"/>
    </row>
    <row r="170" spans="1:30">
      <c r="A170" s="776"/>
      <c r="B170" s="776"/>
      <c r="C170" s="772">
        <v>2027</v>
      </c>
      <c r="D170" s="778">
        <f t="shared" si="34"/>
        <v>64.585491506172815</v>
      </c>
      <c r="E170" s="778">
        <f t="shared" si="35"/>
        <v>50.924809544762766</v>
      </c>
      <c r="F170" s="778">
        <f t="shared" si="36"/>
        <v>30.749615653294853</v>
      </c>
      <c r="G170" s="778">
        <f t="shared" si="37"/>
        <v>11.991973326145997</v>
      </c>
      <c r="H170" s="776"/>
      <c r="I170" s="777">
        <f t="shared" si="30"/>
        <v>7.9682591397485236E-3</v>
      </c>
      <c r="J170" s="777">
        <f t="shared" si="31"/>
        <v>1.0127407931971311E-2</v>
      </c>
      <c r="K170" s="777">
        <f t="shared" si="32"/>
        <v>8.4252367803947514E-3</v>
      </c>
      <c r="L170" s="777">
        <f t="shared" si="33"/>
        <v>6.5731118314154013E-3</v>
      </c>
      <c r="M170" s="776"/>
      <c r="N170" s="776"/>
      <c r="O170" s="776"/>
      <c r="P170" s="776"/>
      <c r="Q170" s="776"/>
      <c r="R170" s="776"/>
      <c r="S170" s="776"/>
      <c r="T170" s="776"/>
      <c r="U170" s="776"/>
      <c r="V170" s="776"/>
      <c r="W170" s="776"/>
      <c r="X170" s="776"/>
      <c r="Y170" s="776"/>
      <c r="Z170" s="776"/>
      <c r="AA170" s="776"/>
      <c r="AB170" s="776"/>
      <c r="AC170" s="776"/>
      <c r="AD170" s="776"/>
    </row>
    <row r="171" spans="1:30">
      <c r="A171" s="776"/>
      <c r="B171" s="776"/>
      <c r="C171" s="772">
        <v>2028</v>
      </c>
      <c r="D171" s="778">
        <f t="shared" si="34"/>
        <v>65.096057120042872</v>
      </c>
      <c r="E171" s="778">
        <f t="shared" si="35"/>
        <v>51.435375158632823</v>
      </c>
      <c r="F171" s="778">
        <f t="shared" si="36"/>
        <v>31.006523932992696</v>
      </c>
      <c r="G171" s="778">
        <f t="shared" si="37"/>
        <v>12.070283168546506</v>
      </c>
      <c r="H171" s="776"/>
      <c r="I171" s="777">
        <f t="shared" si="30"/>
        <v>7.9052679164213213E-3</v>
      </c>
      <c r="J171" s="777">
        <f t="shared" si="31"/>
        <v>1.0025871837994194E-2</v>
      </c>
      <c r="K171" s="777">
        <f t="shared" si="32"/>
        <v>8.35484523105956E-3</v>
      </c>
      <c r="L171" s="777">
        <f t="shared" si="33"/>
        <v>6.5301881742658718E-3</v>
      </c>
      <c r="M171" s="776"/>
      <c r="N171" s="776"/>
      <c r="O171" s="776"/>
      <c r="P171" s="776"/>
      <c r="Q171" s="776"/>
      <c r="R171" s="776"/>
      <c r="S171" s="776"/>
      <c r="T171" s="776"/>
      <c r="U171" s="776"/>
      <c r="V171" s="776"/>
      <c r="W171" s="776"/>
      <c r="X171" s="776"/>
      <c r="Y171" s="776"/>
      <c r="Z171" s="776"/>
      <c r="AA171" s="776"/>
      <c r="AB171" s="776"/>
      <c r="AC171" s="776"/>
      <c r="AD171" s="776"/>
    </row>
    <row r="172" spans="1:30">
      <c r="A172" s="776"/>
      <c r="B172" s="776"/>
      <c r="C172" s="772">
        <v>2029</v>
      </c>
      <c r="D172" s="778">
        <f t="shared" si="34"/>
        <v>65.606622733912928</v>
      </c>
      <c r="E172" s="778">
        <f t="shared" si="35"/>
        <v>51.94594077250288</v>
      </c>
      <c r="F172" s="778">
        <f t="shared" si="36"/>
        <v>31.263432212690539</v>
      </c>
      <c r="G172" s="778">
        <f t="shared" si="37"/>
        <v>12.148593010947016</v>
      </c>
      <c r="H172" s="776"/>
      <c r="I172" s="777">
        <f t="shared" si="30"/>
        <v>7.8432648067843225E-3</v>
      </c>
      <c r="J172" s="777">
        <f t="shared" si="31"/>
        <v>9.9263515099368149E-3</v>
      </c>
      <c r="K172" s="777">
        <f t="shared" si="32"/>
        <v>8.285620157004292E-3</v>
      </c>
      <c r="L172" s="777">
        <f t="shared" si="33"/>
        <v>6.4878214791657118E-3</v>
      </c>
      <c r="M172" s="776"/>
      <c r="N172" s="776"/>
      <c r="O172" s="776"/>
      <c r="P172" s="776"/>
      <c r="Q172" s="776"/>
      <c r="R172" s="776"/>
      <c r="S172" s="776"/>
      <c r="T172" s="776"/>
      <c r="U172" s="776"/>
      <c r="V172" s="776"/>
      <c r="W172" s="776"/>
      <c r="X172" s="776"/>
      <c r="Y172" s="776"/>
      <c r="Z172" s="776"/>
      <c r="AA172" s="776"/>
      <c r="AB172" s="776"/>
      <c r="AC172" s="776"/>
      <c r="AD172" s="776"/>
    </row>
    <row r="173" spans="1:30">
      <c r="A173" s="776"/>
      <c r="B173" s="776"/>
      <c r="C173" s="772">
        <v>2030</v>
      </c>
      <c r="D173" s="778">
        <f>D152</f>
        <v>66.117188347782985</v>
      </c>
      <c r="E173" s="778">
        <f>E152</f>
        <v>52.456506386372936</v>
      </c>
      <c r="F173" s="778">
        <f>F152</f>
        <v>31.520340492388375</v>
      </c>
      <c r="G173" s="778">
        <f>G152</f>
        <v>12.22690285334753</v>
      </c>
      <c r="H173" s="776"/>
      <c r="I173" s="777">
        <f t="shared" si="30"/>
        <v>7.7822267416629565E-3</v>
      </c>
      <c r="J173" s="777">
        <f t="shared" si="31"/>
        <v>9.8287875101941147E-3</v>
      </c>
      <c r="K173" s="777">
        <f t="shared" si="32"/>
        <v>8.21753280158255E-3</v>
      </c>
      <c r="L173" s="777">
        <f t="shared" si="33"/>
        <v>6.4460009755822334E-3</v>
      </c>
      <c r="M173" s="776"/>
      <c r="N173" s="776"/>
      <c r="O173" s="776"/>
      <c r="P173" s="776"/>
      <c r="Q173" s="776"/>
      <c r="R173" s="776"/>
      <c r="S173" s="776"/>
      <c r="T173" s="776"/>
      <c r="U173" s="776"/>
      <c r="V173" s="776"/>
      <c r="W173" s="776"/>
      <c r="X173" s="776"/>
      <c r="Y173" s="776"/>
      <c r="Z173" s="776"/>
      <c r="AA173" s="776"/>
      <c r="AB173" s="776"/>
      <c r="AC173" s="776"/>
      <c r="AD173" s="776"/>
    </row>
    <row r="174" spans="1:30">
      <c r="A174" s="772" t="s">
        <v>1399</v>
      </c>
    </row>
  </sheetData>
  <mergeCells count="3">
    <mergeCell ref="B112:E112"/>
    <mergeCell ref="F112:H112"/>
    <mergeCell ref="I112:K112"/>
  </mergeCells>
  <pageMargins left="0.7" right="0.7" top="0.75" bottom="0.75" header="0.3" footer="0.3"/>
  <pageSetup paperSize="9" orientation="portrait"/>
  <drawing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B2:AK216"/>
  <sheetViews>
    <sheetView topLeftCell="A192" workbookViewId="0">
      <selection activeCell="D27" sqref="D27"/>
    </sheetView>
  </sheetViews>
  <sheetFormatPr defaultColWidth="8.44140625" defaultRowHeight="13.2"/>
  <cols>
    <col min="1" max="1" width="8.44140625" style="602"/>
    <col min="2" max="2" width="39.44140625" style="602" bestFit="1" customWidth="1"/>
    <col min="3" max="3" width="108.44140625" style="602" bestFit="1" customWidth="1"/>
    <col min="4" max="16384" width="8.44140625" style="602"/>
  </cols>
  <sheetData>
    <row r="2" spans="2:4">
      <c r="B2" s="1047" t="s">
        <v>1578</v>
      </c>
      <c r="D2" s="1046"/>
    </row>
    <row r="3" spans="2:4">
      <c r="D3" s="1046"/>
    </row>
    <row r="4" spans="2:4">
      <c r="D4" s="1046"/>
    </row>
    <row r="5" spans="2:4">
      <c r="D5" s="1046"/>
    </row>
    <row r="6" spans="2:4">
      <c r="D6" s="1046"/>
    </row>
    <row r="22" spans="2:29" ht="17.399999999999999">
      <c r="B22" s="360" t="s">
        <v>375</v>
      </c>
      <c r="C22" s="360"/>
      <c r="D22" s="360"/>
      <c r="E22" s="360"/>
      <c r="F22" s="360"/>
      <c r="G22" s="360"/>
      <c r="H22" s="360"/>
      <c r="I22" s="360"/>
      <c r="J22" s="360"/>
      <c r="K22" s="360"/>
      <c r="L22" s="360"/>
      <c r="M22" s="360"/>
      <c r="N22" s="360"/>
      <c r="O22" s="360"/>
      <c r="P22" s="360"/>
      <c r="Q22" s="360"/>
      <c r="R22" s="360"/>
      <c r="S22" s="360"/>
      <c r="T22" s="360"/>
      <c r="U22" s="360"/>
      <c r="V22" s="360"/>
      <c r="W22" s="360"/>
      <c r="X22" s="360"/>
      <c r="Y22" s="360"/>
      <c r="Z22" s="360"/>
      <c r="AA22" s="360"/>
      <c r="AB22" s="360"/>
      <c r="AC22" s="360"/>
    </row>
    <row r="23" spans="2:29" ht="13.8">
      <c r="B23" s="1009"/>
      <c r="C23" s="1009"/>
      <c r="D23" s="1009"/>
      <c r="E23" s="1009"/>
      <c r="F23" s="1009"/>
      <c r="G23" s="1009"/>
      <c r="H23" s="1009"/>
      <c r="I23" s="1009"/>
      <c r="J23" s="1009"/>
      <c r="K23" s="1009"/>
      <c r="L23" s="1009"/>
      <c r="M23" s="1009"/>
      <c r="N23" s="1009"/>
      <c r="O23" s="1009"/>
      <c r="P23" s="1009"/>
      <c r="Q23" s="1009"/>
      <c r="R23" s="1009"/>
      <c r="S23" s="1009"/>
      <c r="T23" s="1009"/>
      <c r="U23" s="1009"/>
      <c r="V23" s="1009"/>
      <c r="W23" s="1009"/>
      <c r="X23" s="1009"/>
      <c r="Y23" s="1009"/>
      <c r="Z23" s="1009"/>
      <c r="AA23" s="1009"/>
      <c r="AB23" s="1009"/>
      <c r="AC23" s="1009"/>
    </row>
    <row r="24" spans="2:29" ht="15.6">
      <c r="B24" s="253" t="s">
        <v>376</v>
      </c>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row>
    <row r="25" spans="2:29" ht="13.8">
      <c r="B25" s="1009"/>
      <c r="C25" s="1009"/>
      <c r="D25" s="1009"/>
      <c r="E25" s="1009"/>
      <c r="F25" s="1009"/>
      <c r="G25" s="1009"/>
      <c r="H25" s="1009"/>
      <c r="I25" s="1009"/>
      <c r="J25" s="1009"/>
      <c r="K25" s="1009"/>
      <c r="L25" s="1009"/>
      <c r="M25" s="1009"/>
      <c r="N25" s="1009"/>
      <c r="O25" s="1009"/>
      <c r="P25" s="1009"/>
      <c r="Q25" s="1009"/>
      <c r="R25" s="1009"/>
      <c r="S25" s="1009"/>
      <c r="T25" s="1009"/>
      <c r="U25" s="1009"/>
      <c r="V25" s="1009"/>
      <c r="W25" s="1009"/>
      <c r="X25" s="1009"/>
      <c r="Y25" s="1009"/>
      <c r="Z25" s="1009"/>
      <c r="AA25" s="1009"/>
      <c r="AB25" s="1009"/>
      <c r="AC25" s="1009"/>
    </row>
    <row r="26" spans="2:29">
      <c r="B26" s="445"/>
      <c r="C26" s="445"/>
      <c r="D26" s="263"/>
      <c r="E26" s="445"/>
      <c r="F26" s="445"/>
      <c r="G26" s="445"/>
      <c r="H26" s="445"/>
      <c r="I26" s="445"/>
      <c r="J26" s="445"/>
      <c r="K26" s="445"/>
      <c r="L26" s="445"/>
      <c r="M26" s="445"/>
      <c r="N26" s="445"/>
      <c r="O26" s="445"/>
      <c r="P26" s="445"/>
      <c r="Q26" s="445"/>
      <c r="R26" s="445"/>
      <c r="S26" s="445" t="s">
        <v>377</v>
      </c>
      <c r="T26" s="263">
        <v>29</v>
      </c>
      <c r="U26" s="263">
        <v>47</v>
      </c>
      <c r="V26" s="263">
        <v>59</v>
      </c>
      <c r="W26" s="263">
        <v>61</v>
      </c>
      <c r="X26" s="263">
        <v>91</v>
      </c>
      <c r="Y26" s="263">
        <v>94</v>
      </c>
      <c r="Z26" s="263">
        <v>95</v>
      </c>
      <c r="AA26" s="445"/>
      <c r="AB26" s="445"/>
      <c r="AC26" s="445"/>
    </row>
    <row r="27" spans="2:29" ht="14.4">
      <c r="B27" s="445"/>
      <c r="C27" s="968" t="s">
        <v>378</v>
      </c>
      <c r="D27" s="263"/>
      <c r="E27" s="445"/>
      <c r="F27" s="445"/>
      <c r="G27" s="445"/>
      <c r="H27" s="445"/>
      <c r="I27" s="445"/>
      <c r="J27" s="445"/>
      <c r="K27" s="445"/>
      <c r="L27" s="445"/>
      <c r="M27" s="445"/>
      <c r="N27" s="445"/>
      <c r="O27" s="445"/>
      <c r="P27" s="445"/>
      <c r="Q27" s="445"/>
      <c r="R27" s="445"/>
      <c r="S27" s="445"/>
      <c r="T27" s="263" t="s">
        <v>379</v>
      </c>
      <c r="U27" s="263" t="s">
        <v>379</v>
      </c>
      <c r="V27" s="263" t="s">
        <v>158</v>
      </c>
      <c r="W27" s="263" t="s">
        <v>380</v>
      </c>
      <c r="X27" s="263" t="s">
        <v>380</v>
      </c>
      <c r="Y27" s="263" t="s">
        <v>380</v>
      </c>
      <c r="Z27" s="263" t="s">
        <v>380</v>
      </c>
      <c r="AA27" s="445"/>
      <c r="AB27" s="445"/>
      <c r="AC27" s="445"/>
    </row>
    <row r="28" spans="2:29" ht="110.4">
      <c r="B28" s="445"/>
      <c r="C28" s="1036"/>
      <c r="D28" s="1045"/>
      <c r="E28" s="1044" t="s">
        <v>381</v>
      </c>
      <c r="F28" s="1043" t="s">
        <v>382</v>
      </c>
      <c r="G28" s="1043"/>
      <c r="H28" s="1042" t="s">
        <v>383</v>
      </c>
      <c r="I28" s="1041" t="s">
        <v>384</v>
      </c>
      <c r="J28" s="1041" t="s">
        <v>385</v>
      </c>
      <c r="K28" s="1040" t="s">
        <v>386</v>
      </c>
      <c r="L28" s="1040" t="s">
        <v>387</v>
      </c>
      <c r="M28" s="1040" t="s">
        <v>388</v>
      </c>
      <c r="N28" s="1040" t="s">
        <v>389</v>
      </c>
      <c r="O28" s="1040" t="s">
        <v>390</v>
      </c>
      <c r="P28" s="1040" t="s">
        <v>391</v>
      </c>
      <c r="Q28" s="1040" t="s">
        <v>392</v>
      </c>
      <c r="R28" s="1040" t="s">
        <v>415</v>
      </c>
      <c r="S28" s="445"/>
      <c r="T28" s="445" t="s">
        <v>393</v>
      </c>
      <c r="U28" s="445" t="s">
        <v>393</v>
      </c>
      <c r="V28" s="445"/>
      <c r="W28" s="445"/>
      <c r="X28" s="445" t="s">
        <v>394</v>
      </c>
      <c r="Y28" s="445" t="s">
        <v>395</v>
      </c>
      <c r="Z28" s="445" t="s">
        <v>396</v>
      </c>
      <c r="AA28" s="445"/>
      <c r="AB28" s="445"/>
      <c r="AC28" s="445"/>
    </row>
    <row r="29" spans="2:29" ht="13.8">
      <c r="B29" s="445"/>
      <c r="C29" s="272" t="s">
        <v>397</v>
      </c>
      <c r="D29" s="1038"/>
      <c r="E29" s="302" t="s">
        <v>398</v>
      </c>
      <c r="F29" s="1039" t="s">
        <v>399</v>
      </c>
      <c r="G29" s="1039" t="s">
        <v>379</v>
      </c>
      <c r="H29" s="1039" t="s">
        <v>398</v>
      </c>
      <c r="I29" s="1038" t="s">
        <v>400</v>
      </c>
      <c r="J29" s="1037" t="s">
        <v>158</v>
      </c>
      <c r="K29" s="304" t="s">
        <v>380</v>
      </c>
      <c r="L29" s="304" t="s">
        <v>380</v>
      </c>
      <c r="M29" s="304" t="s">
        <v>380</v>
      </c>
      <c r="N29" s="304"/>
      <c r="O29" s="304" t="s">
        <v>380</v>
      </c>
      <c r="P29" s="304" t="s">
        <v>380</v>
      </c>
      <c r="Q29" s="304" t="s">
        <v>158</v>
      </c>
      <c r="R29" s="304" t="s">
        <v>380</v>
      </c>
      <c r="S29" s="445"/>
      <c r="T29" s="445"/>
      <c r="U29" s="445"/>
      <c r="V29" s="445"/>
      <c r="W29" s="445"/>
      <c r="X29" s="445"/>
      <c r="Y29" s="445"/>
      <c r="Z29" s="445"/>
      <c r="AA29" s="445"/>
      <c r="AB29" s="445"/>
      <c r="AC29" s="445"/>
    </row>
    <row r="30" spans="2:29" ht="13.8">
      <c r="B30" s="445"/>
      <c r="C30" s="1036" t="s">
        <v>401</v>
      </c>
      <c r="D30" s="1035"/>
      <c r="E30" s="1034">
        <v>17</v>
      </c>
      <c r="F30" s="1033">
        <v>72.400000000000006</v>
      </c>
      <c r="G30" s="1032">
        <v>72.400000000000006</v>
      </c>
      <c r="H30" s="1031">
        <v>1.8</v>
      </c>
      <c r="I30" s="1030"/>
      <c r="J30" s="1029">
        <v>0.90400000000000003</v>
      </c>
      <c r="K30" s="1004">
        <v>16.739999999999998</v>
      </c>
      <c r="L30" s="1028">
        <v>5.3000000000000001E-5</v>
      </c>
      <c r="M30" s="1027">
        <v>7.3800000000000004E-2</v>
      </c>
      <c r="N30" s="1026"/>
      <c r="O30" s="1025"/>
      <c r="P30" s="1004">
        <v>7.22</v>
      </c>
      <c r="Q30" s="1024">
        <v>0</v>
      </c>
      <c r="R30" s="1023">
        <v>23.96</v>
      </c>
      <c r="S30" s="445"/>
      <c r="T30" s="445"/>
      <c r="U30" s="445"/>
      <c r="V30" s="445"/>
      <c r="W30" s="445"/>
      <c r="X30" s="445"/>
      <c r="Y30" s="445"/>
      <c r="Z30" s="445"/>
      <c r="AA30" s="445"/>
      <c r="AB30" s="445"/>
      <c r="AC30" s="445"/>
    </row>
    <row r="31" spans="2:29" ht="13.8">
      <c r="B31" s="445"/>
      <c r="C31" s="448" t="s">
        <v>402</v>
      </c>
      <c r="D31" s="456"/>
      <c r="E31" s="1019">
        <v>19</v>
      </c>
      <c r="F31" s="1019">
        <v>10.6</v>
      </c>
      <c r="G31" s="1018">
        <v>10.6</v>
      </c>
      <c r="H31" s="953">
        <v>1.8</v>
      </c>
      <c r="I31" s="1022"/>
      <c r="J31" s="465">
        <v>0.91400000000000003</v>
      </c>
      <c r="K31" s="459">
        <v>9.26</v>
      </c>
      <c r="L31" s="467">
        <v>4.6999999999999997E-5</v>
      </c>
      <c r="M31" s="468">
        <v>6.6000000000000003E-2</v>
      </c>
      <c r="N31" s="460"/>
      <c r="O31" s="1020"/>
      <c r="P31" s="459">
        <v>9.44</v>
      </c>
      <c r="Q31" s="1016">
        <v>0</v>
      </c>
      <c r="R31" s="466">
        <v>18.7</v>
      </c>
      <c r="S31" s="445"/>
      <c r="T31" s="445"/>
      <c r="U31" s="445"/>
      <c r="V31" s="445"/>
      <c r="W31" s="445"/>
      <c r="X31" s="445"/>
      <c r="Y31" s="445"/>
      <c r="Z31" s="445"/>
      <c r="AA31" s="445"/>
      <c r="AB31" s="445"/>
      <c r="AC31" s="445"/>
    </row>
    <row r="32" spans="2:29" ht="13.8">
      <c r="B32" s="445"/>
      <c r="C32" s="448" t="s">
        <v>403</v>
      </c>
      <c r="D32" s="456"/>
      <c r="E32" s="1019">
        <v>14.5</v>
      </c>
      <c r="F32" s="1019">
        <v>40.9</v>
      </c>
      <c r="G32" s="1018">
        <v>40.9</v>
      </c>
      <c r="H32" s="953">
        <v>0.53</v>
      </c>
      <c r="I32" s="1017"/>
      <c r="J32" s="465">
        <v>0.96499999999999997</v>
      </c>
      <c r="K32" s="459">
        <v>2.5099999999999998</v>
      </c>
      <c r="L32" s="467">
        <v>1.8E-5</v>
      </c>
      <c r="M32" s="468">
        <v>2.53E-2</v>
      </c>
      <c r="N32" s="460"/>
      <c r="O32" s="1020"/>
      <c r="P32" s="459">
        <v>9.25</v>
      </c>
      <c r="Q32" s="1016">
        <v>0</v>
      </c>
      <c r="R32" s="374">
        <v>11.76</v>
      </c>
      <c r="S32" s="445"/>
      <c r="T32" s="445"/>
      <c r="U32" s="445"/>
      <c r="V32" s="445"/>
      <c r="W32" s="445"/>
      <c r="X32" s="445"/>
      <c r="Y32" s="445"/>
      <c r="Z32" s="445"/>
      <c r="AA32" s="445"/>
      <c r="AB32" s="445"/>
      <c r="AC32" s="445"/>
    </row>
    <row r="33" spans="2:29" ht="13.8">
      <c r="B33" s="445"/>
      <c r="C33" s="448" t="s">
        <v>404</v>
      </c>
      <c r="D33" s="456"/>
      <c r="E33" s="1019">
        <v>27</v>
      </c>
      <c r="F33" s="1019">
        <v>101.7</v>
      </c>
      <c r="G33" s="1018">
        <v>101.7</v>
      </c>
      <c r="H33" s="953">
        <v>6.23</v>
      </c>
      <c r="I33" s="1017"/>
      <c r="J33" s="465">
        <v>0.81200000000000006</v>
      </c>
      <c r="K33" s="459">
        <v>35.880000000000003</v>
      </c>
      <c r="L33" s="467">
        <v>1.15E-4</v>
      </c>
      <c r="M33" s="468">
        <v>0.161</v>
      </c>
      <c r="N33" s="460"/>
      <c r="O33" s="1020"/>
      <c r="P33" s="459">
        <v>32.61</v>
      </c>
      <c r="Q33" s="1016">
        <v>0</v>
      </c>
      <c r="R33" s="466">
        <v>68.489999999999995</v>
      </c>
      <c r="S33" s="445"/>
      <c r="T33" s="445"/>
      <c r="U33" s="445"/>
      <c r="V33" s="445"/>
      <c r="W33" s="445"/>
      <c r="X33" s="445"/>
      <c r="Y33" s="445"/>
      <c r="Z33" s="445"/>
      <c r="AA33" s="445"/>
      <c r="AB33" s="445"/>
      <c r="AC33" s="445"/>
    </row>
    <row r="34" spans="2:29" ht="13.8">
      <c r="B34" s="445"/>
      <c r="C34" s="448" t="s">
        <v>635</v>
      </c>
      <c r="D34" s="456"/>
      <c r="E34" s="1019">
        <v>37</v>
      </c>
      <c r="F34" s="1019">
        <v>148.80000000000001</v>
      </c>
      <c r="G34" s="1018">
        <v>148.80000000000001</v>
      </c>
      <c r="H34" s="953">
        <v>9.67</v>
      </c>
      <c r="I34" s="1017"/>
      <c r="J34" s="465">
        <v>0.79300000000000004</v>
      </c>
      <c r="K34" s="459">
        <v>48.61</v>
      </c>
      <c r="L34" s="467">
        <v>0</v>
      </c>
      <c r="M34" s="468">
        <v>0</v>
      </c>
      <c r="N34" s="460"/>
      <c r="O34" s="1020"/>
      <c r="P34" s="459">
        <v>50.6</v>
      </c>
      <c r="Q34" s="1016">
        <v>0</v>
      </c>
      <c r="R34" s="466">
        <v>99.21</v>
      </c>
      <c r="S34" s="445"/>
      <c r="T34" s="445"/>
      <c r="U34" s="445"/>
      <c r="V34" s="445"/>
      <c r="W34" s="445"/>
      <c r="X34" s="445"/>
      <c r="Y34" s="445"/>
      <c r="Z34" s="445"/>
      <c r="AA34" s="445"/>
      <c r="AB34" s="445"/>
      <c r="AC34" s="445"/>
    </row>
    <row r="35" spans="2:29" ht="13.8">
      <c r="B35" s="445"/>
      <c r="C35" s="448" t="s">
        <v>405</v>
      </c>
      <c r="D35" s="456"/>
      <c r="E35" s="1019">
        <v>39.5</v>
      </c>
      <c r="F35" s="1019">
        <v>69.8</v>
      </c>
      <c r="G35" s="1018">
        <v>69.8</v>
      </c>
      <c r="H35" s="953">
        <v>6.71</v>
      </c>
      <c r="I35" s="1017"/>
      <c r="J35" s="465">
        <v>0.85499999999999998</v>
      </c>
      <c r="K35" s="459">
        <v>13</v>
      </c>
      <c r="L35" s="467">
        <v>7.2999999999999999E-5</v>
      </c>
      <c r="M35" s="468">
        <v>9.4000000000000004E-3</v>
      </c>
      <c r="N35" s="460"/>
      <c r="O35" s="1020"/>
      <c r="P35" s="459">
        <v>0</v>
      </c>
      <c r="Q35" s="1016">
        <v>0</v>
      </c>
      <c r="R35" s="466">
        <v>13</v>
      </c>
      <c r="S35" s="445"/>
      <c r="T35" s="445"/>
      <c r="U35" s="1021">
        <v>4.5999999999999999E-2</v>
      </c>
    </row>
    <row r="36" spans="2:29" ht="13.8">
      <c r="B36" s="445"/>
      <c r="C36" s="319" t="s">
        <v>406</v>
      </c>
      <c r="D36" s="456"/>
      <c r="E36" s="1019">
        <v>17.399999999999999</v>
      </c>
      <c r="F36" s="1019">
        <v>48.1</v>
      </c>
      <c r="G36" s="1018">
        <v>48.1</v>
      </c>
      <c r="H36" s="953">
        <v>0.67</v>
      </c>
      <c r="I36" s="1017"/>
      <c r="J36" s="465">
        <v>0.96299999999999997</v>
      </c>
      <c r="K36" s="459">
        <v>5.4</v>
      </c>
      <c r="L36" s="467">
        <v>1.9000000000000001E-5</v>
      </c>
      <c r="M36" s="468">
        <v>2.6800000000000001E-2</v>
      </c>
      <c r="N36" s="460"/>
      <c r="O36" s="1020"/>
      <c r="P36" s="459">
        <v>-2.15</v>
      </c>
      <c r="Q36" s="1016">
        <v>0</v>
      </c>
      <c r="R36" s="466">
        <v>3.25</v>
      </c>
      <c r="S36" s="445"/>
      <c r="T36" s="445"/>
      <c r="U36" s="445"/>
    </row>
    <row r="37" spans="2:29" ht="13.8">
      <c r="B37" s="445"/>
      <c r="C37" s="448" t="s">
        <v>407</v>
      </c>
      <c r="D37" s="456"/>
      <c r="E37" s="1019">
        <v>17.399999999999999</v>
      </c>
      <c r="F37" s="1019">
        <v>65.5</v>
      </c>
      <c r="G37" s="1018">
        <v>65.5</v>
      </c>
      <c r="H37" s="953">
        <v>0.67</v>
      </c>
      <c r="I37" s="1017"/>
      <c r="J37" s="465">
        <v>0.96299999999999997</v>
      </c>
      <c r="K37" s="459">
        <v>5.4</v>
      </c>
      <c r="L37" s="467">
        <v>1.9000000000000001E-5</v>
      </c>
      <c r="M37" s="468">
        <v>2.6800000000000001E-2</v>
      </c>
      <c r="N37" s="460"/>
      <c r="O37" s="1020"/>
      <c r="P37" s="459">
        <v>-2.15</v>
      </c>
      <c r="Q37" s="1016">
        <v>0</v>
      </c>
      <c r="R37" s="466">
        <v>3.25</v>
      </c>
      <c r="S37" s="445"/>
      <c r="T37" s="445"/>
      <c r="U37" s="445"/>
    </row>
    <row r="38" spans="2:29" ht="13.8">
      <c r="B38" s="445"/>
      <c r="C38" s="448" t="s">
        <v>408</v>
      </c>
      <c r="D38" s="456"/>
      <c r="E38" s="1019">
        <v>1</v>
      </c>
      <c r="F38" s="1019">
        <v>72.5</v>
      </c>
      <c r="G38" s="1018">
        <v>72.5</v>
      </c>
      <c r="H38" s="953">
        <v>0.05</v>
      </c>
      <c r="I38" s="1017"/>
      <c r="J38" s="465">
        <v>0.94899999999999995</v>
      </c>
      <c r="K38" s="459">
        <v>0.26</v>
      </c>
      <c r="L38" s="467">
        <v>2.6999999999999999E-5</v>
      </c>
      <c r="M38" s="468">
        <v>3.7499999999999999E-2</v>
      </c>
      <c r="N38" s="460"/>
      <c r="O38" s="370"/>
      <c r="P38" s="459">
        <v>0</v>
      </c>
      <c r="Q38" s="1016">
        <v>0</v>
      </c>
      <c r="R38" s="466">
        <v>0.26</v>
      </c>
      <c r="S38" s="445"/>
      <c r="T38" s="445"/>
      <c r="U38" s="445"/>
    </row>
    <row r="39" spans="2:29" ht="13.8">
      <c r="B39" s="445"/>
      <c r="C39" s="448" t="s">
        <v>409</v>
      </c>
      <c r="D39" s="456"/>
      <c r="E39" s="1019">
        <v>1</v>
      </c>
      <c r="F39" s="1019"/>
      <c r="G39" s="1018">
        <v>72.5</v>
      </c>
      <c r="H39" s="953">
        <v>0.05</v>
      </c>
      <c r="I39" s="1017"/>
      <c r="J39" s="465">
        <v>0.94899999999999995</v>
      </c>
      <c r="K39" s="459">
        <v>0.26</v>
      </c>
      <c r="L39" s="467">
        <v>2.6999999999999999E-5</v>
      </c>
      <c r="M39" s="468">
        <v>3.7499999999999999E-2</v>
      </c>
      <c r="N39" s="460"/>
      <c r="O39" s="370"/>
      <c r="P39" s="459">
        <v>0</v>
      </c>
      <c r="Q39" s="1016">
        <v>0</v>
      </c>
      <c r="R39" s="466">
        <v>0.26</v>
      </c>
      <c r="S39" s="445"/>
      <c r="T39" s="445"/>
      <c r="U39" s="445"/>
    </row>
    <row r="40" spans="2:29" ht="13.8">
      <c r="B40" s="445"/>
      <c r="C40" s="448" t="s">
        <v>410</v>
      </c>
      <c r="D40" s="456"/>
      <c r="E40" s="1019">
        <v>26.5</v>
      </c>
      <c r="F40" s="1019">
        <v>20.2</v>
      </c>
      <c r="G40" s="1018">
        <v>20.2</v>
      </c>
      <c r="H40" s="953">
        <v>2.36</v>
      </c>
      <c r="I40" s="1017"/>
      <c r="J40" s="465">
        <v>0.91800000000000004</v>
      </c>
      <c r="K40" s="459">
        <v>15.32</v>
      </c>
      <c r="L40" s="467">
        <v>4.5000000000000003E-5</v>
      </c>
      <c r="M40" s="468">
        <v>6.2100000000000002E-2</v>
      </c>
      <c r="N40" s="460"/>
      <c r="O40" s="1020"/>
      <c r="P40" s="459">
        <v>0</v>
      </c>
      <c r="Q40" s="1016">
        <v>0</v>
      </c>
      <c r="R40" s="466">
        <v>15.32</v>
      </c>
      <c r="S40" s="445"/>
      <c r="T40" s="445"/>
      <c r="U40" s="445"/>
    </row>
    <row r="41" spans="2:29" ht="13.8">
      <c r="B41" s="445"/>
      <c r="C41" s="448" t="s">
        <v>411</v>
      </c>
      <c r="D41" s="456"/>
      <c r="E41" s="1019">
        <v>43</v>
      </c>
      <c r="F41" s="1019">
        <v>102.2</v>
      </c>
      <c r="G41" s="1018">
        <v>102.2</v>
      </c>
      <c r="H41" s="953">
        <v>9.08</v>
      </c>
      <c r="I41" s="1017"/>
      <c r="J41" s="465">
        <v>0.82599999999999996</v>
      </c>
      <c r="K41" s="459">
        <v>22.6</v>
      </c>
      <c r="L41" s="467">
        <v>1.06E-4</v>
      </c>
      <c r="M41" s="468">
        <v>0.14729999999999999</v>
      </c>
      <c r="N41" s="460"/>
      <c r="O41" s="1020"/>
      <c r="P41" s="459">
        <v>0</v>
      </c>
      <c r="Q41" s="1016">
        <v>0</v>
      </c>
      <c r="R41" s="466">
        <v>22.6</v>
      </c>
      <c r="S41" s="445"/>
      <c r="T41" s="445"/>
      <c r="U41" s="445"/>
    </row>
    <row r="42" spans="2:29" ht="13.8">
      <c r="B42" s="445"/>
      <c r="C42" s="448" t="s">
        <v>412</v>
      </c>
      <c r="D42" s="456"/>
      <c r="E42" s="1019">
        <v>0.6</v>
      </c>
      <c r="F42" s="1019">
        <v>47.2</v>
      </c>
      <c r="G42" s="1018">
        <v>47.2</v>
      </c>
      <c r="H42" s="953">
        <v>0</v>
      </c>
      <c r="I42" s="1017"/>
      <c r="J42" s="465">
        <v>1</v>
      </c>
      <c r="K42" s="459">
        <v>3.53</v>
      </c>
      <c r="L42" s="467">
        <v>0</v>
      </c>
      <c r="M42" s="468">
        <v>0</v>
      </c>
      <c r="N42" s="460"/>
      <c r="O42" s="1020"/>
      <c r="P42" s="459">
        <v>0</v>
      </c>
      <c r="Q42" s="1016">
        <v>0</v>
      </c>
      <c r="R42" s="466">
        <v>3.53</v>
      </c>
      <c r="S42" s="445"/>
      <c r="T42" s="445"/>
      <c r="U42" s="445"/>
    </row>
    <row r="43" spans="2:29" ht="13.8">
      <c r="B43" s="445"/>
      <c r="C43" s="448" t="s">
        <v>413</v>
      </c>
      <c r="D43" s="456"/>
      <c r="E43" s="1019">
        <v>26.8</v>
      </c>
      <c r="F43" s="1019">
        <v>207.6</v>
      </c>
      <c r="G43" s="1018">
        <v>207.6</v>
      </c>
      <c r="H43" s="953">
        <v>4.7699999999999996</v>
      </c>
      <c r="I43" s="1017"/>
      <c r="J43" s="465">
        <v>0.84899999999999998</v>
      </c>
      <c r="K43" s="459">
        <v>24.16</v>
      </c>
      <c r="L43" s="467">
        <v>7.7000000000000001E-5</v>
      </c>
      <c r="M43" s="468">
        <v>9.7999999999999997E-3</v>
      </c>
      <c r="N43" s="460"/>
      <c r="O43" s="370"/>
      <c r="P43" s="459">
        <v>0</v>
      </c>
      <c r="Q43" s="1016">
        <v>0</v>
      </c>
      <c r="R43" s="466">
        <v>24.16</v>
      </c>
      <c r="S43" s="445"/>
      <c r="T43" s="445"/>
      <c r="U43" s="445"/>
    </row>
    <row r="44" spans="2:29" ht="13.8">
      <c r="B44" s="445"/>
      <c r="C44" s="272" t="s">
        <v>414</v>
      </c>
      <c r="D44" s="320"/>
      <c r="E44" s="1015">
        <v>37</v>
      </c>
      <c r="F44" s="1015">
        <v>162.9</v>
      </c>
      <c r="G44" s="1014">
        <v>162.9</v>
      </c>
      <c r="H44" s="1013">
        <v>11.14</v>
      </c>
      <c r="I44" s="1012"/>
      <c r="J44" s="1011">
        <v>0.76900000000000002</v>
      </c>
      <c r="K44" s="324">
        <v>67.930000000000007</v>
      </c>
      <c r="L44" s="378">
        <v>1.5100000000000001E-4</v>
      </c>
      <c r="M44" s="381">
        <v>0.21010000000000001</v>
      </c>
      <c r="N44" s="325"/>
      <c r="O44" s="371"/>
      <c r="P44" s="324">
        <v>0</v>
      </c>
      <c r="Q44" s="1010">
        <v>0</v>
      </c>
      <c r="R44" s="375">
        <v>67.930000000000007</v>
      </c>
      <c r="S44" s="445"/>
      <c r="T44" s="445"/>
      <c r="U44" s="445"/>
    </row>
    <row r="45" spans="2:29">
      <c r="B45" s="445"/>
      <c r="C45" s="445" t="s">
        <v>636</v>
      </c>
      <c r="D45" s="263"/>
      <c r="E45" s="445"/>
      <c r="F45" s="445"/>
      <c r="G45" s="445"/>
      <c r="H45" s="445"/>
      <c r="I45" s="445"/>
      <c r="J45" s="445"/>
      <c r="K45" s="445"/>
      <c r="L45" s="445"/>
      <c r="M45" s="445"/>
      <c r="N45" s="445"/>
      <c r="O45" s="445"/>
      <c r="P45" s="445"/>
      <c r="Q45" s="445"/>
      <c r="R45" s="445"/>
      <c r="S45" s="445"/>
      <c r="T45" s="445"/>
      <c r="U45" s="445"/>
    </row>
    <row r="46" spans="2:29" ht="13.8">
      <c r="B46" s="1009"/>
      <c r="C46" s="1009"/>
      <c r="D46" s="1009"/>
      <c r="E46" s="1009"/>
      <c r="F46" s="1009"/>
      <c r="G46" s="1009"/>
      <c r="H46" s="1009"/>
      <c r="I46" s="1009"/>
      <c r="J46" s="1009"/>
      <c r="K46" s="1009"/>
      <c r="L46" s="1009"/>
      <c r="M46" s="1009"/>
      <c r="N46" s="1009"/>
      <c r="O46" s="1009"/>
      <c r="P46" s="1009"/>
      <c r="Q46" s="1009"/>
      <c r="R46" s="1009"/>
      <c r="S46" s="1009"/>
      <c r="T46" s="1009"/>
      <c r="U46" s="1009"/>
    </row>
    <row r="47" spans="2:29" ht="15.6">
      <c r="B47" s="253" t="s">
        <v>416</v>
      </c>
      <c r="C47" s="253"/>
      <c r="D47" s="253"/>
      <c r="E47" s="253"/>
      <c r="F47" s="253"/>
      <c r="G47" s="253"/>
      <c r="H47" s="253"/>
      <c r="I47" s="253"/>
      <c r="J47" s="253"/>
      <c r="K47" s="253"/>
      <c r="L47" s="253"/>
      <c r="M47" s="253"/>
      <c r="N47" s="253"/>
      <c r="O47" s="253"/>
      <c r="P47" s="253"/>
      <c r="Q47" s="253"/>
      <c r="R47" s="253"/>
      <c r="S47" s="253"/>
      <c r="T47" s="253"/>
      <c r="U47" s="253"/>
    </row>
    <row r="48" spans="2:29" ht="13.8">
      <c r="B48" s="1009"/>
      <c r="C48" s="1009"/>
      <c r="D48" s="1009"/>
      <c r="E48" s="1009"/>
      <c r="F48" s="1009"/>
      <c r="G48" s="1009"/>
      <c r="H48" s="1009"/>
      <c r="I48" s="1009"/>
      <c r="J48" s="1009"/>
      <c r="K48" s="1009"/>
      <c r="L48" s="1009"/>
      <c r="M48" s="1009"/>
      <c r="N48" s="1009"/>
      <c r="O48" s="1009"/>
      <c r="P48" s="1009"/>
      <c r="Q48" s="1009"/>
      <c r="R48" s="1009"/>
      <c r="S48" s="1009"/>
      <c r="T48" s="1009"/>
      <c r="U48" s="1009"/>
    </row>
    <row r="49" spans="2:21" ht="13.8">
      <c r="B49" s="975"/>
      <c r="C49" s="975"/>
      <c r="D49" s="975"/>
      <c r="E49" s="975"/>
      <c r="F49" s="975"/>
      <c r="G49" s="975"/>
      <c r="H49" s="975"/>
      <c r="I49" s="975"/>
      <c r="J49" s="975"/>
      <c r="K49" s="975"/>
      <c r="L49" s="975"/>
      <c r="M49" s="975"/>
      <c r="N49" s="975"/>
      <c r="O49" s="975"/>
      <c r="P49" s="975"/>
      <c r="Q49" s="975"/>
      <c r="R49" s="975"/>
      <c r="S49" s="975"/>
      <c r="T49" s="975"/>
      <c r="U49" s="975"/>
    </row>
    <row r="50" spans="2:21" ht="14.4">
      <c r="B50" s="975"/>
      <c r="C50" s="326" t="s">
        <v>417</v>
      </c>
      <c r="D50" s="975"/>
      <c r="E50" s="975"/>
      <c r="F50" s="975"/>
      <c r="G50" s="975"/>
      <c r="H50" s="975"/>
      <c r="I50" s="326" t="s">
        <v>418</v>
      </c>
      <c r="J50" s="975"/>
      <c r="K50" s="975"/>
      <c r="L50" s="975"/>
      <c r="M50" s="975"/>
      <c r="N50" s="975"/>
      <c r="O50" s="975"/>
      <c r="P50" s="975"/>
      <c r="Q50" s="975"/>
      <c r="R50" s="975"/>
      <c r="S50" s="975"/>
      <c r="T50" s="975"/>
      <c r="U50" s="975"/>
    </row>
    <row r="51" spans="2:21" ht="13.8">
      <c r="C51" s="987" t="s">
        <v>419</v>
      </c>
      <c r="D51" s="987" t="s">
        <v>6</v>
      </c>
      <c r="E51" s="988" t="s">
        <v>637</v>
      </c>
      <c r="F51" s="988" t="s">
        <v>420</v>
      </c>
      <c r="G51" s="988" t="s">
        <v>421</v>
      </c>
      <c r="H51" s="975"/>
      <c r="I51" s="971"/>
      <c r="J51" s="1008" t="s">
        <v>422</v>
      </c>
      <c r="K51" s="1007" t="s">
        <v>423</v>
      </c>
      <c r="L51" s="975"/>
      <c r="M51" s="975"/>
    </row>
    <row r="52" spans="2:21" ht="13.8">
      <c r="C52" s="971" t="s">
        <v>401</v>
      </c>
      <c r="D52" s="971" t="s">
        <v>380</v>
      </c>
      <c r="E52" s="1001">
        <v>5.0000000000000002E-5</v>
      </c>
      <c r="F52" s="981">
        <v>7.0000000000000007E-2</v>
      </c>
      <c r="G52" s="990" t="s">
        <v>424</v>
      </c>
      <c r="H52" s="975"/>
      <c r="I52" s="1006" t="s">
        <v>424</v>
      </c>
      <c r="J52" s="1005">
        <v>0.5</v>
      </c>
      <c r="K52" s="1004">
        <v>697.7</v>
      </c>
      <c r="L52" s="975"/>
      <c r="M52" s="985"/>
    </row>
    <row r="53" spans="2:21" ht="13.8">
      <c r="C53" s="971" t="s">
        <v>402</v>
      </c>
      <c r="D53" s="971" t="s">
        <v>380</v>
      </c>
      <c r="E53" s="1001">
        <v>5.0000000000000002E-5</v>
      </c>
      <c r="F53" s="981">
        <v>7.0000000000000007E-2</v>
      </c>
      <c r="G53" s="990" t="s">
        <v>424</v>
      </c>
      <c r="H53" s="975"/>
      <c r="I53" s="1003" t="s">
        <v>405</v>
      </c>
      <c r="J53" s="331">
        <v>0.43</v>
      </c>
      <c r="K53" s="459">
        <v>55</v>
      </c>
      <c r="L53" s="975"/>
      <c r="M53" s="985"/>
    </row>
    <row r="54" spans="2:21" ht="13.8">
      <c r="C54" s="971" t="s">
        <v>403</v>
      </c>
      <c r="D54" s="971" t="s">
        <v>380</v>
      </c>
      <c r="E54" s="1001">
        <v>2.0000000000000002E-5</v>
      </c>
      <c r="F54" s="981">
        <v>0.03</v>
      </c>
      <c r="G54" s="990" t="s">
        <v>424</v>
      </c>
      <c r="H54" s="975"/>
      <c r="I54" s="1002" t="s">
        <v>425</v>
      </c>
      <c r="J54" s="332">
        <v>0.5</v>
      </c>
      <c r="K54" s="324">
        <v>697.7</v>
      </c>
      <c r="L54" s="975"/>
      <c r="M54" s="985"/>
    </row>
    <row r="55" spans="2:21" ht="13.8">
      <c r="C55" s="971" t="s">
        <v>404</v>
      </c>
      <c r="D55" s="971" t="s">
        <v>380</v>
      </c>
      <c r="E55" s="1001">
        <v>1.2E-4</v>
      </c>
      <c r="F55" s="981">
        <v>0.16</v>
      </c>
      <c r="G55" s="990" t="s">
        <v>424</v>
      </c>
      <c r="H55" s="975"/>
      <c r="I55" s="975"/>
      <c r="J55" s="975"/>
      <c r="K55" s="975"/>
      <c r="L55" s="975"/>
      <c r="M55" s="985"/>
    </row>
    <row r="56" spans="2:21" ht="13.8">
      <c r="C56" s="971" t="s">
        <v>426</v>
      </c>
      <c r="D56" s="971" t="s">
        <v>380</v>
      </c>
      <c r="E56" s="1001"/>
      <c r="F56" s="981"/>
      <c r="G56" s="990"/>
      <c r="H56" s="975"/>
      <c r="I56" s="975"/>
      <c r="J56" s="975"/>
      <c r="K56" s="975"/>
      <c r="L56" s="975"/>
      <c r="M56" s="985"/>
    </row>
    <row r="57" spans="2:21" ht="13.8">
      <c r="C57" s="971" t="s">
        <v>635</v>
      </c>
      <c r="D57" s="971" t="s">
        <v>380</v>
      </c>
      <c r="E57" s="1001"/>
      <c r="F57" s="981"/>
      <c r="G57" s="990"/>
      <c r="H57" s="975"/>
      <c r="I57" s="975"/>
      <c r="J57" s="975"/>
      <c r="K57" s="975"/>
      <c r="L57" s="975"/>
      <c r="M57" s="985"/>
    </row>
    <row r="58" spans="2:21" ht="13.8">
      <c r="C58" s="971" t="s">
        <v>405</v>
      </c>
      <c r="D58" s="971" t="s">
        <v>380</v>
      </c>
      <c r="E58" s="1001">
        <v>6.9999999999999994E-5</v>
      </c>
      <c r="F58" s="981">
        <v>0.01</v>
      </c>
      <c r="G58" s="990" t="s">
        <v>405</v>
      </c>
      <c r="H58" s="975"/>
      <c r="I58" s="975"/>
      <c r="J58" s="975"/>
      <c r="K58" s="975"/>
      <c r="L58" s="975"/>
      <c r="M58" s="985"/>
    </row>
    <row r="59" spans="2:21" ht="13.8">
      <c r="C59" s="971" t="s">
        <v>406</v>
      </c>
      <c r="D59" s="971" t="s">
        <v>380</v>
      </c>
      <c r="E59" s="1001">
        <v>2.0000000000000002E-5</v>
      </c>
      <c r="F59" s="981">
        <v>0.03</v>
      </c>
      <c r="G59" s="990" t="s">
        <v>424</v>
      </c>
      <c r="H59" s="975"/>
      <c r="I59" s="975"/>
      <c r="J59" s="975"/>
      <c r="K59" s="975"/>
      <c r="L59" s="975"/>
      <c r="M59" s="985"/>
    </row>
    <row r="60" spans="2:21" ht="13.8">
      <c r="C60" s="971" t="s">
        <v>407</v>
      </c>
      <c r="D60" s="971" t="s">
        <v>380</v>
      </c>
      <c r="E60" s="1001">
        <v>2.0000000000000002E-5</v>
      </c>
      <c r="F60" s="981">
        <v>0.03</v>
      </c>
      <c r="G60" s="990" t="s">
        <v>424</v>
      </c>
      <c r="H60" s="975"/>
      <c r="I60" s="975"/>
      <c r="J60" s="975"/>
      <c r="K60" s="975"/>
      <c r="L60" s="975"/>
      <c r="M60" s="985"/>
    </row>
    <row r="61" spans="2:21" ht="13.8">
      <c r="C61" s="971" t="s">
        <v>408</v>
      </c>
      <c r="D61" s="971" t="s">
        <v>380</v>
      </c>
      <c r="E61" s="1001">
        <v>3.0000000000000001E-5</v>
      </c>
      <c r="F61" s="981">
        <v>0.04</v>
      </c>
      <c r="G61" s="990" t="s">
        <v>424</v>
      </c>
      <c r="H61" s="975"/>
      <c r="I61" s="975"/>
      <c r="J61" s="975"/>
      <c r="K61" s="975"/>
      <c r="L61" s="975"/>
      <c r="M61" s="985"/>
    </row>
    <row r="62" spans="2:21" ht="13.8">
      <c r="C62" s="971" t="s">
        <v>409</v>
      </c>
      <c r="D62" s="971" t="s">
        <v>380</v>
      </c>
      <c r="E62" s="1001">
        <v>3.0000000000000001E-5</v>
      </c>
      <c r="F62" s="981">
        <v>0.04</v>
      </c>
      <c r="G62" s="990" t="s">
        <v>424</v>
      </c>
      <c r="H62" s="975"/>
      <c r="I62" s="975"/>
      <c r="J62" s="975"/>
      <c r="K62" s="975"/>
      <c r="L62" s="975"/>
      <c r="M62" s="985"/>
    </row>
    <row r="63" spans="2:21" ht="13.8">
      <c r="C63" s="971" t="s">
        <v>410</v>
      </c>
      <c r="D63" s="971" t="s">
        <v>380</v>
      </c>
      <c r="E63" s="1001">
        <v>4.0000000000000003E-5</v>
      </c>
      <c r="F63" s="981">
        <v>0.06</v>
      </c>
      <c r="G63" s="990" t="s">
        <v>424</v>
      </c>
      <c r="H63" s="975"/>
      <c r="I63" s="975"/>
      <c r="J63" s="975"/>
      <c r="K63" s="975"/>
      <c r="L63" s="975"/>
      <c r="M63" s="985"/>
    </row>
    <row r="64" spans="2:21" ht="13.8">
      <c r="C64" s="971" t="s">
        <v>411</v>
      </c>
      <c r="D64" s="971" t="s">
        <v>380</v>
      </c>
      <c r="E64" s="1001">
        <v>1.1E-4</v>
      </c>
      <c r="F64" s="981">
        <v>0.15</v>
      </c>
      <c r="G64" s="990" t="s">
        <v>425</v>
      </c>
      <c r="H64" s="975"/>
      <c r="I64" s="975"/>
      <c r="J64" s="975"/>
      <c r="K64" s="975"/>
      <c r="L64" s="975"/>
      <c r="M64" s="985"/>
    </row>
    <row r="65" spans="3:13" ht="13.8">
      <c r="C65" s="971" t="s">
        <v>412</v>
      </c>
      <c r="D65" s="971" t="s">
        <v>380</v>
      </c>
      <c r="E65" s="1001">
        <v>0</v>
      </c>
      <c r="F65" s="981">
        <v>0</v>
      </c>
      <c r="G65" s="990" t="s">
        <v>424</v>
      </c>
      <c r="H65" s="975"/>
      <c r="I65" s="975"/>
      <c r="J65" s="975"/>
      <c r="K65" s="975"/>
      <c r="L65" s="975"/>
      <c r="M65" s="985"/>
    </row>
    <row r="66" spans="3:13" ht="13.8">
      <c r="C66" s="971" t="s">
        <v>413</v>
      </c>
      <c r="D66" s="971" t="s">
        <v>380</v>
      </c>
      <c r="E66" s="1001">
        <v>8.0000000000000007E-5</v>
      </c>
      <c r="F66" s="981">
        <v>0.01</v>
      </c>
      <c r="G66" s="990" t="s">
        <v>405</v>
      </c>
      <c r="H66" s="975"/>
      <c r="I66" s="975"/>
      <c r="J66" s="975"/>
      <c r="K66" s="975"/>
      <c r="L66" s="975"/>
      <c r="M66" s="985"/>
    </row>
    <row r="67" spans="3:13" ht="13.8">
      <c r="C67" s="971" t="s">
        <v>414</v>
      </c>
      <c r="D67" s="971" t="s">
        <v>380</v>
      </c>
      <c r="E67" s="1001">
        <v>1.4999999999999999E-4</v>
      </c>
      <c r="F67" s="981">
        <v>0.21</v>
      </c>
      <c r="G67" s="990" t="s">
        <v>424</v>
      </c>
      <c r="H67" s="975"/>
      <c r="I67" s="975"/>
      <c r="J67" s="975"/>
      <c r="K67" s="975"/>
      <c r="L67" s="975"/>
      <c r="M67" s="985"/>
    </row>
    <row r="68" spans="3:13" ht="13.8">
      <c r="C68" s="975"/>
      <c r="D68" s="975"/>
      <c r="E68" s="975"/>
      <c r="F68" s="975"/>
      <c r="G68" s="975"/>
      <c r="H68" s="975"/>
      <c r="I68" s="975"/>
      <c r="J68" s="975"/>
      <c r="K68" s="975"/>
    </row>
    <row r="69" spans="3:13" ht="14.4">
      <c r="C69" s="326" t="s">
        <v>427</v>
      </c>
      <c r="D69" s="975"/>
      <c r="E69" s="975"/>
      <c r="F69" s="975"/>
      <c r="G69" s="975"/>
      <c r="H69" s="975"/>
      <c r="I69" s="975"/>
      <c r="J69" s="975"/>
      <c r="K69" s="975"/>
    </row>
    <row r="70" spans="3:13" ht="13.8">
      <c r="C70" s="987" t="s">
        <v>419</v>
      </c>
      <c r="D70" s="987" t="s">
        <v>6</v>
      </c>
      <c r="E70" s="987" t="s">
        <v>428</v>
      </c>
      <c r="F70" s="987">
        <v>2015</v>
      </c>
      <c r="G70" s="987">
        <v>2020</v>
      </c>
      <c r="H70" s="987">
        <v>2035</v>
      </c>
      <c r="I70" s="987">
        <v>2050</v>
      </c>
      <c r="J70" s="987" t="s">
        <v>429</v>
      </c>
      <c r="K70" s="987" t="s">
        <v>319</v>
      </c>
    </row>
    <row r="71" spans="3:13" ht="13.8">
      <c r="C71" s="971" t="s">
        <v>401</v>
      </c>
      <c r="D71" s="971" t="s">
        <v>430</v>
      </c>
      <c r="E71" s="981">
        <v>1.8</v>
      </c>
      <c r="F71" s="990">
        <v>1.8</v>
      </c>
      <c r="G71" s="990">
        <v>1.8</v>
      </c>
      <c r="H71" s="990">
        <v>1.8</v>
      </c>
      <c r="I71" s="990">
        <v>1.8</v>
      </c>
      <c r="J71" s="971"/>
      <c r="K71" s="978" t="s">
        <v>431</v>
      </c>
    </row>
    <row r="72" spans="3:13" ht="13.8">
      <c r="C72" s="971" t="s">
        <v>402</v>
      </c>
      <c r="D72" s="971" t="s">
        <v>430</v>
      </c>
      <c r="E72" s="981">
        <v>1.8</v>
      </c>
      <c r="F72" s="1000">
        <v>1.8</v>
      </c>
      <c r="G72" s="1000">
        <v>1.8</v>
      </c>
      <c r="H72" s="1000">
        <v>1.8</v>
      </c>
      <c r="I72" s="1000">
        <v>1.8</v>
      </c>
      <c r="J72" s="996" t="s">
        <v>432</v>
      </c>
      <c r="K72" s="999" t="s">
        <v>433</v>
      </c>
    </row>
    <row r="73" spans="3:13" ht="13.8">
      <c r="C73" s="971" t="s">
        <v>403</v>
      </c>
      <c r="D73" s="971" t="s">
        <v>430</v>
      </c>
      <c r="E73" s="981">
        <v>0.53</v>
      </c>
      <c r="F73" s="990">
        <v>0.53</v>
      </c>
      <c r="G73" s="990">
        <v>0.53</v>
      </c>
      <c r="H73" s="990">
        <v>0.53</v>
      </c>
      <c r="I73" s="990">
        <v>0.53</v>
      </c>
      <c r="J73" s="971"/>
      <c r="K73" s="978" t="s">
        <v>638</v>
      </c>
    </row>
    <row r="74" spans="3:13" ht="13.8">
      <c r="C74" s="971" t="s">
        <v>404</v>
      </c>
      <c r="D74" s="971" t="s">
        <v>430</v>
      </c>
      <c r="E74" s="981">
        <v>6.23</v>
      </c>
      <c r="F74" s="994">
        <v>6.23</v>
      </c>
      <c r="G74" s="994">
        <v>6.23</v>
      </c>
      <c r="H74" s="994">
        <v>6.23</v>
      </c>
      <c r="I74" s="994">
        <v>6.23</v>
      </c>
      <c r="J74" s="971"/>
      <c r="K74" s="978" t="s">
        <v>638</v>
      </c>
    </row>
    <row r="75" spans="3:13" ht="13.8">
      <c r="C75" s="971" t="s">
        <v>426</v>
      </c>
      <c r="D75" s="971"/>
      <c r="E75" s="981"/>
      <c r="F75" s="994"/>
      <c r="G75" s="994"/>
      <c r="H75" s="994"/>
      <c r="I75" s="994"/>
      <c r="J75" s="971"/>
      <c r="K75" s="978"/>
    </row>
    <row r="76" spans="3:13" ht="13.8">
      <c r="C76" s="971" t="s">
        <v>635</v>
      </c>
      <c r="D76" s="971" t="s">
        <v>430</v>
      </c>
      <c r="E76" s="981">
        <v>9.67</v>
      </c>
      <c r="F76" s="994">
        <v>9.67</v>
      </c>
      <c r="G76" s="994">
        <v>9.67</v>
      </c>
      <c r="H76" s="994">
        <v>9.67</v>
      </c>
      <c r="I76" s="994">
        <v>9.67</v>
      </c>
      <c r="J76" s="971" t="s">
        <v>639</v>
      </c>
      <c r="K76" s="978" t="s">
        <v>638</v>
      </c>
    </row>
    <row r="77" spans="3:13" ht="13.8">
      <c r="C77" s="971" t="s">
        <v>405</v>
      </c>
      <c r="D77" s="971" t="s">
        <v>435</v>
      </c>
      <c r="E77" s="981">
        <v>6.71</v>
      </c>
      <c r="F77" s="990">
        <v>6.71</v>
      </c>
      <c r="G77" s="990">
        <v>6.71</v>
      </c>
      <c r="H77" s="990">
        <v>6.71</v>
      </c>
      <c r="I77" s="990">
        <v>6.71</v>
      </c>
      <c r="J77" s="971" t="s">
        <v>640</v>
      </c>
      <c r="K77" s="978" t="s">
        <v>638</v>
      </c>
    </row>
    <row r="78" spans="3:13" ht="13.8">
      <c r="C78" s="971" t="s">
        <v>406</v>
      </c>
      <c r="D78" s="971" t="s">
        <v>430</v>
      </c>
      <c r="E78" s="981">
        <v>0.67</v>
      </c>
      <c r="F78" s="994">
        <v>0.67</v>
      </c>
      <c r="G78" s="994">
        <v>0.67</v>
      </c>
      <c r="H78" s="994">
        <v>0.67</v>
      </c>
      <c r="I78" s="994">
        <v>0.67</v>
      </c>
      <c r="J78" s="971" t="s">
        <v>436</v>
      </c>
      <c r="K78" s="978" t="s">
        <v>431</v>
      </c>
    </row>
    <row r="79" spans="3:13" ht="13.8">
      <c r="C79" s="971" t="s">
        <v>407</v>
      </c>
      <c r="D79" s="971" t="s">
        <v>430</v>
      </c>
      <c r="E79" s="981">
        <v>0.67</v>
      </c>
      <c r="F79" s="995">
        <v>0.67</v>
      </c>
      <c r="G79" s="995">
        <v>0.67</v>
      </c>
      <c r="H79" s="995">
        <v>0.67</v>
      </c>
      <c r="I79" s="995">
        <v>0.67</v>
      </c>
      <c r="J79" s="984" t="s">
        <v>437</v>
      </c>
      <c r="K79" s="986"/>
    </row>
    <row r="80" spans="3:13" ht="13.8">
      <c r="C80" s="971" t="s">
        <v>408</v>
      </c>
      <c r="D80" s="971" t="s">
        <v>438</v>
      </c>
      <c r="E80" s="981">
        <v>0.05</v>
      </c>
      <c r="F80" s="990">
        <v>0.05</v>
      </c>
      <c r="G80" s="990">
        <v>0.05</v>
      </c>
      <c r="H80" s="990">
        <v>0.05</v>
      </c>
      <c r="I80" s="990">
        <v>0.05</v>
      </c>
      <c r="J80" s="991"/>
      <c r="K80" s="979" t="s">
        <v>641</v>
      </c>
    </row>
    <row r="81" spans="3:23" ht="13.8">
      <c r="C81" s="971" t="s">
        <v>409</v>
      </c>
      <c r="D81" s="971" t="s">
        <v>438</v>
      </c>
      <c r="E81" s="981">
        <v>0.05</v>
      </c>
      <c r="F81" s="990">
        <v>0.05</v>
      </c>
      <c r="G81" s="990">
        <v>0.05</v>
      </c>
      <c r="H81" s="990">
        <v>0.05</v>
      </c>
      <c r="I81" s="990">
        <v>0.05</v>
      </c>
      <c r="J81" s="991"/>
      <c r="K81" s="979" t="s">
        <v>641</v>
      </c>
    </row>
    <row r="82" spans="3:23" ht="13.8">
      <c r="C82" s="971" t="s">
        <v>410</v>
      </c>
      <c r="D82" s="971" t="s">
        <v>430</v>
      </c>
      <c r="E82" s="981">
        <v>2.36</v>
      </c>
      <c r="F82" s="994">
        <v>2.36</v>
      </c>
      <c r="G82" s="994">
        <v>2.36</v>
      </c>
      <c r="H82" s="994">
        <v>2.36</v>
      </c>
      <c r="I82" s="994">
        <v>2.36</v>
      </c>
      <c r="J82" s="971"/>
      <c r="K82" s="979" t="s">
        <v>642</v>
      </c>
    </row>
    <row r="83" spans="3:23" ht="13.8">
      <c r="C83" s="971" t="s">
        <v>411</v>
      </c>
      <c r="D83" s="971" t="s">
        <v>430</v>
      </c>
      <c r="E83" s="981">
        <v>9.08</v>
      </c>
      <c r="F83" s="994">
        <v>9.08</v>
      </c>
      <c r="G83" s="994">
        <v>9.18</v>
      </c>
      <c r="H83" s="994">
        <v>8.8699999999999992</v>
      </c>
      <c r="I83" s="994">
        <v>8.26</v>
      </c>
      <c r="J83" s="971"/>
      <c r="K83" s="978"/>
    </row>
    <row r="84" spans="3:23" ht="13.8">
      <c r="C84" s="971" t="s">
        <v>412</v>
      </c>
      <c r="D84" s="971" t="s">
        <v>430</v>
      </c>
      <c r="E84" s="981">
        <v>0</v>
      </c>
      <c r="F84" s="998"/>
      <c r="G84" s="998"/>
      <c r="H84" s="998"/>
      <c r="I84" s="998"/>
      <c r="J84" s="971"/>
      <c r="K84" s="978"/>
    </row>
    <row r="85" spans="3:23" ht="13.8">
      <c r="C85" s="971" t="s">
        <v>413</v>
      </c>
      <c r="D85" s="971" t="s">
        <v>430</v>
      </c>
      <c r="E85" s="981">
        <v>4.7699999999999996</v>
      </c>
      <c r="F85" s="990">
        <v>4.7699999999999996</v>
      </c>
      <c r="G85" s="990">
        <v>4.7699999999999996</v>
      </c>
      <c r="H85" s="990">
        <v>4.7699999999999996</v>
      </c>
      <c r="I85" s="990">
        <v>4.7699999999999996</v>
      </c>
      <c r="J85" s="971" t="s">
        <v>439</v>
      </c>
      <c r="K85" s="979" t="s">
        <v>431</v>
      </c>
      <c r="L85" s="975"/>
      <c r="M85" s="975"/>
      <c r="N85" s="975"/>
      <c r="O85" s="975"/>
      <c r="P85" s="975"/>
      <c r="Q85" s="975"/>
      <c r="R85" s="975"/>
      <c r="S85" s="975"/>
      <c r="T85" s="975"/>
      <c r="U85" s="975"/>
      <c r="V85" s="975"/>
      <c r="W85" s="975"/>
    </row>
    <row r="86" spans="3:23" ht="13.8">
      <c r="C86" s="971" t="s">
        <v>414</v>
      </c>
      <c r="D86" s="971" t="s">
        <v>430</v>
      </c>
      <c r="E86" s="981">
        <v>11.14</v>
      </c>
      <c r="F86" s="990">
        <v>11.14</v>
      </c>
      <c r="G86" s="990">
        <v>11.14</v>
      </c>
      <c r="H86" s="990">
        <v>11.14</v>
      </c>
      <c r="I86" s="990">
        <v>11.14</v>
      </c>
      <c r="J86" s="971" t="s">
        <v>440</v>
      </c>
      <c r="K86" s="979" t="s">
        <v>431</v>
      </c>
      <c r="L86" s="975"/>
      <c r="M86" s="975"/>
      <c r="N86" s="975"/>
      <c r="O86" s="975"/>
      <c r="P86" s="975"/>
      <c r="Q86" s="975"/>
      <c r="R86" s="975"/>
      <c r="S86" s="975"/>
      <c r="T86" s="975"/>
      <c r="U86" s="975"/>
      <c r="V86" s="975"/>
      <c r="W86" s="975"/>
    </row>
    <row r="87" spans="3:23" ht="13.8">
      <c r="C87" s="975"/>
      <c r="D87" s="975"/>
      <c r="E87" s="975"/>
      <c r="F87" s="975"/>
      <c r="G87" s="975"/>
      <c r="H87" s="975"/>
      <c r="I87" s="975"/>
      <c r="J87" s="975"/>
      <c r="K87" s="975"/>
      <c r="L87" s="975"/>
      <c r="M87" s="975"/>
      <c r="N87" s="975"/>
      <c r="O87" s="975"/>
      <c r="P87" s="975"/>
      <c r="Q87" s="975"/>
      <c r="R87" s="975"/>
      <c r="S87" s="975"/>
      <c r="T87" s="975"/>
      <c r="U87" s="975"/>
      <c r="V87" s="975"/>
      <c r="W87" s="975"/>
    </row>
    <row r="88" spans="3:23" ht="14.4">
      <c r="C88" s="326" t="s">
        <v>643</v>
      </c>
      <c r="D88" s="975"/>
      <c r="E88" s="975"/>
      <c r="F88" s="975"/>
      <c r="G88" s="975"/>
      <c r="H88" s="975"/>
      <c r="I88" s="975"/>
      <c r="J88" s="975"/>
      <c r="K88" s="975"/>
      <c r="L88" s="975"/>
      <c r="M88" s="975"/>
      <c r="N88" s="975"/>
      <c r="O88" s="975"/>
      <c r="P88" s="975"/>
      <c r="Q88" s="975"/>
      <c r="R88" s="975"/>
      <c r="S88" s="975"/>
      <c r="T88" s="975"/>
      <c r="U88" s="975"/>
      <c r="V88" s="975"/>
      <c r="W88" s="975"/>
    </row>
    <row r="89" spans="3:23" ht="13.8">
      <c r="C89" s="987" t="s">
        <v>419</v>
      </c>
      <c r="D89" s="987" t="s">
        <v>6</v>
      </c>
      <c r="E89" s="987" t="s">
        <v>428</v>
      </c>
      <c r="F89" s="987">
        <v>2015</v>
      </c>
      <c r="G89" s="987">
        <v>2020</v>
      </c>
      <c r="H89" s="987">
        <v>2035</v>
      </c>
      <c r="I89" s="987">
        <v>2050</v>
      </c>
      <c r="J89" s="987" t="s">
        <v>429</v>
      </c>
      <c r="K89" s="987" t="s">
        <v>319</v>
      </c>
      <c r="L89" s="975"/>
      <c r="M89" s="975"/>
      <c r="N89" s="975"/>
      <c r="O89" s="975"/>
      <c r="P89" s="975"/>
      <c r="Q89" s="975"/>
      <c r="R89" s="975"/>
      <c r="S89" s="975"/>
      <c r="T89" s="975"/>
      <c r="U89" s="975"/>
      <c r="V89" s="975"/>
      <c r="W89" s="975"/>
    </row>
    <row r="90" spans="3:23" ht="13.8">
      <c r="C90" s="971" t="s">
        <v>401</v>
      </c>
      <c r="D90" s="971" t="s">
        <v>380</v>
      </c>
      <c r="E90" s="981">
        <v>16.739999999999998</v>
      </c>
      <c r="F90" s="966">
        <v>17</v>
      </c>
      <c r="G90" s="966">
        <v>17</v>
      </c>
      <c r="H90" s="966">
        <v>17</v>
      </c>
      <c r="I90" s="966">
        <v>17</v>
      </c>
      <c r="J90" s="971" t="s">
        <v>434</v>
      </c>
      <c r="K90" s="978" t="s">
        <v>431</v>
      </c>
      <c r="L90" s="975"/>
      <c r="M90" s="975"/>
      <c r="N90" s="975"/>
      <c r="O90" s="975"/>
      <c r="P90" s="975"/>
      <c r="Q90" s="975"/>
      <c r="R90" s="975"/>
      <c r="S90" s="975"/>
      <c r="T90" s="975"/>
      <c r="U90" s="975"/>
      <c r="V90" s="975"/>
      <c r="W90" s="989"/>
    </row>
    <row r="91" spans="3:23" ht="13.8">
      <c r="C91" s="971" t="s">
        <v>402</v>
      </c>
      <c r="D91" s="971" t="s">
        <v>380</v>
      </c>
      <c r="E91" s="981">
        <v>9.26</v>
      </c>
      <c r="F91" s="997">
        <v>9</v>
      </c>
      <c r="G91" s="997">
        <v>9</v>
      </c>
      <c r="H91" s="997">
        <v>9</v>
      </c>
      <c r="I91" s="997">
        <v>9</v>
      </c>
      <c r="J91" s="996"/>
      <c r="K91" s="978" t="s">
        <v>431</v>
      </c>
      <c r="L91" s="975"/>
      <c r="M91" s="975"/>
      <c r="N91" s="975"/>
      <c r="O91" s="975"/>
      <c r="P91" s="975"/>
      <c r="Q91" s="975"/>
      <c r="R91" s="975"/>
      <c r="S91" s="975"/>
      <c r="T91" s="975"/>
      <c r="U91" s="975"/>
      <c r="V91" s="975"/>
      <c r="W91" s="989"/>
    </row>
    <row r="92" spans="3:23" ht="13.8">
      <c r="C92" s="971" t="s">
        <v>403</v>
      </c>
      <c r="D92" s="971" t="s">
        <v>380</v>
      </c>
      <c r="E92" s="981">
        <v>2.5099999999999998</v>
      </c>
      <c r="F92" s="990">
        <v>2.5099999999999998</v>
      </c>
      <c r="G92" s="990">
        <v>2.5099999999999998</v>
      </c>
      <c r="H92" s="990">
        <v>2.5099999999999998</v>
      </c>
      <c r="I92" s="990">
        <v>2.5099999999999998</v>
      </c>
      <c r="J92" s="971"/>
      <c r="K92" s="978" t="s">
        <v>638</v>
      </c>
      <c r="L92" s="975"/>
      <c r="M92" s="975"/>
      <c r="N92" s="975"/>
      <c r="O92" s="975"/>
      <c r="P92" s="975"/>
      <c r="Q92" s="975"/>
      <c r="R92" s="975"/>
      <c r="S92" s="975"/>
      <c r="T92" s="975"/>
      <c r="U92" s="975"/>
      <c r="V92" s="975"/>
      <c r="W92" s="989"/>
    </row>
    <row r="93" spans="3:23" ht="13.8">
      <c r="C93" s="971" t="s">
        <v>404</v>
      </c>
      <c r="D93" s="971" t="s">
        <v>380</v>
      </c>
      <c r="E93" s="981">
        <v>35.880000000000003</v>
      </c>
      <c r="F93" s="994">
        <v>35.880000000000003</v>
      </c>
      <c r="G93" s="994">
        <v>35.880000000000003</v>
      </c>
      <c r="H93" s="994">
        <v>35.880000000000003</v>
      </c>
      <c r="I93" s="994">
        <v>35.880000000000003</v>
      </c>
      <c r="J93" s="971"/>
      <c r="K93" s="978" t="s">
        <v>638</v>
      </c>
      <c r="L93" s="975"/>
      <c r="M93" s="975"/>
      <c r="N93" s="975"/>
      <c r="O93" s="975"/>
      <c r="P93" s="975"/>
      <c r="Q93" s="975"/>
      <c r="R93" s="975"/>
      <c r="S93" s="975"/>
      <c r="T93" s="975"/>
      <c r="U93" s="975"/>
      <c r="V93" s="975"/>
      <c r="W93" s="989"/>
    </row>
    <row r="94" spans="3:23" ht="13.8">
      <c r="C94" s="971" t="s">
        <v>426</v>
      </c>
      <c r="D94" s="971"/>
      <c r="E94" s="981"/>
      <c r="F94" s="994"/>
      <c r="G94" s="994"/>
      <c r="H94" s="994"/>
      <c r="I94" s="994"/>
      <c r="J94" s="971"/>
      <c r="K94" s="978"/>
      <c r="L94" s="975"/>
      <c r="M94" s="975"/>
      <c r="N94" s="975"/>
      <c r="O94" s="975"/>
      <c r="P94" s="975"/>
      <c r="Q94" s="975"/>
      <c r="R94" s="975"/>
      <c r="S94" s="975"/>
      <c r="T94" s="975"/>
      <c r="U94" s="975"/>
      <c r="V94" s="975"/>
      <c r="W94" s="989"/>
    </row>
    <row r="95" spans="3:23" ht="13.8">
      <c r="C95" s="971" t="s">
        <v>635</v>
      </c>
      <c r="D95" s="971" t="s">
        <v>380</v>
      </c>
      <c r="E95" s="981">
        <v>48.61</v>
      </c>
      <c r="F95" s="994">
        <v>48.61</v>
      </c>
      <c r="G95" s="994">
        <v>48.61</v>
      </c>
      <c r="H95" s="994">
        <v>48.61</v>
      </c>
      <c r="I95" s="994">
        <v>48.61</v>
      </c>
      <c r="J95" s="971" t="s">
        <v>440</v>
      </c>
      <c r="K95" s="978" t="s">
        <v>638</v>
      </c>
      <c r="L95" s="975"/>
      <c r="M95" s="975"/>
      <c r="N95" s="975"/>
      <c r="O95" s="975"/>
      <c r="P95" s="975"/>
      <c r="Q95" s="975"/>
      <c r="R95" s="975"/>
      <c r="S95" s="975"/>
      <c r="T95" s="975"/>
      <c r="U95" s="975"/>
      <c r="V95" s="975"/>
      <c r="W95" s="989"/>
    </row>
    <row r="96" spans="3:23" ht="13.8">
      <c r="C96" s="971" t="s">
        <v>405</v>
      </c>
      <c r="D96" s="971" t="s">
        <v>380</v>
      </c>
      <c r="E96" s="981">
        <v>13</v>
      </c>
      <c r="F96" s="994">
        <v>13</v>
      </c>
      <c r="G96" s="994">
        <v>13</v>
      </c>
      <c r="H96" s="994">
        <v>13</v>
      </c>
      <c r="I96" s="994">
        <v>13</v>
      </c>
      <c r="J96" s="971" t="s">
        <v>640</v>
      </c>
      <c r="K96" s="978" t="s">
        <v>638</v>
      </c>
      <c r="L96" s="975"/>
      <c r="M96" s="975"/>
      <c r="N96" s="975"/>
      <c r="O96" s="975"/>
      <c r="P96" s="975"/>
      <c r="Q96" s="975"/>
      <c r="R96" s="975"/>
      <c r="S96" s="975"/>
      <c r="T96" s="975"/>
      <c r="U96" s="975"/>
      <c r="V96" s="975"/>
      <c r="W96" s="989"/>
    </row>
    <row r="97" spans="3:37" ht="13.8">
      <c r="C97" s="971" t="s">
        <v>406</v>
      </c>
      <c r="D97" s="971" t="s">
        <v>380</v>
      </c>
      <c r="E97" s="981">
        <v>5.4</v>
      </c>
      <c r="F97" s="994">
        <v>5.4</v>
      </c>
      <c r="G97" s="994">
        <v>5.4</v>
      </c>
      <c r="H97" s="994">
        <v>5.4</v>
      </c>
      <c r="I97" s="994">
        <v>5.4</v>
      </c>
      <c r="J97" s="971" t="s">
        <v>436</v>
      </c>
      <c r="K97" s="978" t="s">
        <v>431</v>
      </c>
      <c r="L97" s="975"/>
      <c r="M97" s="975"/>
      <c r="N97" s="975"/>
      <c r="O97" s="975"/>
      <c r="P97" s="975"/>
      <c r="Q97" s="975"/>
      <c r="R97" s="975"/>
      <c r="S97" s="975"/>
      <c r="T97" s="975"/>
      <c r="U97" s="975"/>
      <c r="V97" s="975"/>
      <c r="W97" s="989"/>
    </row>
    <row r="98" spans="3:37" ht="13.8">
      <c r="C98" s="971" t="s">
        <v>407</v>
      </c>
      <c r="D98" s="971" t="s">
        <v>380</v>
      </c>
      <c r="E98" s="981">
        <v>5.4</v>
      </c>
      <c r="F98" s="995">
        <v>5.4</v>
      </c>
      <c r="G98" s="995">
        <v>5.4</v>
      </c>
      <c r="H98" s="995">
        <v>5.4</v>
      </c>
      <c r="I98" s="995">
        <v>5.4</v>
      </c>
      <c r="J98" s="984" t="s">
        <v>441</v>
      </c>
      <c r="K98" s="986"/>
      <c r="L98" s="975"/>
      <c r="M98" s="975"/>
      <c r="N98" s="975"/>
      <c r="O98" s="975"/>
      <c r="P98" s="975"/>
      <c r="Q98" s="975"/>
      <c r="R98" s="975"/>
      <c r="S98" s="975"/>
      <c r="T98" s="975"/>
      <c r="U98" s="975"/>
      <c r="V98" s="975"/>
      <c r="W98" s="989"/>
    </row>
    <row r="99" spans="3:37" ht="13.8">
      <c r="C99" s="971" t="s">
        <v>408</v>
      </c>
      <c r="D99" s="971" t="s">
        <v>380</v>
      </c>
      <c r="E99" s="981">
        <v>0.26</v>
      </c>
      <c r="F99" s="981">
        <v>0.26</v>
      </c>
      <c r="G99" s="981">
        <v>0.23</v>
      </c>
      <c r="H99" s="981">
        <v>0.22</v>
      </c>
      <c r="I99" s="981">
        <v>0</v>
      </c>
      <c r="J99" s="991" t="s">
        <v>442</v>
      </c>
      <c r="K99" s="979" t="s">
        <v>641</v>
      </c>
      <c r="L99" s="975"/>
      <c r="M99" s="975"/>
      <c r="N99" s="975"/>
      <c r="O99" s="975"/>
      <c r="P99" s="975"/>
      <c r="Q99" s="975"/>
      <c r="R99" s="975"/>
      <c r="S99" s="975"/>
      <c r="T99" s="975"/>
      <c r="U99" s="975"/>
      <c r="V99" s="975"/>
      <c r="W99" s="989"/>
    </row>
    <row r="100" spans="3:37" ht="13.8">
      <c r="C100" s="971" t="s">
        <v>409</v>
      </c>
      <c r="D100" s="971" t="s">
        <v>380</v>
      </c>
      <c r="E100" s="981">
        <v>0.26</v>
      </c>
      <c r="F100" s="981">
        <v>0.26</v>
      </c>
      <c r="G100" s="981">
        <v>0.23</v>
      </c>
      <c r="H100" s="981">
        <v>0.22</v>
      </c>
      <c r="I100" s="981">
        <v>0</v>
      </c>
      <c r="J100" s="991" t="s">
        <v>442</v>
      </c>
      <c r="K100" s="979" t="s">
        <v>641</v>
      </c>
      <c r="L100" s="975"/>
      <c r="M100" s="975"/>
      <c r="N100" s="975"/>
      <c r="O100" s="975"/>
      <c r="P100" s="975"/>
      <c r="Q100" s="975"/>
      <c r="R100" s="975"/>
      <c r="S100" s="975"/>
      <c r="T100" s="975"/>
      <c r="U100" s="975"/>
      <c r="V100" s="975"/>
      <c r="W100" s="989"/>
    </row>
    <row r="101" spans="3:37" ht="13.8">
      <c r="C101" s="971" t="s">
        <v>410</v>
      </c>
      <c r="D101" s="971" t="s">
        <v>380</v>
      </c>
      <c r="E101" s="981">
        <v>15.32</v>
      </c>
      <c r="F101" s="994">
        <v>15.32</v>
      </c>
      <c r="G101" s="994">
        <v>15.32</v>
      </c>
      <c r="H101" s="994">
        <v>15.32</v>
      </c>
      <c r="I101" s="994">
        <v>15.32</v>
      </c>
      <c r="J101" s="971"/>
      <c r="K101" s="979" t="s">
        <v>642</v>
      </c>
      <c r="L101" s="975"/>
      <c r="M101" s="975"/>
      <c r="N101" s="975"/>
      <c r="O101" s="975"/>
      <c r="P101" s="975"/>
      <c r="Q101" s="975"/>
      <c r="R101" s="975"/>
      <c r="S101" s="975"/>
      <c r="T101" s="975"/>
      <c r="U101" s="975"/>
      <c r="V101" s="975"/>
      <c r="W101" s="989"/>
    </row>
    <row r="102" spans="3:37" ht="13.8">
      <c r="C102" s="971" t="s">
        <v>411</v>
      </c>
      <c r="D102" s="971" t="s">
        <v>380</v>
      </c>
      <c r="E102" s="981">
        <v>22.6</v>
      </c>
      <c r="F102" s="994">
        <v>22.6</v>
      </c>
      <c r="G102" s="994">
        <v>23.19</v>
      </c>
      <c r="H102" s="994">
        <v>21.56</v>
      </c>
      <c r="I102" s="994">
        <v>19.3</v>
      </c>
      <c r="J102" s="971"/>
      <c r="K102" s="978"/>
      <c r="L102" s="975"/>
      <c r="M102" s="975"/>
      <c r="N102" s="975"/>
      <c r="O102" s="975"/>
      <c r="P102" s="975"/>
      <c r="Q102" s="975"/>
      <c r="R102" s="975"/>
      <c r="S102" s="975"/>
      <c r="T102" s="975"/>
      <c r="U102" s="975"/>
      <c r="V102" s="975"/>
      <c r="W102" s="989"/>
      <c r="X102" s="975"/>
      <c r="Y102" s="975"/>
      <c r="Z102" s="975"/>
      <c r="AA102" s="975"/>
      <c r="AB102" s="975"/>
      <c r="AC102" s="975"/>
      <c r="AD102" s="975"/>
      <c r="AE102" s="975"/>
      <c r="AF102" s="975"/>
      <c r="AG102" s="975"/>
      <c r="AH102" s="975"/>
      <c r="AI102" s="975"/>
      <c r="AJ102" s="975"/>
      <c r="AK102" s="975"/>
    </row>
    <row r="103" spans="3:37" ht="13.8">
      <c r="C103" s="971" t="s">
        <v>412</v>
      </c>
      <c r="D103" s="971" t="s">
        <v>380</v>
      </c>
      <c r="E103" s="981">
        <v>3.53</v>
      </c>
      <c r="F103" s="993">
        <v>3.53</v>
      </c>
      <c r="G103" s="993">
        <v>3.53</v>
      </c>
      <c r="H103" s="993">
        <v>3.53</v>
      </c>
      <c r="I103" s="993">
        <v>3.53</v>
      </c>
      <c r="J103" s="991" t="s">
        <v>443</v>
      </c>
      <c r="K103" s="992"/>
      <c r="L103" s="975"/>
      <c r="M103" s="975"/>
      <c r="N103" s="975"/>
      <c r="O103" s="975"/>
      <c r="P103" s="975"/>
      <c r="Q103" s="975"/>
      <c r="R103" s="975"/>
      <c r="S103" s="975"/>
      <c r="T103" s="975"/>
      <c r="U103" s="975"/>
      <c r="V103" s="975"/>
      <c r="W103" s="989"/>
      <c r="X103" s="975"/>
      <c r="Y103" s="975"/>
      <c r="Z103" s="975"/>
      <c r="AA103" s="975"/>
      <c r="AB103" s="975"/>
      <c r="AC103" s="975"/>
      <c r="AD103" s="975"/>
      <c r="AE103" s="975"/>
      <c r="AF103" s="975"/>
      <c r="AG103" s="975"/>
      <c r="AH103" s="975"/>
      <c r="AI103" s="975"/>
      <c r="AJ103" s="975"/>
      <c r="AK103" s="975"/>
    </row>
    <row r="104" spans="3:37" ht="13.8">
      <c r="C104" s="971" t="s">
        <v>413</v>
      </c>
      <c r="D104" s="971" t="s">
        <v>380</v>
      </c>
      <c r="E104" s="981">
        <v>24.16</v>
      </c>
      <c r="F104" s="990">
        <v>24.16</v>
      </c>
      <c r="G104" s="990">
        <v>24.16</v>
      </c>
      <c r="H104" s="990">
        <v>24.16</v>
      </c>
      <c r="I104" s="990">
        <v>24.16</v>
      </c>
      <c r="J104" s="991" t="s">
        <v>444</v>
      </c>
      <c r="K104" s="979" t="s">
        <v>431</v>
      </c>
      <c r="L104" s="975"/>
      <c r="M104" s="975"/>
      <c r="N104" s="975"/>
      <c r="O104" s="975"/>
      <c r="P104" s="975"/>
      <c r="Q104" s="975"/>
      <c r="R104" s="975"/>
      <c r="S104" s="975"/>
      <c r="T104" s="975"/>
      <c r="U104" s="975"/>
      <c r="V104" s="975"/>
      <c r="W104" s="985"/>
      <c r="X104" s="975"/>
      <c r="Y104" s="975"/>
      <c r="Z104" s="975"/>
      <c r="AA104" s="975"/>
      <c r="AB104" s="975"/>
      <c r="AC104" s="975"/>
      <c r="AD104" s="975"/>
      <c r="AE104" s="975"/>
      <c r="AF104" s="975"/>
      <c r="AG104" s="975"/>
      <c r="AH104" s="975"/>
      <c r="AI104" s="975"/>
      <c r="AJ104" s="975"/>
      <c r="AK104" s="975"/>
    </row>
    <row r="105" spans="3:37" ht="13.8">
      <c r="C105" s="971" t="s">
        <v>414</v>
      </c>
      <c r="D105" s="971" t="s">
        <v>380</v>
      </c>
      <c r="E105" s="981">
        <v>67.930000000000007</v>
      </c>
      <c r="F105" s="990">
        <v>67.930000000000007</v>
      </c>
      <c r="G105" s="990">
        <v>67.930000000000007</v>
      </c>
      <c r="H105" s="990">
        <v>67.930000000000007</v>
      </c>
      <c r="I105" s="990">
        <v>67.930000000000007</v>
      </c>
      <c r="J105" s="971" t="s">
        <v>440</v>
      </c>
      <c r="K105" s="979" t="s">
        <v>431</v>
      </c>
      <c r="L105" s="975"/>
      <c r="M105" s="975"/>
      <c r="N105" s="975"/>
      <c r="O105" s="975"/>
      <c r="P105" s="975"/>
      <c r="Q105" s="975"/>
      <c r="R105" s="975"/>
      <c r="S105" s="975"/>
      <c r="T105" s="975"/>
      <c r="U105" s="975"/>
      <c r="V105" s="975"/>
      <c r="W105" s="989"/>
      <c r="X105" s="975"/>
      <c r="Y105" s="975"/>
      <c r="Z105" s="975"/>
      <c r="AA105" s="975"/>
      <c r="AB105" s="975"/>
      <c r="AC105" s="975"/>
      <c r="AD105" s="975"/>
      <c r="AE105" s="975"/>
      <c r="AF105" s="975"/>
      <c r="AG105" s="975"/>
      <c r="AH105" s="975"/>
      <c r="AI105" s="975"/>
      <c r="AJ105" s="975"/>
      <c r="AK105" s="975"/>
    </row>
    <row r="106" spans="3:37" ht="13.8">
      <c r="C106" s="975"/>
      <c r="D106" s="975"/>
      <c r="E106" s="975"/>
      <c r="F106" s="975"/>
      <c r="G106" s="975"/>
      <c r="H106" s="975"/>
      <c r="I106" s="975"/>
      <c r="J106" s="975"/>
      <c r="K106" s="975"/>
      <c r="L106" s="975"/>
      <c r="M106" s="975"/>
      <c r="N106" s="975"/>
      <c r="O106" s="975"/>
      <c r="P106" s="975"/>
      <c r="Q106" s="975"/>
      <c r="R106" s="975"/>
      <c r="S106" s="975"/>
      <c r="T106" s="975"/>
      <c r="U106" s="975"/>
      <c r="V106" s="975"/>
      <c r="W106" s="975"/>
      <c r="X106" s="975"/>
      <c r="Y106" s="975"/>
      <c r="Z106" s="975"/>
      <c r="AA106" s="975"/>
      <c r="AB106" s="975"/>
      <c r="AC106" s="975"/>
      <c r="AD106" s="975"/>
      <c r="AE106" s="975"/>
      <c r="AF106" s="975"/>
      <c r="AG106" s="975"/>
      <c r="AH106" s="975"/>
      <c r="AI106" s="975"/>
      <c r="AJ106" s="975"/>
      <c r="AK106" s="975"/>
    </row>
    <row r="107" spans="3:37" ht="14.4">
      <c r="C107" s="326" t="s">
        <v>445</v>
      </c>
      <c r="D107" s="975"/>
      <c r="E107" s="975"/>
      <c r="F107" s="975"/>
      <c r="G107" s="975" t="s">
        <v>446</v>
      </c>
      <c r="H107" s="975" t="s">
        <v>446</v>
      </c>
      <c r="I107" s="975" t="s">
        <v>447</v>
      </c>
      <c r="J107" s="975" t="s">
        <v>447</v>
      </c>
      <c r="K107" s="975" t="s">
        <v>448</v>
      </c>
      <c r="L107" s="975"/>
      <c r="M107" s="975"/>
      <c r="N107" s="975"/>
      <c r="O107" s="975"/>
      <c r="P107" s="975"/>
      <c r="Q107" s="975"/>
      <c r="R107" s="975"/>
      <c r="S107" s="975"/>
      <c r="T107" s="975"/>
      <c r="U107" s="975"/>
      <c r="V107" s="975"/>
      <c r="W107" s="975"/>
      <c r="X107" s="975"/>
      <c r="Y107" s="975"/>
      <c r="Z107" s="975"/>
      <c r="AA107" s="975"/>
      <c r="AB107" s="975"/>
      <c r="AC107" s="975"/>
      <c r="AD107" s="975"/>
      <c r="AE107" s="975"/>
      <c r="AF107" s="975"/>
      <c r="AG107" s="975"/>
      <c r="AH107" s="975"/>
      <c r="AI107" s="975"/>
      <c r="AJ107" s="975"/>
      <c r="AK107" s="975"/>
    </row>
    <row r="108" spans="3:37" ht="14.4">
      <c r="C108" s="987" t="s">
        <v>419</v>
      </c>
      <c r="D108" s="987" t="s">
        <v>6</v>
      </c>
      <c r="E108" s="987" t="s">
        <v>428</v>
      </c>
      <c r="F108" s="987" t="s">
        <v>449</v>
      </c>
      <c r="G108" s="988" t="s">
        <v>450</v>
      </c>
      <c r="H108" s="988" t="s">
        <v>451</v>
      </c>
      <c r="I108" s="987" t="s">
        <v>450</v>
      </c>
      <c r="J108" s="987" t="s">
        <v>451</v>
      </c>
      <c r="K108" s="987" t="s">
        <v>450</v>
      </c>
      <c r="L108" s="987" t="s">
        <v>451</v>
      </c>
      <c r="M108" s="987" t="s">
        <v>429</v>
      </c>
      <c r="N108" s="987" t="s">
        <v>319</v>
      </c>
      <c r="O108" s="975"/>
      <c r="P108" s="975"/>
      <c r="Q108" s="975"/>
      <c r="R108" s="975"/>
      <c r="S108" s="975"/>
      <c r="T108" s="975"/>
      <c r="U108" s="975"/>
      <c r="V108" s="975"/>
      <c r="W108" s="975"/>
      <c r="X108" s="975"/>
      <c r="Y108" s="975"/>
      <c r="Z108" s="975"/>
      <c r="AA108" s="326"/>
      <c r="AB108" s="975"/>
      <c r="AC108" s="975"/>
      <c r="AD108" s="975"/>
      <c r="AE108" s="975"/>
      <c r="AF108" s="975"/>
      <c r="AG108" s="975"/>
      <c r="AH108" s="975"/>
      <c r="AI108" s="975"/>
      <c r="AJ108" s="975"/>
      <c r="AK108" s="975"/>
    </row>
    <row r="109" spans="3:37" ht="13.8">
      <c r="C109" s="971" t="s">
        <v>401</v>
      </c>
      <c r="D109" s="971" t="s">
        <v>452</v>
      </c>
      <c r="E109" s="981">
        <v>9.2799999999999994</v>
      </c>
      <c r="F109" s="966">
        <v>0</v>
      </c>
      <c r="G109" s="966">
        <v>21</v>
      </c>
      <c r="H109" s="966">
        <v>154</v>
      </c>
      <c r="I109" s="979">
        <v>87</v>
      </c>
      <c r="J109" s="979">
        <v>329</v>
      </c>
      <c r="K109" s="979">
        <v>9</v>
      </c>
      <c r="L109" s="979">
        <v>21</v>
      </c>
      <c r="M109" s="971"/>
      <c r="N109" s="978" t="s">
        <v>453</v>
      </c>
      <c r="O109" s="975"/>
      <c r="P109" s="975"/>
      <c r="Q109" s="975"/>
      <c r="R109" s="975"/>
      <c r="S109" s="975"/>
      <c r="T109" s="975"/>
      <c r="U109" s="975"/>
      <c r="V109" s="975"/>
      <c r="W109" s="975"/>
      <c r="X109" s="975"/>
      <c r="Y109" s="975"/>
      <c r="Z109" s="975"/>
      <c r="AA109" s="445"/>
      <c r="AB109" s="445"/>
      <c r="AC109" s="445"/>
      <c r="AD109" s="445"/>
      <c r="AE109" s="445"/>
      <c r="AF109" s="445"/>
      <c r="AG109" s="975"/>
      <c r="AH109" s="975"/>
      <c r="AI109" s="975"/>
      <c r="AJ109" s="975"/>
      <c r="AK109" s="975"/>
    </row>
    <row r="110" spans="3:37" ht="13.8">
      <c r="C110" s="971" t="s">
        <v>402</v>
      </c>
      <c r="D110" s="971" t="s">
        <v>452</v>
      </c>
      <c r="E110" s="981">
        <v>8.94</v>
      </c>
      <c r="F110" s="966">
        <v>0</v>
      </c>
      <c r="G110" s="984">
        <v>21</v>
      </c>
      <c r="H110" s="984">
        <v>154</v>
      </c>
      <c r="I110" s="984">
        <v>87</v>
      </c>
      <c r="J110" s="984">
        <v>329</v>
      </c>
      <c r="K110" s="979">
        <v>9</v>
      </c>
      <c r="L110" s="979">
        <v>36</v>
      </c>
      <c r="M110" s="971"/>
      <c r="N110" s="986" t="s">
        <v>454</v>
      </c>
      <c r="O110" s="975"/>
      <c r="P110" s="975"/>
      <c r="Q110" s="975"/>
      <c r="R110" s="975"/>
      <c r="S110" s="975"/>
      <c r="T110" s="975"/>
      <c r="U110" s="975"/>
      <c r="V110" s="975"/>
      <c r="W110" s="975"/>
      <c r="X110" s="975"/>
      <c r="Y110" s="975"/>
      <c r="Z110" s="975"/>
      <c r="AA110" s="445"/>
      <c r="AB110" s="975"/>
      <c r="AC110" s="975"/>
      <c r="AD110" s="975"/>
      <c r="AE110" s="975"/>
      <c r="AF110" s="975"/>
      <c r="AG110" s="975"/>
      <c r="AH110" s="975"/>
      <c r="AI110" s="975"/>
      <c r="AJ110" s="975"/>
      <c r="AK110" s="975"/>
    </row>
    <row r="111" spans="3:37" ht="13.8">
      <c r="C111" s="971" t="s">
        <v>403</v>
      </c>
      <c r="D111" s="971" t="s">
        <v>452</v>
      </c>
      <c r="E111" s="981">
        <v>0</v>
      </c>
      <c r="F111" s="966">
        <v>0</v>
      </c>
      <c r="G111" s="966">
        <v>6</v>
      </c>
      <c r="H111" s="966">
        <v>6</v>
      </c>
      <c r="I111" s="979">
        <v>-4</v>
      </c>
      <c r="J111" s="979">
        <v>-4</v>
      </c>
      <c r="K111" s="984">
        <v>0</v>
      </c>
      <c r="L111" s="984"/>
      <c r="M111" s="971"/>
      <c r="N111" s="978" t="s">
        <v>455</v>
      </c>
      <c r="O111" s="975"/>
      <c r="P111" s="975"/>
      <c r="Q111" s="975"/>
      <c r="R111" s="975"/>
      <c r="S111" s="975"/>
      <c r="T111" s="975"/>
      <c r="U111" s="975"/>
      <c r="V111" s="975"/>
      <c r="W111" s="975"/>
      <c r="X111" s="975"/>
      <c r="Y111" s="975"/>
      <c r="Z111" s="975"/>
      <c r="AA111" s="445"/>
      <c r="AB111" s="975"/>
      <c r="AC111" s="975"/>
      <c r="AD111" s="975"/>
      <c r="AE111" s="975"/>
      <c r="AF111" s="975"/>
      <c r="AG111" s="975"/>
      <c r="AH111" s="975"/>
      <c r="AI111" s="975"/>
      <c r="AJ111" s="975"/>
      <c r="AK111" s="975"/>
    </row>
    <row r="112" spans="3:37" ht="13.8">
      <c r="C112" s="971" t="s">
        <v>404</v>
      </c>
      <c r="D112" s="971" t="s">
        <v>452</v>
      </c>
      <c r="E112" s="981">
        <v>33.049999999999997</v>
      </c>
      <c r="F112" s="966">
        <v>0</v>
      </c>
      <c r="G112" s="966">
        <v>22</v>
      </c>
      <c r="H112" s="966">
        <v>180</v>
      </c>
      <c r="I112" s="979">
        <v>97</v>
      </c>
      <c r="J112" s="979">
        <v>339</v>
      </c>
      <c r="K112" s="979">
        <v>33</v>
      </c>
      <c r="L112" s="979">
        <v>35</v>
      </c>
      <c r="M112" s="971"/>
      <c r="N112" s="978" t="s">
        <v>453</v>
      </c>
      <c r="O112" s="975"/>
      <c r="P112" s="975"/>
      <c r="Q112" s="975"/>
      <c r="R112" s="975"/>
      <c r="S112" s="975"/>
      <c r="T112" s="975"/>
      <c r="U112" s="975"/>
      <c r="V112" s="975"/>
      <c r="W112" s="975"/>
      <c r="X112" s="975"/>
      <c r="Y112" s="985"/>
      <c r="Z112" s="975"/>
      <c r="AA112" s="445"/>
      <c r="AB112" s="975"/>
      <c r="AC112" s="975"/>
      <c r="AD112" s="975"/>
      <c r="AE112" s="975"/>
      <c r="AF112" s="975"/>
      <c r="AG112" s="975"/>
      <c r="AH112" s="975"/>
      <c r="AI112" s="975"/>
      <c r="AJ112" s="975"/>
      <c r="AK112" s="975"/>
    </row>
    <row r="113" spans="3:37" ht="13.8">
      <c r="C113" s="971" t="s">
        <v>426</v>
      </c>
      <c r="D113" s="971"/>
      <c r="E113" s="981">
        <v>0</v>
      </c>
      <c r="F113" s="966"/>
      <c r="G113" s="966"/>
      <c r="H113" s="966"/>
      <c r="I113" s="979"/>
      <c r="J113" s="979"/>
      <c r="K113" s="979"/>
      <c r="L113" s="979"/>
      <c r="M113" s="971"/>
      <c r="N113" s="978"/>
      <c r="O113" s="975"/>
      <c r="P113" s="975"/>
      <c r="Q113" s="975"/>
      <c r="R113" s="975"/>
      <c r="S113" s="975"/>
      <c r="T113" s="975"/>
      <c r="U113" s="975"/>
      <c r="V113" s="975"/>
      <c r="W113" s="975"/>
      <c r="X113" s="975"/>
      <c r="Y113" s="985"/>
      <c r="Z113" s="975"/>
      <c r="AA113" s="445"/>
      <c r="AB113" s="975"/>
      <c r="AC113" s="975"/>
      <c r="AD113" s="975"/>
      <c r="AE113" s="975"/>
      <c r="AF113" s="975"/>
      <c r="AG113" s="975"/>
      <c r="AH113" s="975"/>
      <c r="AI113" s="975"/>
      <c r="AJ113" s="975"/>
      <c r="AK113" s="975"/>
    </row>
    <row r="114" spans="3:37" ht="13.8">
      <c r="C114" s="971"/>
      <c r="D114" s="971"/>
      <c r="E114" s="981"/>
      <c r="F114" s="966"/>
      <c r="G114" s="966"/>
      <c r="H114" s="966"/>
      <c r="I114" s="979"/>
      <c r="J114" s="979"/>
      <c r="K114" s="979"/>
      <c r="L114" s="979"/>
      <c r="M114" s="971"/>
      <c r="N114" s="978"/>
      <c r="O114" s="975"/>
      <c r="P114" s="975"/>
      <c r="Q114" s="975"/>
      <c r="R114" s="975"/>
      <c r="S114" s="975"/>
      <c r="T114" s="975"/>
      <c r="U114" s="975"/>
      <c r="V114" s="975"/>
      <c r="W114" s="975"/>
      <c r="X114" s="975"/>
      <c r="Y114" s="985"/>
      <c r="Z114" s="975"/>
      <c r="AA114" s="445"/>
      <c r="AB114" s="975"/>
      <c r="AC114" s="975"/>
      <c r="AD114" s="975"/>
      <c r="AE114" s="975"/>
      <c r="AF114" s="975"/>
      <c r="AG114" s="975"/>
      <c r="AH114" s="975"/>
      <c r="AI114" s="975"/>
      <c r="AJ114" s="975"/>
      <c r="AK114" s="975"/>
    </row>
    <row r="115" spans="3:37" ht="13.8">
      <c r="C115" s="971" t="s">
        <v>405</v>
      </c>
      <c r="D115" s="971" t="s">
        <v>452</v>
      </c>
      <c r="E115" s="981">
        <v>0</v>
      </c>
      <c r="F115" s="966">
        <v>0</v>
      </c>
      <c r="G115" s="982"/>
      <c r="H115" s="982"/>
      <c r="I115" s="982"/>
      <c r="J115" s="982"/>
      <c r="K115" s="982"/>
      <c r="L115" s="982"/>
      <c r="M115" s="982" t="s">
        <v>456</v>
      </c>
      <c r="N115" s="983"/>
      <c r="O115" s="975"/>
      <c r="P115" s="975"/>
      <c r="Q115" s="975"/>
      <c r="R115" s="975"/>
      <c r="S115" s="975"/>
      <c r="T115" s="975"/>
      <c r="U115" s="975"/>
      <c r="V115" s="975"/>
      <c r="W115" s="975"/>
      <c r="X115" s="975"/>
      <c r="Y115" s="985"/>
      <c r="Z115" s="975"/>
      <c r="AA115" s="445"/>
      <c r="AB115" s="975"/>
      <c r="AC115" s="975"/>
      <c r="AD115" s="975"/>
      <c r="AE115" s="975"/>
      <c r="AF115" s="975"/>
      <c r="AG115" s="975"/>
      <c r="AH115" s="975"/>
      <c r="AI115" s="975"/>
      <c r="AJ115" s="975"/>
      <c r="AK115" s="975"/>
    </row>
    <row r="116" spans="3:37" ht="13.8">
      <c r="C116" s="971" t="s">
        <v>406</v>
      </c>
      <c r="D116" s="971" t="s">
        <v>452</v>
      </c>
      <c r="E116" s="981">
        <v>0</v>
      </c>
      <c r="F116" s="966">
        <v>0</v>
      </c>
      <c r="G116" s="984">
        <v>-17</v>
      </c>
      <c r="H116" s="984">
        <v>-17</v>
      </c>
      <c r="I116" s="979">
        <v>-17</v>
      </c>
      <c r="J116" s="979">
        <v>-17</v>
      </c>
      <c r="K116" s="984">
        <v>0</v>
      </c>
      <c r="L116" s="984">
        <v>0</v>
      </c>
      <c r="M116" s="971"/>
      <c r="N116" s="978" t="s">
        <v>455</v>
      </c>
      <c r="O116" s="975"/>
      <c r="P116" s="975"/>
      <c r="Q116" s="975"/>
      <c r="R116" s="975"/>
      <c r="S116" s="975"/>
      <c r="T116" s="975"/>
      <c r="U116" s="975"/>
      <c r="V116" s="975"/>
      <c r="W116" s="975"/>
      <c r="X116" s="975"/>
      <c r="Y116" s="975"/>
      <c r="Z116" s="975"/>
      <c r="AA116" s="445"/>
      <c r="AB116" s="975"/>
      <c r="AC116" s="975"/>
      <c r="AD116" s="975"/>
      <c r="AE116" s="975"/>
      <c r="AF116" s="975"/>
      <c r="AG116" s="975"/>
      <c r="AH116" s="975"/>
      <c r="AI116" s="975"/>
      <c r="AJ116" s="975"/>
      <c r="AK116" s="975"/>
    </row>
    <row r="117" spans="3:37" ht="13.8">
      <c r="C117" s="971" t="s">
        <v>407</v>
      </c>
      <c r="D117" s="971" t="s">
        <v>452</v>
      </c>
      <c r="E117" s="981">
        <v>0</v>
      </c>
      <c r="F117" s="966">
        <v>0</v>
      </c>
      <c r="G117" s="984">
        <v>-17</v>
      </c>
      <c r="H117" s="984">
        <v>-17</v>
      </c>
      <c r="I117" s="984">
        <v>-17</v>
      </c>
      <c r="J117" s="984">
        <v>-17</v>
      </c>
      <c r="K117" s="984">
        <v>0</v>
      </c>
      <c r="L117" s="984">
        <v>0</v>
      </c>
      <c r="M117" s="971"/>
      <c r="N117" s="978" t="s">
        <v>457</v>
      </c>
      <c r="O117" s="975"/>
      <c r="P117" s="975"/>
      <c r="Q117" s="975"/>
      <c r="R117" s="975"/>
      <c r="S117" s="975"/>
      <c r="T117" s="975"/>
      <c r="U117" s="975"/>
      <c r="V117" s="975"/>
      <c r="W117" s="975"/>
      <c r="X117" s="975"/>
      <c r="Y117" s="975"/>
      <c r="Z117" s="975"/>
      <c r="AA117" s="445"/>
      <c r="AB117" s="975"/>
      <c r="AC117" s="975"/>
      <c r="AD117" s="975"/>
      <c r="AE117" s="975"/>
      <c r="AF117" s="975"/>
      <c r="AG117" s="975"/>
      <c r="AH117" s="975"/>
      <c r="AI117" s="975"/>
      <c r="AJ117" s="975"/>
      <c r="AK117" s="975"/>
    </row>
    <row r="118" spans="3:37" ht="13.8">
      <c r="C118" s="971" t="s">
        <v>408</v>
      </c>
      <c r="D118" s="971" t="s">
        <v>452</v>
      </c>
      <c r="E118" s="981">
        <v>0</v>
      </c>
      <c r="F118" s="966">
        <v>0</v>
      </c>
      <c r="G118" s="982"/>
      <c r="H118" s="982"/>
      <c r="I118" s="982"/>
      <c r="J118" s="982"/>
      <c r="K118" s="982"/>
      <c r="L118" s="982"/>
      <c r="M118" s="982" t="s">
        <v>456</v>
      </c>
      <c r="N118" s="983"/>
      <c r="O118" s="975"/>
      <c r="P118" s="975"/>
      <c r="Q118" s="975"/>
      <c r="R118" s="975"/>
      <c r="S118" s="975"/>
      <c r="T118" s="975"/>
      <c r="U118" s="975"/>
      <c r="V118" s="975"/>
      <c r="W118" s="975"/>
      <c r="X118" s="975"/>
      <c r="Y118" s="975"/>
      <c r="Z118" s="975"/>
      <c r="AA118" s="445"/>
      <c r="AB118" s="975"/>
      <c r="AC118" s="975"/>
      <c r="AD118" s="975"/>
      <c r="AE118" s="975"/>
      <c r="AF118" s="975"/>
      <c r="AG118" s="975"/>
      <c r="AH118" s="975"/>
      <c r="AI118" s="975"/>
      <c r="AJ118" s="975"/>
      <c r="AK118" s="975"/>
    </row>
    <row r="119" spans="3:37" ht="13.8">
      <c r="C119" s="971" t="s">
        <v>409</v>
      </c>
      <c r="D119" s="971" t="s">
        <v>452</v>
      </c>
      <c r="E119" s="981">
        <v>0</v>
      </c>
      <c r="F119" s="966">
        <v>0</v>
      </c>
      <c r="G119" s="982"/>
      <c r="H119" s="982"/>
      <c r="I119" s="982"/>
      <c r="J119" s="982"/>
      <c r="K119" s="982"/>
      <c r="L119" s="982"/>
      <c r="M119" s="982" t="s">
        <v>456</v>
      </c>
      <c r="N119" s="983"/>
      <c r="O119" s="975"/>
      <c r="P119" s="975"/>
      <c r="Q119" s="975"/>
      <c r="R119" s="975"/>
      <c r="S119" s="975"/>
      <c r="T119" s="975"/>
      <c r="U119" s="975"/>
      <c r="V119" s="975"/>
      <c r="W119" s="975"/>
      <c r="X119" s="975"/>
      <c r="Y119" s="975"/>
      <c r="Z119" s="975"/>
      <c r="AA119" s="445"/>
      <c r="AB119" s="975"/>
      <c r="AC119" s="975"/>
      <c r="AD119" s="975"/>
      <c r="AE119" s="975"/>
      <c r="AF119" s="975"/>
      <c r="AG119" s="975"/>
      <c r="AH119" s="975"/>
      <c r="AI119" s="975"/>
      <c r="AJ119" s="975"/>
      <c r="AK119" s="975"/>
    </row>
    <row r="120" spans="3:37" ht="13.8">
      <c r="C120" s="971" t="s">
        <v>410</v>
      </c>
      <c r="D120" s="971" t="s">
        <v>452</v>
      </c>
      <c r="E120" s="981">
        <v>0</v>
      </c>
      <c r="F120" s="966">
        <v>0</v>
      </c>
      <c r="G120" s="982"/>
      <c r="H120" s="982"/>
      <c r="I120" s="982"/>
      <c r="J120" s="982"/>
      <c r="K120" s="982"/>
      <c r="L120" s="982"/>
      <c r="M120" s="982" t="s">
        <v>456</v>
      </c>
      <c r="N120" s="983"/>
      <c r="O120" s="975"/>
      <c r="P120" s="975"/>
      <c r="Q120" s="975"/>
      <c r="R120" s="975"/>
      <c r="S120" s="975"/>
      <c r="T120" s="975"/>
      <c r="U120" s="975"/>
      <c r="V120" s="975"/>
      <c r="W120" s="975"/>
      <c r="X120" s="975"/>
      <c r="Y120" s="975"/>
      <c r="Z120" s="975"/>
      <c r="AA120" s="445"/>
      <c r="AB120" s="975"/>
      <c r="AC120" s="975"/>
      <c r="AD120" s="975"/>
      <c r="AE120" s="975"/>
      <c r="AF120" s="975"/>
      <c r="AG120" s="975"/>
      <c r="AH120" s="975"/>
      <c r="AI120" s="975"/>
      <c r="AJ120" s="975"/>
      <c r="AK120" s="975"/>
    </row>
    <row r="121" spans="3:37" ht="13.8">
      <c r="C121" s="971" t="s">
        <v>411</v>
      </c>
      <c r="D121" s="971" t="s">
        <v>452</v>
      </c>
      <c r="E121" s="981">
        <v>0</v>
      </c>
      <c r="F121" s="966">
        <v>0</v>
      </c>
      <c r="G121" s="982"/>
      <c r="H121" s="982"/>
      <c r="I121" s="982"/>
      <c r="J121" s="982"/>
      <c r="K121" s="982"/>
      <c r="L121" s="982"/>
      <c r="M121" s="982" t="s">
        <v>456</v>
      </c>
      <c r="N121" s="983"/>
      <c r="O121" s="975"/>
      <c r="P121" s="975"/>
      <c r="Q121" s="975"/>
      <c r="R121" s="975"/>
      <c r="S121" s="975"/>
      <c r="T121" s="975"/>
      <c r="U121" s="975"/>
      <c r="V121" s="975"/>
      <c r="W121" s="975"/>
      <c r="X121" s="975"/>
      <c r="Y121" s="975"/>
      <c r="Z121" s="975"/>
      <c r="AA121" s="445"/>
      <c r="AB121" s="975"/>
      <c r="AC121" s="975"/>
      <c r="AD121" s="975"/>
      <c r="AE121" s="975"/>
      <c r="AF121" s="975"/>
      <c r="AG121" s="975"/>
      <c r="AH121" s="975"/>
      <c r="AI121" s="975"/>
      <c r="AJ121" s="975"/>
      <c r="AK121" s="975"/>
    </row>
    <row r="122" spans="3:37" ht="13.8">
      <c r="C122" s="971" t="s">
        <v>412</v>
      </c>
      <c r="D122" s="971" t="s">
        <v>452</v>
      </c>
      <c r="E122" s="981">
        <v>0</v>
      </c>
      <c r="F122" s="966">
        <v>0</v>
      </c>
      <c r="G122" s="982"/>
      <c r="H122" s="982"/>
      <c r="I122" s="982"/>
      <c r="J122" s="982"/>
      <c r="K122" s="982"/>
      <c r="L122" s="982"/>
      <c r="M122" s="971" t="s">
        <v>458</v>
      </c>
      <c r="N122" s="971"/>
      <c r="O122" s="975"/>
      <c r="P122" s="975"/>
      <c r="Q122" s="975"/>
      <c r="R122" s="975"/>
      <c r="S122" s="975"/>
      <c r="T122" s="975"/>
      <c r="U122" s="975"/>
      <c r="V122" s="975"/>
      <c r="W122" s="975"/>
      <c r="X122" s="975"/>
      <c r="Y122" s="975"/>
      <c r="Z122" s="975"/>
      <c r="AA122" s="445"/>
      <c r="AB122" s="975"/>
      <c r="AC122" s="975"/>
      <c r="AD122" s="975"/>
      <c r="AE122" s="975"/>
      <c r="AF122" s="975"/>
      <c r="AG122" s="975"/>
      <c r="AH122" s="975"/>
      <c r="AI122" s="975"/>
      <c r="AJ122" s="975"/>
      <c r="AK122" s="975"/>
    </row>
    <row r="123" spans="3:37" ht="13.8">
      <c r="C123" s="971" t="s">
        <v>413</v>
      </c>
      <c r="D123" s="971" t="s">
        <v>452</v>
      </c>
      <c r="E123" s="981">
        <v>0</v>
      </c>
      <c r="F123" s="966">
        <v>0</v>
      </c>
      <c r="G123" s="966">
        <v>18</v>
      </c>
      <c r="H123" s="966">
        <v>71</v>
      </c>
      <c r="I123" s="980">
        <v>18</v>
      </c>
      <c r="J123" s="980">
        <v>71</v>
      </c>
      <c r="K123" s="979">
        <v>0</v>
      </c>
      <c r="L123" s="979">
        <v>0</v>
      </c>
      <c r="M123" s="971"/>
      <c r="N123" s="978" t="s">
        <v>453</v>
      </c>
      <c r="O123" s="975"/>
      <c r="P123" s="975"/>
      <c r="Q123" s="975"/>
      <c r="R123" s="975"/>
      <c r="S123" s="975"/>
      <c r="T123" s="975"/>
      <c r="U123" s="975"/>
      <c r="V123" s="975"/>
      <c r="W123" s="975"/>
      <c r="X123" s="975"/>
      <c r="Y123" s="975"/>
      <c r="Z123" s="975"/>
      <c r="AA123" s="975"/>
      <c r="AB123" s="975"/>
      <c r="AC123" s="975"/>
      <c r="AD123" s="975"/>
      <c r="AE123" s="975"/>
      <c r="AF123" s="975"/>
      <c r="AG123" s="975"/>
      <c r="AH123" s="975"/>
      <c r="AI123" s="975"/>
      <c r="AJ123" s="975"/>
      <c r="AK123" s="975"/>
    </row>
    <row r="124" spans="3:37" ht="13.8">
      <c r="C124" s="971" t="s">
        <v>414</v>
      </c>
      <c r="D124" s="971" t="s">
        <v>452</v>
      </c>
      <c r="E124" s="981">
        <v>0</v>
      </c>
      <c r="F124" s="966">
        <v>0</v>
      </c>
      <c r="G124" s="966">
        <v>19</v>
      </c>
      <c r="H124" s="966">
        <v>160</v>
      </c>
      <c r="I124" s="980">
        <v>19</v>
      </c>
      <c r="J124" s="980">
        <v>160</v>
      </c>
      <c r="K124" s="979">
        <v>0</v>
      </c>
      <c r="L124" s="979">
        <v>0</v>
      </c>
      <c r="M124" s="971"/>
      <c r="N124" s="978" t="s">
        <v>453</v>
      </c>
      <c r="O124" s="975"/>
      <c r="P124" s="975"/>
      <c r="Q124" s="975"/>
      <c r="R124" s="975"/>
      <c r="S124" s="975"/>
      <c r="T124" s="975"/>
      <c r="U124" s="975"/>
      <c r="V124" s="975"/>
      <c r="W124" s="975"/>
      <c r="X124" s="975"/>
      <c r="Y124" s="975"/>
      <c r="Z124" s="975"/>
      <c r="AA124" s="975"/>
      <c r="AB124" s="975"/>
      <c r="AC124" s="975"/>
      <c r="AD124" s="975"/>
      <c r="AE124" s="975"/>
      <c r="AF124" s="975"/>
      <c r="AG124" s="975"/>
      <c r="AH124" s="975"/>
      <c r="AI124" s="975"/>
      <c r="AJ124" s="975"/>
      <c r="AK124" s="975"/>
    </row>
    <row r="125" spans="3:37" ht="13.8">
      <c r="C125" s="975" t="s">
        <v>459</v>
      </c>
      <c r="D125" s="975"/>
      <c r="E125" s="975"/>
      <c r="F125" s="975"/>
      <c r="G125" s="975"/>
      <c r="H125" s="975"/>
      <c r="I125" s="975"/>
      <c r="J125" s="975"/>
      <c r="K125" s="975"/>
      <c r="L125" s="975"/>
      <c r="M125" s="975"/>
      <c r="N125" s="975"/>
      <c r="O125" s="975"/>
      <c r="P125" s="975"/>
      <c r="Q125" s="975"/>
      <c r="R125" s="975"/>
      <c r="S125" s="975"/>
      <c r="T125" s="975"/>
      <c r="U125" s="975"/>
      <c r="V125" s="975"/>
      <c r="W125" s="975"/>
      <c r="X125" s="975"/>
      <c r="Y125" s="975"/>
      <c r="Z125" s="975"/>
      <c r="AA125" s="975"/>
      <c r="AB125" s="975"/>
      <c r="AC125" s="975"/>
      <c r="AD125" s="975"/>
      <c r="AE125" s="975"/>
      <c r="AF125" s="975"/>
      <c r="AG125" s="975"/>
      <c r="AH125" s="975"/>
      <c r="AI125" s="975"/>
      <c r="AJ125" s="975"/>
      <c r="AK125" s="975"/>
    </row>
    <row r="126" spans="3:37" ht="13.8">
      <c r="C126" s="975"/>
      <c r="D126" s="975"/>
      <c r="E126" s="975"/>
      <c r="F126" s="975"/>
      <c r="G126" s="975"/>
      <c r="H126" s="975"/>
      <c r="I126" s="975"/>
      <c r="J126" s="975"/>
      <c r="K126" s="975"/>
      <c r="L126" s="975"/>
      <c r="M126" s="975"/>
      <c r="N126" s="975"/>
      <c r="O126" s="975"/>
      <c r="P126" s="975"/>
      <c r="Q126" s="975"/>
      <c r="R126" s="975"/>
      <c r="S126" s="975"/>
      <c r="T126" s="975"/>
      <c r="U126" s="975"/>
      <c r="V126" s="975"/>
      <c r="W126" s="975"/>
      <c r="X126" s="975"/>
      <c r="Y126" s="975"/>
      <c r="Z126" s="975"/>
      <c r="AA126" s="975"/>
      <c r="AB126" s="975"/>
      <c r="AC126" s="975"/>
      <c r="AD126" s="975"/>
      <c r="AE126" s="975"/>
      <c r="AF126" s="975"/>
      <c r="AG126" s="975"/>
      <c r="AH126" s="975"/>
      <c r="AI126" s="975"/>
      <c r="AJ126" s="975"/>
      <c r="AK126" s="975"/>
    </row>
    <row r="127" spans="3:37" ht="13.8">
      <c r="C127" s="977" t="s">
        <v>460</v>
      </c>
      <c r="D127" s="975"/>
      <c r="E127" s="975"/>
      <c r="F127" s="975"/>
      <c r="G127" s="975"/>
      <c r="H127" s="975"/>
      <c r="I127" s="975"/>
      <c r="J127" s="975"/>
      <c r="K127" s="975"/>
      <c r="L127" s="975"/>
      <c r="M127" s="975"/>
      <c r="N127" s="975"/>
      <c r="O127" s="975"/>
      <c r="P127" s="975"/>
      <c r="Q127" s="975"/>
      <c r="R127" s="975"/>
      <c r="S127" s="975"/>
      <c r="T127" s="975"/>
      <c r="U127" s="975"/>
      <c r="V127" s="975"/>
      <c r="W127" s="975"/>
      <c r="X127" s="975"/>
      <c r="Y127" s="975"/>
      <c r="Z127" s="975"/>
      <c r="AA127" s="975"/>
      <c r="AB127" s="975"/>
      <c r="AC127" s="975"/>
      <c r="AD127" s="975"/>
      <c r="AE127" s="975"/>
      <c r="AF127" s="975"/>
      <c r="AG127" s="975"/>
      <c r="AH127" s="975"/>
      <c r="AI127" s="975"/>
      <c r="AJ127" s="975"/>
      <c r="AK127" s="975"/>
    </row>
    <row r="128" spans="3:37" ht="13.8">
      <c r="C128" s="971" t="s">
        <v>461</v>
      </c>
      <c r="D128" s="971" t="s">
        <v>452</v>
      </c>
      <c r="E128" s="976">
        <v>29</v>
      </c>
      <c r="F128" s="342" t="s">
        <v>462</v>
      </c>
      <c r="G128" s="975"/>
      <c r="H128" s="975"/>
      <c r="I128" s="975"/>
      <c r="J128" s="975"/>
      <c r="K128" s="975"/>
      <c r="L128" s="975"/>
      <c r="M128" s="975"/>
      <c r="N128" s="975"/>
      <c r="O128" s="975"/>
      <c r="P128" s="975"/>
      <c r="Q128" s="975"/>
      <c r="R128" s="975"/>
      <c r="S128" s="975"/>
      <c r="T128" s="975"/>
      <c r="U128" s="975"/>
      <c r="V128" s="975"/>
      <c r="W128" s="975"/>
      <c r="X128" s="975"/>
      <c r="Y128" s="975"/>
      <c r="Z128" s="975"/>
      <c r="AA128" s="975"/>
      <c r="AB128" s="975"/>
      <c r="AC128" s="975"/>
      <c r="AD128" s="975"/>
      <c r="AE128" s="975"/>
      <c r="AF128" s="975"/>
      <c r="AG128" s="975"/>
      <c r="AH128" s="975"/>
      <c r="AI128" s="975"/>
      <c r="AJ128" s="975"/>
      <c r="AK128" s="975"/>
    </row>
    <row r="129" spans="3:37" ht="13.8">
      <c r="C129" s="971" t="s">
        <v>364</v>
      </c>
      <c r="D129" s="971" t="s">
        <v>452</v>
      </c>
      <c r="E129" s="976">
        <v>29</v>
      </c>
      <c r="F129" s="342" t="s">
        <v>462</v>
      </c>
      <c r="G129" s="975"/>
      <c r="H129" s="975"/>
      <c r="I129" s="975"/>
      <c r="J129" s="975"/>
      <c r="K129" s="975"/>
      <c r="L129" s="975"/>
      <c r="M129" s="975"/>
      <c r="N129" s="975"/>
      <c r="O129" s="975"/>
      <c r="P129" s="975"/>
      <c r="Q129" s="975"/>
      <c r="R129" s="975"/>
      <c r="S129" s="975"/>
      <c r="T129" s="975"/>
      <c r="U129" s="975"/>
      <c r="V129" s="975"/>
      <c r="W129" s="975"/>
      <c r="X129" s="975"/>
      <c r="Y129" s="975"/>
      <c r="Z129" s="975"/>
      <c r="AA129" s="975"/>
      <c r="AB129" s="975"/>
      <c r="AC129" s="975"/>
      <c r="AD129" s="975"/>
      <c r="AE129" s="975"/>
      <c r="AF129" s="975"/>
      <c r="AG129" s="975"/>
      <c r="AH129" s="975"/>
      <c r="AI129" s="975"/>
      <c r="AJ129" s="975"/>
      <c r="AK129" s="975"/>
    </row>
    <row r="130" spans="3:37" ht="13.8">
      <c r="C130" s="971" t="s">
        <v>357</v>
      </c>
      <c r="D130" s="971" t="s">
        <v>452</v>
      </c>
      <c r="E130" s="976">
        <v>16.7</v>
      </c>
      <c r="F130" s="342" t="s">
        <v>463</v>
      </c>
      <c r="G130" s="975"/>
      <c r="H130" s="975"/>
      <c r="I130" s="975"/>
      <c r="J130" s="975"/>
      <c r="K130" s="975"/>
      <c r="L130" s="975"/>
      <c r="M130" s="975"/>
      <c r="N130" s="975"/>
      <c r="O130" s="975"/>
      <c r="P130" s="975"/>
      <c r="Q130" s="975"/>
      <c r="R130" s="975"/>
      <c r="S130" s="975"/>
      <c r="T130" s="975"/>
      <c r="U130" s="975"/>
      <c r="V130" s="975"/>
      <c r="W130" s="975"/>
      <c r="X130" s="975"/>
      <c r="Y130" s="975"/>
      <c r="Z130" s="975"/>
      <c r="AA130" s="975"/>
      <c r="AB130" s="975"/>
      <c r="AC130" s="975"/>
      <c r="AD130" s="975"/>
      <c r="AE130" s="975"/>
      <c r="AF130" s="975"/>
      <c r="AG130" s="975"/>
      <c r="AH130" s="975"/>
      <c r="AI130" s="975"/>
      <c r="AJ130" s="975"/>
      <c r="AK130" s="975"/>
    </row>
    <row r="131" spans="3:37" ht="13.8">
      <c r="C131" s="975"/>
      <c r="D131" s="975"/>
      <c r="E131" s="975"/>
      <c r="F131" s="975"/>
      <c r="G131" s="975"/>
      <c r="H131" s="975"/>
      <c r="I131" s="975"/>
      <c r="J131" s="975"/>
      <c r="K131" s="975"/>
      <c r="L131" s="975"/>
      <c r="M131" s="975"/>
      <c r="N131" s="975"/>
      <c r="O131" s="975"/>
      <c r="P131" s="975"/>
      <c r="Q131" s="975"/>
      <c r="R131" s="975"/>
      <c r="S131" s="975"/>
      <c r="T131" s="975"/>
      <c r="U131" s="975"/>
      <c r="V131" s="975"/>
      <c r="W131" s="975"/>
      <c r="X131" s="975"/>
      <c r="Y131" s="975"/>
      <c r="Z131" s="975"/>
      <c r="AA131" s="975"/>
      <c r="AB131" s="975"/>
      <c r="AC131" s="975"/>
      <c r="AD131" s="975"/>
      <c r="AE131" s="975"/>
      <c r="AF131" s="975"/>
      <c r="AG131" s="975"/>
      <c r="AH131" s="975"/>
      <c r="AI131" s="975"/>
      <c r="AJ131" s="975"/>
      <c r="AK131" s="975"/>
    </row>
    <row r="132" spans="3:37" ht="14.4">
      <c r="C132" s="968" t="s">
        <v>464</v>
      </c>
      <c r="D132" s="263"/>
      <c r="E132" s="445"/>
      <c r="F132" s="445"/>
      <c r="G132" s="445"/>
      <c r="H132" s="445"/>
      <c r="I132" s="445"/>
      <c r="J132" s="445"/>
      <c r="K132" s="445"/>
      <c r="L132" s="445"/>
      <c r="M132" s="445"/>
      <c r="N132" s="445"/>
      <c r="O132" s="445"/>
      <c r="P132" s="445"/>
      <c r="Q132" s="445"/>
      <c r="R132" s="445"/>
      <c r="S132" s="445"/>
      <c r="T132" s="445"/>
      <c r="U132" s="445"/>
      <c r="V132" s="445"/>
      <c r="W132" s="445"/>
      <c r="X132" s="445"/>
      <c r="Y132" s="445"/>
      <c r="Z132" s="445"/>
      <c r="AA132" s="445"/>
      <c r="AB132" s="445"/>
      <c r="AC132" s="445"/>
      <c r="AD132" s="445"/>
      <c r="AE132" s="445"/>
      <c r="AF132" s="445"/>
      <c r="AG132" s="445"/>
      <c r="AH132" s="445"/>
      <c r="AI132" s="445"/>
      <c r="AJ132" s="445"/>
      <c r="AK132" s="445"/>
    </row>
    <row r="133" spans="3:37" ht="13.8">
      <c r="C133" s="971"/>
      <c r="D133" s="971" t="s">
        <v>465</v>
      </c>
      <c r="E133" s="971" t="s">
        <v>428</v>
      </c>
      <c r="F133" s="971">
        <v>2012</v>
      </c>
      <c r="G133" s="971">
        <v>2020</v>
      </c>
      <c r="H133" s="971">
        <v>2035</v>
      </c>
      <c r="I133" s="971">
        <v>2050</v>
      </c>
      <c r="J133" s="445"/>
      <c r="K133" s="445"/>
      <c r="L133" s="445"/>
      <c r="M133" s="445"/>
      <c r="N133" s="445"/>
      <c r="O133" s="445"/>
      <c r="P133" s="445"/>
      <c r="Q133" s="445"/>
      <c r="R133" s="445"/>
      <c r="S133" s="445"/>
      <c r="T133" s="445"/>
      <c r="U133" s="445"/>
      <c r="V133" s="445"/>
      <c r="W133" s="445"/>
      <c r="X133" s="445"/>
      <c r="Y133" s="445"/>
      <c r="Z133" s="445"/>
      <c r="AA133" s="445"/>
      <c r="AB133" s="445"/>
      <c r="AC133" s="445"/>
      <c r="AD133" s="445"/>
      <c r="AE133" s="445"/>
      <c r="AF133" s="445"/>
      <c r="AG133" s="445"/>
      <c r="AH133" s="445"/>
      <c r="AI133" s="445"/>
      <c r="AJ133" s="445"/>
      <c r="AK133" s="445"/>
    </row>
    <row r="134" spans="3:37" ht="13.8">
      <c r="C134" s="962" t="s">
        <v>466</v>
      </c>
      <c r="D134" s="962" t="s">
        <v>379</v>
      </c>
      <c r="E134" s="962">
        <v>-11</v>
      </c>
      <c r="F134" s="974">
        <v>-11.2</v>
      </c>
      <c r="G134" s="974">
        <v>-11.2</v>
      </c>
      <c r="H134" s="974">
        <v>16.2</v>
      </c>
      <c r="I134" s="974">
        <v>13.4</v>
      </c>
      <c r="J134" s="445"/>
      <c r="K134" s="445"/>
      <c r="L134" s="445"/>
      <c r="M134" s="445"/>
      <c r="N134" s="445"/>
      <c r="O134" s="445"/>
      <c r="P134" s="445"/>
      <c r="Q134" s="445"/>
      <c r="R134" s="445"/>
      <c r="S134" s="445"/>
      <c r="T134" s="445"/>
      <c r="U134" s="445"/>
      <c r="V134" s="445"/>
      <c r="W134" s="445"/>
      <c r="X134" s="445"/>
      <c r="Y134" s="445"/>
      <c r="Z134" s="445"/>
      <c r="AA134" s="445"/>
      <c r="AB134" s="445"/>
      <c r="AC134" s="445"/>
      <c r="AD134" s="445"/>
      <c r="AE134" s="445"/>
      <c r="AF134" s="445"/>
      <c r="AG134" s="445"/>
      <c r="AH134" s="445"/>
      <c r="AI134" s="445"/>
      <c r="AJ134" s="445"/>
      <c r="AK134" s="445"/>
    </row>
    <row r="135" spans="3:37" ht="13.8">
      <c r="C135" s="962" t="s">
        <v>71</v>
      </c>
      <c r="D135" s="962" t="s">
        <v>379</v>
      </c>
      <c r="E135" s="962">
        <v>-11</v>
      </c>
      <c r="F135" s="973">
        <v>-11.2</v>
      </c>
      <c r="G135" s="973">
        <v>-11.2</v>
      </c>
      <c r="H135" s="973">
        <v>16.2</v>
      </c>
      <c r="I135" s="973">
        <v>13.4</v>
      </c>
      <c r="J135" s="445" t="s">
        <v>467</v>
      </c>
    </row>
    <row r="136" spans="3:37">
      <c r="C136" s="445"/>
      <c r="D136" s="263"/>
      <c r="E136" s="445"/>
      <c r="F136" s="445"/>
      <c r="G136" s="445"/>
      <c r="H136" s="445"/>
      <c r="I136" s="445"/>
      <c r="J136" s="445"/>
    </row>
    <row r="137" spans="3:37" ht="14.4">
      <c r="C137" s="968" t="s">
        <v>468</v>
      </c>
      <c r="D137" s="263"/>
      <c r="E137" s="445"/>
      <c r="F137" s="445"/>
      <c r="G137" s="445"/>
      <c r="H137" s="445"/>
      <c r="I137" s="445"/>
      <c r="J137" s="445"/>
    </row>
    <row r="138" spans="3:37" ht="13.8">
      <c r="C138" s="971"/>
      <c r="D138" s="972">
        <v>2020</v>
      </c>
      <c r="E138" s="972">
        <v>2035</v>
      </c>
      <c r="F138" s="972">
        <v>2040</v>
      </c>
      <c r="G138" s="972">
        <v>2050</v>
      </c>
      <c r="H138" s="445"/>
      <c r="I138" s="445"/>
      <c r="J138" s="445"/>
    </row>
    <row r="139" spans="3:37" ht="13.8">
      <c r="C139" s="971" t="s">
        <v>469</v>
      </c>
      <c r="D139" s="969">
        <v>8.99</v>
      </c>
      <c r="E139" s="969">
        <v>30.75</v>
      </c>
      <c r="F139" s="969">
        <v>26.9</v>
      </c>
      <c r="G139" s="970">
        <v>13.42</v>
      </c>
      <c r="H139" s="445"/>
      <c r="I139" s="445"/>
      <c r="J139" s="445"/>
    </row>
    <row r="140" spans="3:37" ht="13.8">
      <c r="C140" s="971" t="s">
        <v>470</v>
      </c>
      <c r="D140" s="969">
        <v>13.78</v>
      </c>
      <c r="E140" s="969">
        <v>30.69</v>
      </c>
      <c r="F140" s="970">
        <v>16.16</v>
      </c>
      <c r="G140" s="969">
        <v>0.33</v>
      </c>
      <c r="H140" s="445"/>
      <c r="I140" s="445"/>
      <c r="J140" s="445"/>
    </row>
    <row r="141" spans="3:37" ht="13.8">
      <c r="C141" s="971" t="s">
        <v>471</v>
      </c>
      <c r="D141" s="969">
        <v>-15.42</v>
      </c>
      <c r="E141" s="969">
        <v>-2.35</v>
      </c>
      <c r="F141" s="969">
        <v>4.63</v>
      </c>
      <c r="G141" s="969">
        <v>5.84</v>
      </c>
      <c r="H141" s="445"/>
      <c r="I141" s="445"/>
      <c r="J141" s="445"/>
    </row>
    <row r="142" spans="3:37" ht="13.8">
      <c r="C142" s="971" t="s">
        <v>472</v>
      </c>
      <c r="D142" s="970">
        <v>-11.24</v>
      </c>
      <c r="E142" s="969">
        <v>-3.52</v>
      </c>
      <c r="F142" s="969">
        <v>-3.65</v>
      </c>
      <c r="G142" s="969">
        <v>-1.79</v>
      </c>
      <c r="H142" s="445"/>
      <c r="I142" s="445"/>
      <c r="J142" s="445"/>
    </row>
    <row r="143" spans="3:37">
      <c r="C143" s="445" t="s">
        <v>473</v>
      </c>
      <c r="D143" s="263"/>
      <c r="E143" s="445"/>
      <c r="F143" s="445"/>
      <c r="G143" s="445"/>
      <c r="H143" s="445"/>
      <c r="I143" s="445"/>
      <c r="J143" s="445"/>
    </row>
    <row r="144" spans="3:37">
      <c r="C144" s="445"/>
      <c r="D144" s="263"/>
      <c r="E144" s="445"/>
      <c r="F144" s="445"/>
      <c r="G144" s="445"/>
      <c r="H144" s="445"/>
      <c r="I144" s="445"/>
      <c r="J144" s="445"/>
    </row>
    <row r="145" spans="2:10" ht="13.8">
      <c r="C145" s="257"/>
      <c r="D145" s="257"/>
      <c r="E145" s="257"/>
      <c r="F145" s="257"/>
      <c r="G145" s="257"/>
      <c r="H145" s="257"/>
      <c r="I145" s="445"/>
      <c r="J145" s="445"/>
    </row>
    <row r="146" spans="2:10" ht="14.4">
      <c r="C146" s="968" t="s">
        <v>474</v>
      </c>
      <c r="D146" s="257"/>
      <c r="E146" s="257"/>
      <c r="F146" s="257"/>
      <c r="G146" s="257"/>
      <c r="H146" s="257"/>
      <c r="I146" s="445"/>
      <c r="J146" s="445"/>
    </row>
    <row r="147" spans="2:10" ht="13.8">
      <c r="C147" s="962"/>
      <c r="D147" s="962"/>
      <c r="E147" s="962"/>
      <c r="F147" s="962"/>
      <c r="G147" s="962"/>
      <c r="H147" s="962"/>
      <c r="I147" s="445"/>
      <c r="J147" s="445"/>
    </row>
    <row r="148" spans="2:10" ht="13.8">
      <c r="C148" s="962"/>
      <c r="D148" s="962"/>
      <c r="E148" s="967" t="s">
        <v>475</v>
      </c>
      <c r="F148" s="967"/>
      <c r="G148" s="962" t="s">
        <v>476</v>
      </c>
      <c r="H148" s="962" t="s">
        <v>477</v>
      </c>
      <c r="I148" s="445"/>
      <c r="J148" s="445"/>
    </row>
    <row r="149" spans="2:10" ht="13.8">
      <c r="C149" s="962"/>
      <c r="D149" s="962" t="s">
        <v>478</v>
      </c>
      <c r="E149" s="962" t="s">
        <v>479</v>
      </c>
      <c r="F149" s="962" t="s">
        <v>480</v>
      </c>
      <c r="G149" s="962" t="s">
        <v>481</v>
      </c>
      <c r="H149" s="962" t="s">
        <v>481</v>
      </c>
      <c r="I149" s="445"/>
      <c r="J149" s="445"/>
    </row>
    <row r="150" spans="2:10" ht="13.8">
      <c r="C150" s="962" t="s">
        <v>482</v>
      </c>
      <c r="D150" s="962" t="s">
        <v>483</v>
      </c>
      <c r="E150" s="966">
        <v>210</v>
      </c>
      <c r="F150" s="966">
        <v>-32</v>
      </c>
      <c r="G150" s="965">
        <v>-5.0000000000000001E-3</v>
      </c>
      <c r="H150" s="965">
        <v>0</v>
      </c>
      <c r="I150" s="445"/>
      <c r="J150" s="445"/>
    </row>
    <row r="151" spans="2:10" ht="13.8">
      <c r="B151" s="445"/>
      <c r="C151" s="962" t="s">
        <v>484</v>
      </c>
      <c r="D151" s="962" t="s">
        <v>483</v>
      </c>
      <c r="E151" s="966">
        <v>342</v>
      </c>
      <c r="F151" s="966">
        <v>100</v>
      </c>
      <c r="G151" s="965">
        <v>0</v>
      </c>
      <c r="H151" s="965">
        <v>0</v>
      </c>
      <c r="I151" s="445"/>
    </row>
    <row r="152" spans="2:10" ht="13.8">
      <c r="B152" s="445"/>
      <c r="C152" s="962" t="s">
        <v>485</v>
      </c>
      <c r="D152" s="962" t="s">
        <v>483</v>
      </c>
      <c r="E152" s="966">
        <v>346</v>
      </c>
      <c r="F152" s="966">
        <v>104</v>
      </c>
      <c r="G152" s="965">
        <v>2.1999999999999999E-2</v>
      </c>
      <c r="H152" s="965">
        <v>7.0000000000000001E-3</v>
      </c>
      <c r="I152" s="445"/>
    </row>
    <row r="153" spans="2:10" ht="13.8">
      <c r="B153" s="445"/>
      <c r="C153" s="962" t="s">
        <v>486</v>
      </c>
      <c r="D153" s="962" t="s">
        <v>483</v>
      </c>
      <c r="E153" s="966">
        <v>333</v>
      </c>
      <c r="F153" s="966">
        <v>91</v>
      </c>
      <c r="G153" s="965">
        <v>2.7E-2</v>
      </c>
      <c r="H153" s="965">
        <v>6.0000000000000001E-3</v>
      </c>
      <c r="I153" s="445"/>
    </row>
    <row r="154" spans="2:10" ht="13.8">
      <c r="B154" s="445"/>
      <c r="C154" s="962" t="s">
        <v>487</v>
      </c>
      <c r="D154" s="962" t="s">
        <v>483</v>
      </c>
      <c r="E154" s="966">
        <v>323</v>
      </c>
      <c r="F154" s="966">
        <v>80</v>
      </c>
      <c r="G154" s="965">
        <v>8.9999999999999993E-3</v>
      </c>
      <c r="H154" s="965">
        <v>-4.2999999999999997E-2</v>
      </c>
      <c r="I154" s="445"/>
    </row>
    <row r="155" spans="2:10" ht="13.8">
      <c r="B155" s="445"/>
      <c r="C155" s="962" t="s">
        <v>488</v>
      </c>
      <c r="D155" s="962" t="s">
        <v>483</v>
      </c>
      <c r="E155" s="966">
        <v>368</v>
      </c>
      <c r="F155" s="966">
        <v>126</v>
      </c>
      <c r="G155" s="965">
        <v>0.06</v>
      </c>
      <c r="H155" s="965">
        <v>-6.0000000000000001E-3</v>
      </c>
      <c r="I155" s="445"/>
    </row>
    <row r="156" spans="2:10" ht="13.8">
      <c r="B156" s="445"/>
      <c r="C156" s="962" t="s">
        <v>489</v>
      </c>
      <c r="D156" s="962" t="s">
        <v>490</v>
      </c>
      <c r="E156" s="964">
        <v>1.63</v>
      </c>
      <c r="F156" s="964">
        <v>1.63</v>
      </c>
      <c r="G156" s="963">
        <v>1.2E-2</v>
      </c>
      <c r="H156" s="963">
        <v>3.0000000000000001E-3</v>
      </c>
      <c r="I156" s="445"/>
    </row>
    <row r="157" spans="2:10" ht="13.8">
      <c r="B157" s="445"/>
      <c r="C157" s="962" t="s">
        <v>357</v>
      </c>
      <c r="D157" s="962" t="s">
        <v>491</v>
      </c>
      <c r="E157" s="961">
        <v>346</v>
      </c>
      <c r="F157" s="961">
        <v>104</v>
      </c>
      <c r="G157" s="960">
        <v>2.1999999999999999E-2</v>
      </c>
      <c r="H157" s="960">
        <v>7.0000000000000001E-3</v>
      </c>
      <c r="I157" s="445" t="s">
        <v>492</v>
      </c>
    </row>
    <row r="158" spans="2:10" ht="13.8">
      <c r="B158" s="445"/>
      <c r="C158" s="962" t="s">
        <v>493</v>
      </c>
      <c r="D158" s="962" t="s">
        <v>491</v>
      </c>
      <c r="E158" s="961">
        <v>368</v>
      </c>
      <c r="F158" s="961">
        <v>126</v>
      </c>
      <c r="G158" s="960">
        <v>0.06</v>
      </c>
      <c r="H158" s="960">
        <v>-6.0000000000000001E-3</v>
      </c>
      <c r="I158" s="445" t="s">
        <v>494</v>
      </c>
    </row>
    <row r="159" spans="2:10">
      <c r="B159" s="445"/>
      <c r="C159" s="445" t="s">
        <v>495</v>
      </c>
      <c r="D159" s="263"/>
      <c r="E159" s="445"/>
      <c r="F159" s="445"/>
      <c r="G159" s="445"/>
      <c r="H159" s="445"/>
      <c r="I159" s="445"/>
    </row>
    <row r="161" spans="2:21" ht="21">
      <c r="B161" s="251" t="s">
        <v>502</v>
      </c>
      <c r="C161" s="250"/>
      <c r="D161" s="250"/>
      <c r="E161" s="250"/>
      <c r="F161" s="250"/>
      <c r="G161" s="250"/>
      <c r="H161" s="250"/>
      <c r="I161" s="250"/>
      <c r="J161" s="250"/>
      <c r="K161" s="250"/>
      <c r="L161" s="250"/>
      <c r="M161" s="250"/>
      <c r="N161" s="250"/>
      <c r="O161" s="250"/>
      <c r="P161" s="250"/>
      <c r="Q161" s="250"/>
      <c r="R161" s="250"/>
      <c r="S161" s="250"/>
      <c r="T161" s="250"/>
      <c r="U161" s="250"/>
    </row>
    <row r="162" spans="2:21">
      <c r="B162" s="249" t="s">
        <v>503</v>
      </c>
      <c r="C162" s="249"/>
      <c r="D162" s="249"/>
      <c r="E162" s="249"/>
      <c r="F162" s="249"/>
      <c r="G162" s="249"/>
      <c r="H162" s="249"/>
      <c r="I162" s="249"/>
      <c r="J162" s="249"/>
      <c r="K162" s="249"/>
      <c r="L162" s="249"/>
      <c r="M162" s="249"/>
      <c r="N162" s="249"/>
      <c r="O162" s="249"/>
      <c r="P162" s="249"/>
      <c r="Q162" s="249"/>
      <c r="R162" s="249"/>
      <c r="S162" s="249"/>
      <c r="T162" s="249"/>
      <c r="U162" s="249"/>
    </row>
    <row r="163" spans="2:21" ht="13.8" thickBot="1">
      <c r="B163" s="249"/>
      <c r="C163" s="249"/>
      <c r="D163" s="249"/>
      <c r="E163" s="249" t="s">
        <v>504</v>
      </c>
      <c r="F163" s="249"/>
      <c r="G163" s="249"/>
      <c r="H163" s="249"/>
      <c r="I163" s="249"/>
      <c r="J163" s="249"/>
      <c r="K163" s="249"/>
      <c r="L163" s="249" t="s">
        <v>505</v>
      </c>
      <c r="M163" s="249"/>
      <c r="N163" s="249"/>
      <c r="O163" s="249"/>
      <c r="P163" s="249"/>
      <c r="Q163" s="249"/>
      <c r="R163" s="249"/>
      <c r="S163" s="249"/>
      <c r="T163" s="249"/>
      <c r="U163" s="249"/>
    </row>
    <row r="164" spans="2:21">
      <c r="B164" s="249"/>
      <c r="C164" s="248" t="s">
        <v>506</v>
      </c>
      <c r="D164" s="247" t="s">
        <v>104</v>
      </c>
      <c r="E164" s="247">
        <v>2015</v>
      </c>
      <c r="F164" s="247">
        <v>2020</v>
      </c>
      <c r="G164" s="247">
        <v>2035</v>
      </c>
      <c r="H164" s="247">
        <v>2050</v>
      </c>
      <c r="I164" s="247" t="s">
        <v>507</v>
      </c>
      <c r="J164" s="247" t="s">
        <v>508</v>
      </c>
      <c r="K164" s="247" t="s">
        <v>509</v>
      </c>
      <c r="L164" s="247" t="s">
        <v>510</v>
      </c>
      <c r="M164" s="247" t="s">
        <v>511</v>
      </c>
      <c r="N164" s="247">
        <v>2015</v>
      </c>
      <c r="O164" s="247">
        <v>2020</v>
      </c>
      <c r="P164" s="247">
        <v>2035</v>
      </c>
      <c r="Q164" s="247">
        <v>2050</v>
      </c>
      <c r="R164" s="959" t="s">
        <v>428</v>
      </c>
      <c r="S164" s="247" t="s">
        <v>512</v>
      </c>
      <c r="T164" s="246" t="s">
        <v>513</v>
      </c>
      <c r="U164" s="249"/>
    </row>
    <row r="165" spans="2:21" ht="13.8">
      <c r="B165" s="249"/>
      <c r="C165" s="245" t="s">
        <v>514</v>
      </c>
      <c r="D165" s="249" t="s">
        <v>515</v>
      </c>
      <c r="E165" s="275">
        <v>55.2</v>
      </c>
      <c r="F165" s="275">
        <v>78.900000000000006</v>
      </c>
      <c r="G165" s="275">
        <v>314.39999999999998</v>
      </c>
      <c r="H165" s="951">
        <v>314.39999999999998</v>
      </c>
      <c r="I165" s="463">
        <v>2015</v>
      </c>
      <c r="J165" s="949">
        <v>1</v>
      </c>
      <c r="K165" s="949">
        <v>1</v>
      </c>
      <c r="L165" s="948">
        <v>1</v>
      </c>
      <c r="M165" s="947">
        <v>0</v>
      </c>
      <c r="N165" s="946">
        <v>55.2</v>
      </c>
      <c r="O165" s="946">
        <v>78.900000000000006</v>
      </c>
      <c r="P165" s="946">
        <v>314.39999999999998</v>
      </c>
      <c r="Q165" s="946">
        <v>314.39999999999998</v>
      </c>
      <c r="R165" s="946">
        <v>55.2</v>
      </c>
      <c r="S165" s="249"/>
      <c r="T165" s="470" t="s">
        <v>644</v>
      </c>
      <c r="U165" s="249"/>
    </row>
    <row r="166" spans="2:21" ht="13.8">
      <c r="B166" s="249"/>
      <c r="C166" s="245" t="s">
        <v>516</v>
      </c>
      <c r="D166" s="249" t="s">
        <v>517</v>
      </c>
      <c r="E166" s="275">
        <v>266.10000000000002</v>
      </c>
      <c r="F166" s="958">
        <v>331.2</v>
      </c>
      <c r="G166" s="958">
        <v>573.1</v>
      </c>
      <c r="H166" s="951">
        <v>573.1</v>
      </c>
      <c r="I166" s="463">
        <v>2015</v>
      </c>
      <c r="J166" s="949">
        <v>1</v>
      </c>
      <c r="K166" s="949">
        <v>1</v>
      </c>
      <c r="L166" s="948">
        <v>1</v>
      </c>
      <c r="M166" s="947">
        <v>0</v>
      </c>
      <c r="N166" s="946">
        <v>266.10000000000002</v>
      </c>
      <c r="O166" s="946">
        <v>331.2</v>
      </c>
      <c r="P166" s="946">
        <v>573.1</v>
      </c>
      <c r="Q166" s="946">
        <v>573.1</v>
      </c>
      <c r="R166" s="946">
        <v>266.10000000000002</v>
      </c>
      <c r="S166" s="957"/>
      <c r="T166" s="470" t="s">
        <v>644</v>
      </c>
      <c r="U166" s="249"/>
    </row>
    <row r="167" spans="2:21" ht="13.8">
      <c r="B167" s="249"/>
      <c r="C167" s="245" t="s">
        <v>518</v>
      </c>
      <c r="D167" s="249" t="s">
        <v>517</v>
      </c>
      <c r="E167" s="275">
        <v>445.5</v>
      </c>
      <c r="F167" s="958">
        <v>513.29999999999995</v>
      </c>
      <c r="G167" s="958">
        <v>769.9</v>
      </c>
      <c r="H167" s="951">
        <v>769.9</v>
      </c>
      <c r="I167" s="463">
        <v>2015</v>
      </c>
      <c r="J167" s="949">
        <v>1</v>
      </c>
      <c r="K167" s="949">
        <v>1</v>
      </c>
      <c r="L167" s="948">
        <v>1</v>
      </c>
      <c r="M167" s="947">
        <v>0</v>
      </c>
      <c r="N167" s="946">
        <v>445.5</v>
      </c>
      <c r="O167" s="946">
        <v>513.29999999999995</v>
      </c>
      <c r="P167" s="946">
        <v>769.9</v>
      </c>
      <c r="Q167" s="946">
        <v>769.9</v>
      </c>
      <c r="R167" s="946">
        <v>445.5</v>
      </c>
      <c r="S167" s="957"/>
      <c r="T167" s="470" t="s">
        <v>644</v>
      </c>
      <c r="U167" s="249"/>
    </row>
    <row r="168" spans="2:21" ht="13.8">
      <c r="B168" s="249"/>
      <c r="C168" s="245" t="s">
        <v>519</v>
      </c>
      <c r="D168" s="249" t="s">
        <v>379</v>
      </c>
      <c r="E168" s="275">
        <v>72</v>
      </c>
      <c r="F168" s="275">
        <v>73.3</v>
      </c>
      <c r="G168" s="275">
        <v>78.3</v>
      </c>
      <c r="H168" s="951">
        <v>78.3</v>
      </c>
      <c r="I168" s="463">
        <v>2015</v>
      </c>
      <c r="J168" s="949">
        <v>1</v>
      </c>
      <c r="K168" s="949">
        <v>1</v>
      </c>
      <c r="L168" s="948">
        <v>1</v>
      </c>
      <c r="M168" s="947">
        <v>0</v>
      </c>
      <c r="N168" s="946">
        <v>72</v>
      </c>
      <c r="O168" s="946">
        <v>73.3</v>
      </c>
      <c r="P168" s="946">
        <v>78.3</v>
      </c>
      <c r="Q168" s="946">
        <v>78.3</v>
      </c>
      <c r="R168" s="946">
        <v>72</v>
      </c>
      <c r="S168" s="249"/>
      <c r="T168" s="470" t="s">
        <v>644</v>
      </c>
      <c r="U168" s="249"/>
    </row>
    <row r="169" spans="2:21" ht="13.8">
      <c r="B169" s="249"/>
      <c r="C169" s="245" t="s">
        <v>520</v>
      </c>
      <c r="D169" s="249" t="s">
        <v>517</v>
      </c>
      <c r="E169" s="275">
        <v>485.5</v>
      </c>
      <c r="F169" s="958">
        <v>553.29999999999995</v>
      </c>
      <c r="G169" s="958">
        <v>809.9</v>
      </c>
      <c r="H169" s="951">
        <v>809.9</v>
      </c>
      <c r="I169" s="463">
        <v>2015</v>
      </c>
      <c r="J169" s="949">
        <v>1</v>
      </c>
      <c r="K169" s="949">
        <v>1</v>
      </c>
      <c r="L169" s="948">
        <v>1</v>
      </c>
      <c r="M169" s="947">
        <v>0</v>
      </c>
      <c r="N169" s="946">
        <v>485.5</v>
      </c>
      <c r="O169" s="946">
        <v>553.29999999999995</v>
      </c>
      <c r="P169" s="946">
        <v>809.9</v>
      </c>
      <c r="Q169" s="946">
        <v>809.9</v>
      </c>
      <c r="R169" s="946">
        <v>485.5</v>
      </c>
      <c r="S169" s="957"/>
      <c r="T169" s="470" t="s">
        <v>644</v>
      </c>
      <c r="U169" s="249"/>
    </row>
    <row r="170" spans="2:21" ht="13.8">
      <c r="B170" s="249"/>
      <c r="C170" s="238" t="s">
        <v>521</v>
      </c>
      <c r="D170" s="249" t="s">
        <v>379</v>
      </c>
      <c r="E170" s="275">
        <v>102.2</v>
      </c>
      <c r="F170" s="275">
        <v>119.9</v>
      </c>
      <c r="G170" s="275">
        <v>135.30000000000001</v>
      </c>
      <c r="H170" s="951">
        <v>135.30000000000001</v>
      </c>
      <c r="I170" s="463">
        <v>2015</v>
      </c>
      <c r="J170" s="949">
        <v>1</v>
      </c>
      <c r="K170" s="949">
        <v>1</v>
      </c>
      <c r="L170" s="948">
        <v>1</v>
      </c>
      <c r="M170" s="947">
        <v>0</v>
      </c>
      <c r="N170" s="946">
        <v>102.2</v>
      </c>
      <c r="O170" s="946">
        <v>119.9</v>
      </c>
      <c r="P170" s="946">
        <v>135.30000000000001</v>
      </c>
      <c r="Q170" s="946">
        <v>135.30000000000001</v>
      </c>
      <c r="R170" s="946">
        <v>102.2</v>
      </c>
      <c r="S170" s="249"/>
      <c r="T170" s="470" t="s">
        <v>644</v>
      </c>
      <c r="U170" s="249"/>
    </row>
    <row r="171" spans="2:21" ht="13.8">
      <c r="B171" s="249"/>
      <c r="C171" s="245" t="s">
        <v>522</v>
      </c>
      <c r="D171" s="249" t="s">
        <v>379</v>
      </c>
      <c r="E171" s="275">
        <v>20.2</v>
      </c>
      <c r="F171" s="275">
        <v>24.9</v>
      </c>
      <c r="G171" s="275">
        <v>25.8</v>
      </c>
      <c r="H171" s="951">
        <v>25.8</v>
      </c>
      <c r="I171" s="463">
        <v>2015</v>
      </c>
      <c r="J171" s="949">
        <v>1</v>
      </c>
      <c r="K171" s="949">
        <v>1</v>
      </c>
      <c r="L171" s="948">
        <v>1</v>
      </c>
      <c r="M171" s="956">
        <v>0</v>
      </c>
      <c r="N171" s="946">
        <v>20.2</v>
      </c>
      <c r="O171" s="946">
        <v>24.9</v>
      </c>
      <c r="P171" s="946">
        <v>25.8</v>
      </c>
      <c r="Q171" s="946">
        <v>25.8</v>
      </c>
      <c r="R171" s="946">
        <v>20.2</v>
      </c>
      <c r="S171" s="249"/>
      <c r="T171" s="470" t="s">
        <v>644</v>
      </c>
      <c r="U171" s="249"/>
    </row>
    <row r="172" spans="2:21" ht="13.8">
      <c r="B172" s="249"/>
      <c r="C172" s="245" t="s">
        <v>523</v>
      </c>
      <c r="D172" s="249" t="s">
        <v>379</v>
      </c>
      <c r="E172" s="275">
        <v>69.8</v>
      </c>
      <c r="F172" s="275">
        <v>71.099999999999994</v>
      </c>
      <c r="G172" s="275">
        <v>76.099999999999994</v>
      </c>
      <c r="H172" s="951">
        <v>76.099999999999994</v>
      </c>
      <c r="I172" s="463">
        <v>2015</v>
      </c>
      <c r="J172" s="949">
        <v>1</v>
      </c>
      <c r="K172" s="949">
        <v>1</v>
      </c>
      <c r="L172" s="948">
        <v>1</v>
      </c>
      <c r="M172" s="947">
        <v>0</v>
      </c>
      <c r="N172" s="946">
        <v>69.8</v>
      </c>
      <c r="O172" s="946">
        <v>71.099999999999994</v>
      </c>
      <c r="P172" s="946">
        <v>76.099999999999994</v>
      </c>
      <c r="Q172" s="946">
        <v>76.099999999999994</v>
      </c>
      <c r="R172" s="946">
        <v>69.8</v>
      </c>
      <c r="S172" s="249"/>
      <c r="T172" s="470" t="s">
        <v>644</v>
      </c>
      <c r="U172" s="249"/>
    </row>
    <row r="173" spans="2:21" ht="13.8">
      <c r="B173" s="249"/>
      <c r="C173" s="238" t="s">
        <v>524</v>
      </c>
      <c r="D173" s="249" t="s">
        <v>379</v>
      </c>
      <c r="E173" s="275">
        <v>119.6</v>
      </c>
      <c r="F173" s="275">
        <v>138.4</v>
      </c>
      <c r="G173" s="275">
        <v>154.6</v>
      </c>
      <c r="H173" s="951">
        <v>154.6</v>
      </c>
      <c r="I173" s="463">
        <v>2015</v>
      </c>
      <c r="J173" s="949">
        <v>1</v>
      </c>
      <c r="K173" s="949">
        <v>1</v>
      </c>
      <c r="L173" s="948">
        <v>1</v>
      </c>
      <c r="M173" s="947">
        <v>0</v>
      </c>
      <c r="N173" s="946">
        <v>119.6</v>
      </c>
      <c r="O173" s="946">
        <v>138.4</v>
      </c>
      <c r="P173" s="946">
        <v>154.6</v>
      </c>
      <c r="Q173" s="946">
        <v>154.6</v>
      </c>
      <c r="R173" s="946">
        <v>119.6</v>
      </c>
      <c r="S173" s="249"/>
      <c r="T173" s="470" t="s">
        <v>644</v>
      </c>
      <c r="U173" s="249"/>
    </row>
    <row r="174" spans="2:21" ht="13.8">
      <c r="B174" s="249"/>
      <c r="C174" s="238" t="s">
        <v>525</v>
      </c>
      <c r="D174" s="249" t="s">
        <v>379</v>
      </c>
      <c r="E174" s="275">
        <v>118.5</v>
      </c>
      <c r="F174" s="275">
        <v>137.19999999999999</v>
      </c>
      <c r="G174" s="275">
        <v>153.4</v>
      </c>
      <c r="H174" s="951">
        <v>153.4</v>
      </c>
      <c r="I174" s="463">
        <v>2015</v>
      </c>
      <c r="J174" s="949">
        <v>1</v>
      </c>
      <c r="K174" s="949">
        <v>1</v>
      </c>
      <c r="L174" s="948">
        <v>1</v>
      </c>
      <c r="M174" s="947">
        <v>0</v>
      </c>
      <c r="N174" s="946">
        <v>118.5</v>
      </c>
      <c r="O174" s="946">
        <v>137.19999999999999</v>
      </c>
      <c r="P174" s="946">
        <v>153.4</v>
      </c>
      <c r="Q174" s="946">
        <v>153.4</v>
      </c>
      <c r="R174" s="946">
        <v>118.5</v>
      </c>
      <c r="S174" s="249"/>
      <c r="T174" s="470" t="s">
        <v>644</v>
      </c>
      <c r="U174" s="249"/>
    </row>
    <row r="175" spans="2:21" ht="13.8">
      <c r="B175" s="249"/>
      <c r="C175" s="238" t="s">
        <v>526</v>
      </c>
      <c r="D175" s="249" t="s">
        <v>379</v>
      </c>
      <c r="E175" s="275">
        <v>115.7</v>
      </c>
      <c r="F175" s="275">
        <v>134.4</v>
      </c>
      <c r="G175" s="275">
        <v>150.6</v>
      </c>
      <c r="H175" s="951">
        <v>150.6</v>
      </c>
      <c r="I175" s="463">
        <v>2015</v>
      </c>
      <c r="J175" s="949">
        <v>1</v>
      </c>
      <c r="K175" s="949">
        <v>1</v>
      </c>
      <c r="L175" s="948">
        <v>1</v>
      </c>
      <c r="M175" s="947">
        <v>0</v>
      </c>
      <c r="N175" s="946">
        <v>115.7</v>
      </c>
      <c r="O175" s="946">
        <v>134.4</v>
      </c>
      <c r="P175" s="946">
        <v>150.6</v>
      </c>
      <c r="Q175" s="946">
        <v>150.6</v>
      </c>
      <c r="R175" s="946">
        <v>115.7</v>
      </c>
      <c r="S175" s="249"/>
      <c r="T175" s="470" t="s">
        <v>644</v>
      </c>
      <c r="U175" s="249"/>
    </row>
    <row r="176" spans="2:21" ht="13.8">
      <c r="B176" s="249"/>
      <c r="C176" s="238" t="s">
        <v>527</v>
      </c>
      <c r="D176" s="249" t="s">
        <v>379</v>
      </c>
      <c r="E176" s="275">
        <v>89.8</v>
      </c>
      <c r="F176" s="275">
        <v>108.5</v>
      </c>
      <c r="G176" s="275">
        <v>124.7</v>
      </c>
      <c r="H176" s="951">
        <v>124.7</v>
      </c>
      <c r="I176" s="463">
        <v>2015</v>
      </c>
      <c r="J176" s="949">
        <v>1</v>
      </c>
      <c r="K176" s="949">
        <v>1</v>
      </c>
      <c r="L176" s="948">
        <v>1</v>
      </c>
      <c r="M176" s="947">
        <v>0</v>
      </c>
      <c r="N176" s="946">
        <v>89.8</v>
      </c>
      <c r="O176" s="946">
        <v>108.5</v>
      </c>
      <c r="P176" s="946">
        <v>124.7</v>
      </c>
      <c r="Q176" s="946">
        <v>124.7</v>
      </c>
      <c r="R176" s="946">
        <v>89.8</v>
      </c>
      <c r="S176" s="249"/>
      <c r="T176" s="470" t="s">
        <v>644</v>
      </c>
      <c r="U176" s="249"/>
    </row>
    <row r="177" spans="2:21" ht="13.8">
      <c r="B177" s="249"/>
      <c r="C177" s="245" t="s">
        <v>528</v>
      </c>
      <c r="D177" s="249" t="s">
        <v>379</v>
      </c>
      <c r="E177" s="275">
        <v>34.799999999999997</v>
      </c>
      <c r="F177" s="275">
        <v>34.799999999999997</v>
      </c>
      <c r="G177" s="275">
        <v>34.799999999999997</v>
      </c>
      <c r="H177" s="951">
        <v>34.799999999999997</v>
      </c>
      <c r="I177" s="463">
        <v>2015</v>
      </c>
      <c r="J177" s="949">
        <v>1</v>
      </c>
      <c r="K177" s="949">
        <v>1</v>
      </c>
      <c r="L177" s="948">
        <v>1</v>
      </c>
      <c r="M177" s="956">
        <v>0</v>
      </c>
      <c r="N177" s="946">
        <v>34.799999999999997</v>
      </c>
      <c r="O177" s="946">
        <v>34.799999999999997</v>
      </c>
      <c r="P177" s="946">
        <v>34.799999999999997</v>
      </c>
      <c r="Q177" s="946">
        <v>34.799999999999997</v>
      </c>
      <c r="R177" s="946">
        <v>34.799999999999997</v>
      </c>
      <c r="S177" s="249"/>
      <c r="T177" s="470" t="s">
        <v>644</v>
      </c>
      <c r="U177" s="249"/>
    </row>
    <row r="178" spans="2:21" ht="13.8">
      <c r="B178" s="249"/>
      <c r="C178" s="245" t="s">
        <v>529</v>
      </c>
      <c r="D178" s="249" t="s">
        <v>379</v>
      </c>
      <c r="E178" s="275">
        <v>28.7</v>
      </c>
      <c r="F178" s="275">
        <v>28.7</v>
      </c>
      <c r="G178" s="275">
        <v>28.7</v>
      </c>
      <c r="H178" s="951">
        <v>28.7</v>
      </c>
      <c r="I178" s="463">
        <v>2015</v>
      </c>
      <c r="J178" s="949">
        <v>1</v>
      </c>
      <c r="K178" s="949">
        <v>1</v>
      </c>
      <c r="L178" s="948">
        <v>1</v>
      </c>
      <c r="M178" s="956">
        <v>0</v>
      </c>
      <c r="N178" s="946">
        <v>28.7</v>
      </c>
      <c r="O178" s="946">
        <v>28.7</v>
      </c>
      <c r="P178" s="946">
        <v>28.7</v>
      </c>
      <c r="Q178" s="946">
        <v>28.7</v>
      </c>
      <c r="R178" s="946">
        <v>28.7</v>
      </c>
      <c r="S178" s="249"/>
      <c r="T178" s="470" t="s">
        <v>644</v>
      </c>
      <c r="U178" s="249"/>
    </row>
    <row r="179" spans="2:21" ht="13.8">
      <c r="B179" s="249"/>
      <c r="C179" s="245" t="s">
        <v>530</v>
      </c>
      <c r="D179" s="249" t="s">
        <v>379</v>
      </c>
      <c r="E179" s="275">
        <v>2.2000000000000002</v>
      </c>
      <c r="F179" s="275">
        <v>2.2000000000000002</v>
      </c>
      <c r="G179" s="275">
        <v>2.2000000000000002</v>
      </c>
      <c r="H179" s="951">
        <v>2.2000000000000002</v>
      </c>
      <c r="I179" s="463">
        <v>2015</v>
      </c>
      <c r="J179" s="949">
        <v>1</v>
      </c>
      <c r="K179" s="949">
        <v>1</v>
      </c>
      <c r="L179" s="948">
        <v>1</v>
      </c>
      <c r="M179" s="956">
        <v>0</v>
      </c>
      <c r="N179" s="946">
        <v>2.2000000000000002</v>
      </c>
      <c r="O179" s="946">
        <v>2.2000000000000002</v>
      </c>
      <c r="P179" s="946">
        <v>2.2000000000000002</v>
      </c>
      <c r="Q179" s="946">
        <v>2.2000000000000002</v>
      </c>
      <c r="R179" s="946">
        <v>2.2000000000000002</v>
      </c>
      <c r="S179" s="249"/>
      <c r="T179" s="470" t="s">
        <v>644</v>
      </c>
      <c r="U179" s="249"/>
    </row>
    <row r="180" spans="2:21" ht="13.8">
      <c r="B180" s="249"/>
      <c r="C180" s="245" t="s">
        <v>531</v>
      </c>
      <c r="D180" s="249" t="s">
        <v>379</v>
      </c>
      <c r="E180" s="280">
        <v>61</v>
      </c>
      <c r="F180" s="280">
        <v>61.7</v>
      </c>
      <c r="G180" s="280">
        <v>65.8</v>
      </c>
      <c r="H180" s="951">
        <v>65.8</v>
      </c>
      <c r="I180" s="463">
        <v>2015</v>
      </c>
      <c r="J180" s="949">
        <v>1</v>
      </c>
      <c r="K180" s="949">
        <v>1</v>
      </c>
      <c r="L180" s="948">
        <v>1</v>
      </c>
      <c r="M180" s="947">
        <v>0</v>
      </c>
      <c r="N180" s="946">
        <v>61</v>
      </c>
      <c r="O180" s="946">
        <v>61.7</v>
      </c>
      <c r="P180" s="946">
        <v>65.8</v>
      </c>
      <c r="Q180" s="946">
        <v>65.8</v>
      </c>
      <c r="R180" s="946">
        <v>61</v>
      </c>
      <c r="S180" s="249" t="s">
        <v>532</v>
      </c>
      <c r="T180" s="470" t="s">
        <v>644</v>
      </c>
      <c r="U180" s="249"/>
    </row>
    <row r="181" spans="2:21" ht="13.8">
      <c r="B181" s="249"/>
      <c r="C181" s="245" t="s">
        <v>533</v>
      </c>
      <c r="D181" s="249" t="s">
        <v>379</v>
      </c>
      <c r="E181" s="280">
        <v>49.8</v>
      </c>
      <c r="F181" s="280">
        <v>50.6</v>
      </c>
      <c r="G181" s="280">
        <v>54.7</v>
      </c>
      <c r="H181" s="951">
        <v>54.7</v>
      </c>
      <c r="I181" s="463">
        <v>2015</v>
      </c>
      <c r="J181" s="949">
        <v>1</v>
      </c>
      <c r="K181" s="949">
        <v>1</v>
      </c>
      <c r="L181" s="948">
        <v>1</v>
      </c>
      <c r="M181" s="947">
        <v>0</v>
      </c>
      <c r="N181" s="946">
        <v>49.8</v>
      </c>
      <c r="O181" s="946">
        <v>50.6</v>
      </c>
      <c r="P181" s="946">
        <v>54.7</v>
      </c>
      <c r="Q181" s="946">
        <v>54.7</v>
      </c>
      <c r="R181" s="946">
        <v>49.8</v>
      </c>
      <c r="S181" s="249" t="s">
        <v>532</v>
      </c>
      <c r="T181" s="470" t="s">
        <v>644</v>
      </c>
      <c r="U181" s="249"/>
    </row>
    <row r="182" spans="2:21" ht="13.8">
      <c r="B182" s="249"/>
      <c r="C182" s="245" t="s">
        <v>534</v>
      </c>
      <c r="D182" s="249" t="s">
        <v>379</v>
      </c>
      <c r="E182" s="275">
        <v>7</v>
      </c>
      <c r="F182" s="275">
        <v>7</v>
      </c>
      <c r="G182" s="275">
        <v>7</v>
      </c>
      <c r="H182" s="951">
        <v>7</v>
      </c>
      <c r="I182" s="463">
        <v>2015</v>
      </c>
      <c r="J182" s="949">
        <v>1</v>
      </c>
      <c r="K182" s="949">
        <v>1</v>
      </c>
      <c r="L182" s="948">
        <v>1</v>
      </c>
      <c r="M182" s="956">
        <v>0</v>
      </c>
      <c r="N182" s="946">
        <v>7</v>
      </c>
      <c r="O182" s="946">
        <v>7</v>
      </c>
      <c r="P182" s="946">
        <v>7</v>
      </c>
      <c r="Q182" s="946">
        <v>7</v>
      </c>
      <c r="R182" s="946">
        <v>7</v>
      </c>
      <c r="S182" s="249"/>
      <c r="T182" s="470" t="s">
        <v>644</v>
      </c>
      <c r="U182" s="249"/>
    </row>
    <row r="183" spans="2:21" ht="13.8">
      <c r="B183" s="249"/>
      <c r="C183" s="245" t="s">
        <v>535</v>
      </c>
      <c r="D183" s="249" t="s">
        <v>379</v>
      </c>
      <c r="E183" s="275">
        <v>30.2</v>
      </c>
      <c r="F183" s="275">
        <v>30.2</v>
      </c>
      <c r="G183" s="275">
        <v>30.2</v>
      </c>
      <c r="H183" s="951">
        <v>30.2</v>
      </c>
      <c r="I183" s="463">
        <v>2015</v>
      </c>
      <c r="J183" s="949">
        <v>1</v>
      </c>
      <c r="K183" s="949">
        <v>1</v>
      </c>
      <c r="L183" s="948">
        <v>1</v>
      </c>
      <c r="M183" s="956">
        <v>0</v>
      </c>
      <c r="N183" s="946">
        <v>30.2</v>
      </c>
      <c r="O183" s="946">
        <v>30.2</v>
      </c>
      <c r="P183" s="946">
        <v>30.2</v>
      </c>
      <c r="Q183" s="946">
        <v>30.2</v>
      </c>
      <c r="R183" s="946">
        <v>30.2</v>
      </c>
      <c r="S183" s="249"/>
      <c r="T183" s="470" t="s">
        <v>644</v>
      </c>
      <c r="U183" s="249"/>
    </row>
    <row r="184" spans="2:21" ht="13.8">
      <c r="B184" s="249"/>
      <c r="C184" s="245" t="s">
        <v>68</v>
      </c>
      <c r="D184" s="249" t="s">
        <v>379</v>
      </c>
      <c r="E184" s="955">
        <v>143.69999999999999</v>
      </c>
      <c r="F184" s="955">
        <v>146.4</v>
      </c>
      <c r="G184" s="955">
        <v>156.80000000000001</v>
      </c>
      <c r="H184" s="955">
        <v>156.80000000000001</v>
      </c>
      <c r="I184" s="463">
        <v>2015</v>
      </c>
      <c r="J184" s="949">
        <v>1</v>
      </c>
      <c r="K184" s="949">
        <v>1</v>
      </c>
      <c r="L184" s="948">
        <v>1</v>
      </c>
      <c r="M184" s="947">
        <v>0</v>
      </c>
      <c r="N184" s="946">
        <v>143.69999999999999</v>
      </c>
      <c r="O184" s="946">
        <v>146.4</v>
      </c>
      <c r="P184" s="946">
        <v>156.80000000000001</v>
      </c>
      <c r="Q184" s="946">
        <v>156.80000000000001</v>
      </c>
      <c r="R184" s="946">
        <v>143.69999999999999</v>
      </c>
      <c r="S184" s="249" t="s">
        <v>536</v>
      </c>
      <c r="T184" s="470"/>
      <c r="U184" s="249"/>
    </row>
    <row r="185" spans="2:21" ht="13.8">
      <c r="B185" s="249"/>
      <c r="C185" s="245" t="s">
        <v>537</v>
      </c>
      <c r="D185" s="249" t="s">
        <v>379</v>
      </c>
      <c r="E185" s="275">
        <v>67</v>
      </c>
      <c r="F185" s="275">
        <v>66.2</v>
      </c>
      <c r="G185" s="275">
        <v>73.3</v>
      </c>
      <c r="H185" s="951">
        <v>73.3</v>
      </c>
      <c r="I185" s="463">
        <v>2011</v>
      </c>
      <c r="J185" s="949">
        <v>1</v>
      </c>
      <c r="K185" s="949">
        <v>1.0640000000000001</v>
      </c>
      <c r="L185" s="948">
        <v>1.0640000000000001</v>
      </c>
      <c r="M185" s="947">
        <v>0</v>
      </c>
      <c r="N185" s="946">
        <v>71.3</v>
      </c>
      <c r="O185" s="946">
        <v>70.400000000000006</v>
      </c>
      <c r="P185" s="946">
        <v>78</v>
      </c>
      <c r="Q185" s="946">
        <v>78</v>
      </c>
      <c r="R185" s="946">
        <v>71.3</v>
      </c>
      <c r="S185" s="249" t="s">
        <v>538</v>
      </c>
      <c r="T185" s="470" t="s">
        <v>645</v>
      </c>
      <c r="U185" s="249"/>
    </row>
    <row r="186" spans="2:21" ht="13.8">
      <c r="B186" s="249"/>
      <c r="C186" s="245" t="s">
        <v>401</v>
      </c>
      <c r="D186" s="249" t="s">
        <v>379</v>
      </c>
      <c r="E186" s="383">
        <v>69.7</v>
      </c>
      <c r="F186" s="383">
        <v>76.8</v>
      </c>
      <c r="G186" s="383">
        <v>77</v>
      </c>
      <c r="H186" s="383">
        <v>77</v>
      </c>
      <c r="I186" s="463">
        <v>2013</v>
      </c>
      <c r="J186" s="949">
        <v>1</v>
      </c>
      <c r="K186" s="949">
        <v>1.038</v>
      </c>
      <c r="L186" s="948">
        <v>1.038</v>
      </c>
      <c r="M186" s="947">
        <v>0</v>
      </c>
      <c r="N186" s="946">
        <v>72.400000000000006</v>
      </c>
      <c r="O186" s="946">
        <v>79.7</v>
      </c>
      <c r="P186" s="946">
        <v>79.900000000000006</v>
      </c>
      <c r="Q186" s="946">
        <v>79.900000000000006</v>
      </c>
      <c r="R186" s="946">
        <v>72.400000000000006</v>
      </c>
      <c r="S186" s="952" t="s">
        <v>539</v>
      </c>
      <c r="T186" s="470" t="s">
        <v>646</v>
      </c>
      <c r="U186" s="249"/>
    </row>
    <row r="187" spans="2:21" ht="13.8">
      <c r="B187" s="249"/>
      <c r="C187" s="245" t="s">
        <v>402</v>
      </c>
      <c r="D187" s="249" t="s">
        <v>379</v>
      </c>
      <c r="E187" s="384">
        <v>10.3</v>
      </c>
      <c r="F187" s="384">
        <v>10.3</v>
      </c>
      <c r="G187" s="384">
        <v>10.3</v>
      </c>
      <c r="H187" s="384">
        <v>10.3</v>
      </c>
      <c r="I187" s="463">
        <v>2014</v>
      </c>
      <c r="J187" s="949">
        <v>1</v>
      </c>
      <c r="K187" s="949">
        <v>1.0249999999999999</v>
      </c>
      <c r="L187" s="948">
        <v>1.0249999999999999</v>
      </c>
      <c r="M187" s="947">
        <v>0</v>
      </c>
      <c r="N187" s="946">
        <v>10.6</v>
      </c>
      <c r="O187" s="946">
        <v>10.6</v>
      </c>
      <c r="P187" s="946">
        <v>10.6</v>
      </c>
      <c r="Q187" s="946">
        <v>10.6</v>
      </c>
      <c r="R187" s="946">
        <v>10.6</v>
      </c>
      <c r="S187" s="952"/>
      <c r="T187" s="470" t="s">
        <v>540</v>
      </c>
      <c r="U187" s="249"/>
    </row>
    <row r="188" spans="2:21" ht="13.8">
      <c r="B188" s="249"/>
      <c r="C188" s="245" t="s">
        <v>403</v>
      </c>
      <c r="D188" s="249" t="s">
        <v>379</v>
      </c>
      <c r="E188" s="951">
        <v>38.6</v>
      </c>
      <c r="F188" s="951">
        <v>41.2</v>
      </c>
      <c r="G188" s="951">
        <v>46.9</v>
      </c>
      <c r="H188" s="951">
        <v>51.9</v>
      </c>
      <c r="I188" s="463">
        <v>2012</v>
      </c>
      <c r="J188" s="949">
        <v>1</v>
      </c>
      <c r="K188" s="949">
        <v>1.0589999999999999</v>
      </c>
      <c r="L188" s="948">
        <v>1.0589999999999999</v>
      </c>
      <c r="M188" s="947"/>
      <c r="N188" s="946">
        <v>40.9</v>
      </c>
      <c r="O188" s="946">
        <v>43.6</v>
      </c>
      <c r="P188" s="946">
        <v>49.6</v>
      </c>
      <c r="Q188" s="946">
        <v>55</v>
      </c>
      <c r="R188" s="946">
        <v>40.9</v>
      </c>
      <c r="S188" s="952"/>
      <c r="T188" s="470" t="s">
        <v>647</v>
      </c>
      <c r="U188" s="249"/>
    </row>
    <row r="189" spans="2:21" ht="13.8">
      <c r="B189" s="249"/>
      <c r="C189" s="245" t="s">
        <v>404</v>
      </c>
      <c r="D189" s="249" t="s">
        <v>379</v>
      </c>
      <c r="E189" s="469">
        <v>101.7</v>
      </c>
      <c r="F189" s="469">
        <v>112.5</v>
      </c>
      <c r="G189" s="469">
        <v>118.1</v>
      </c>
      <c r="H189" s="469">
        <v>118.1</v>
      </c>
      <c r="I189" s="463">
        <v>2015</v>
      </c>
      <c r="J189" s="949">
        <v>1</v>
      </c>
      <c r="K189" s="949">
        <v>1</v>
      </c>
      <c r="L189" s="948">
        <v>1</v>
      </c>
      <c r="M189" s="947"/>
      <c r="N189" s="946">
        <v>101.7</v>
      </c>
      <c r="O189" s="946">
        <v>112.5</v>
      </c>
      <c r="P189" s="946">
        <v>118.1</v>
      </c>
      <c r="Q189" s="946">
        <v>118.1</v>
      </c>
      <c r="R189" s="946">
        <v>101.7</v>
      </c>
      <c r="S189" s="952" t="s">
        <v>541</v>
      </c>
      <c r="T189" s="470" t="s">
        <v>646</v>
      </c>
      <c r="U189" s="249"/>
    </row>
    <row r="190" spans="2:21" ht="13.8">
      <c r="B190" s="249"/>
      <c r="C190" s="245" t="s">
        <v>426</v>
      </c>
      <c r="D190" s="249" t="s">
        <v>379</v>
      </c>
      <c r="E190" s="469">
        <v>91.8</v>
      </c>
      <c r="F190" s="469">
        <v>102.2</v>
      </c>
      <c r="G190" s="469">
        <v>114.4</v>
      </c>
      <c r="H190" s="469">
        <v>114.4</v>
      </c>
      <c r="I190" s="463">
        <v>2015</v>
      </c>
      <c r="J190" s="949">
        <v>1</v>
      </c>
      <c r="K190" s="949">
        <v>1</v>
      </c>
      <c r="L190" s="948">
        <v>1</v>
      </c>
      <c r="M190" s="947"/>
      <c r="N190" s="946">
        <v>91.8</v>
      </c>
      <c r="O190" s="946">
        <v>102.2</v>
      </c>
      <c r="P190" s="946">
        <v>114.4</v>
      </c>
      <c r="Q190" s="946">
        <v>114.4</v>
      </c>
      <c r="R190" s="946">
        <v>91.8</v>
      </c>
      <c r="S190" s="952"/>
      <c r="T190" s="470"/>
      <c r="U190" s="249"/>
    </row>
    <row r="191" spans="2:21" ht="13.8">
      <c r="B191" s="249"/>
      <c r="C191" s="245" t="s">
        <v>635</v>
      </c>
      <c r="D191" s="249" t="s">
        <v>379</v>
      </c>
      <c r="E191" s="469">
        <v>148.80000000000001</v>
      </c>
      <c r="F191" s="469">
        <v>176.4</v>
      </c>
      <c r="G191" s="469">
        <v>187.5</v>
      </c>
      <c r="H191" s="469">
        <v>187.5</v>
      </c>
      <c r="I191" s="463">
        <v>2015</v>
      </c>
      <c r="J191" s="949">
        <v>1</v>
      </c>
      <c r="K191" s="949">
        <v>1</v>
      </c>
      <c r="L191" s="948">
        <v>1</v>
      </c>
      <c r="M191" s="947">
        <v>0</v>
      </c>
      <c r="N191" s="946">
        <v>148.80000000000001</v>
      </c>
      <c r="O191" s="946">
        <v>176.4</v>
      </c>
      <c r="P191" s="946">
        <v>187.5</v>
      </c>
      <c r="Q191" s="946">
        <v>187.5</v>
      </c>
      <c r="R191" s="946">
        <v>148.80000000000001</v>
      </c>
      <c r="S191" s="952"/>
      <c r="T191" s="470" t="s">
        <v>648</v>
      </c>
      <c r="U191" s="249"/>
    </row>
    <row r="192" spans="2:21" ht="13.8">
      <c r="B192" s="249"/>
      <c r="C192" s="245" t="s">
        <v>406</v>
      </c>
      <c r="D192" s="249" t="s">
        <v>379</v>
      </c>
      <c r="E192" s="951">
        <v>45.4</v>
      </c>
      <c r="F192" s="951">
        <v>48.4</v>
      </c>
      <c r="G192" s="951">
        <v>55.1</v>
      </c>
      <c r="H192" s="951">
        <v>61.1</v>
      </c>
      <c r="I192" s="463">
        <v>2012</v>
      </c>
      <c r="J192" s="949">
        <v>1</v>
      </c>
      <c r="K192" s="949">
        <v>1.0589999999999999</v>
      </c>
      <c r="L192" s="948">
        <v>1.0589999999999999</v>
      </c>
      <c r="M192" s="947"/>
      <c r="N192" s="946">
        <v>48.1</v>
      </c>
      <c r="O192" s="946">
        <v>51.3</v>
      </c>
      <c r="P192" s="946">
        <v>58.4</v>
      </c>
      <c r="Q192" s="946">
        <v>64.7</v>
      </c>
      <c r="R192" s="946">
        <v>48.1</v>
      </c>
      <c r="S192" s="952" t="s">
        <v>542</v>
      </c>
      <c r="T192" s="470" t="s">
        <v>647</v>
      </c>
      <c r="U192" s="249"/>
    </row>
    <row r="193" spans="2:21" ht="13.8">
      <c r="B193" s="249"/>
      <c r="C193" s="245" t="s">
        <v>407</v>
      </c>
      <c r="D193" s="249" t="s">
        <v>379</v>
      </c>
      <c r="E193" s="954">
        <v>61.8</v>
      </c>
      <c r="F193" s="954">
        <v>63.3</v>
      </c>
      <c r="G193" s="954">
        <v>67.8</v>
      </c>
      <c r="H193" s="954">
        <v>71.5</v>
      </c>
      <c r="I193" s="463">
        <v>2012</v>
      </c>
      <c r="J193" s="949">
        <v>1</v>
      </c>
      <c r="K193" s="949">
        <v>1.0589999999999999</v>
      </c>
      <c r="L193" s="948">
        <v>1.0589999999999999</v>
      </c>
      <c r="M193" s="947"/>
      <c r="N193" s="946">
        <v>65.5</v>
      </c>
      <c r="O193" s="946">
        <v>67.099999999999994</v>
      </c>
      <c r="P193" s="946">
        <v>71.8</v>
      </c>
      <c r="Q193" s="946">
        <v>75.7</v>
      </c>
      <c r="R193" s="946">
        <v>65.5</v>
      </c>
      <c r="S193" s="952" t="s">
        <v>542</v>
      </c>
      <c r="T193" s="470" t="s">
        <v>647</v>
      </c>
      <c r="U193" s="249"/>
    </row>
    <row r="194" spans="2:21" ht="13.8">
      <c r="B194" s="249"/>
      <c r="C194" s="245" t="s">
        <v>408</v>
      </c>
      <c r="D194" s="249" t="s">
        <v>379</v>
      </c>
      <c r="E194" s="953">
        <v>72.5</v>
      </c>
      <c r="F194" s="953">
        <v>91.24</v>
      </c>
      <c r="G194" s="953">
        <v>157.88999999999999</v>
      </c>
      <c r="H194" s="953">
        <v>157.88999999999999</v>
      </c>
      <c r="I194" s="463">
        <v>2015</v>
      </c>
      <c r="J194" s="949">
        <v>1</v>
      </c>
      <c r="K194" s="949">
        <v>1</v>
      </c>
      <c r="L194" s="948">
        <v>1</v>
      </c>
      <c r="M194" s="947"/>
      <c r="N194" s="946">
        <v>72.5</v>
      </c>
      <c r="O194" s="946">
        <v>91.2</v>
      </c>
      <c r="P194" s="946">
        <v>157.9</v>
      </c>
      <c r="Q194" s="946">
        <v>157.9</v>
      </c>
      <c r="R194" s="946">
        <v>72.5</v>
      </c>
      <c r="S194" s="952"/>
      <c r="T194" s="470" t="s">
        <v>645</v>
      </c>
      <c r="U194" s="249"/>
    </row>
    <row r="195" spans="2:21" ht="13.8">
      <c r="B195" s="249"/>
      <c r="C195" s="245" t="s">
        <v>409</v>
      </c>
      <c r="D195" s="249" t="s">
        <v>379</v>
      </c>
      <c r="E195" s="953">
        <v>72.5</v>
      </c>
      <c r="F195" s="953">
        <v>91.24</v>
      </c>
      <c r="G195" s="953">
        <v>157.88999999999999</v>
      </c>
      <c r="H195" s="953">
        <v>157.88999999999999</v>
      </c>
      <c r="I195" s="463">
        <v>2015</v>
      </c>
      <c r="J195" s="949">
        <v>1</v>
      </c>
      <c r="K195" s="949">
        <v>1</v>
      </c>
      <c r="L195" s="948">
        <v>1</v>
      </c>
      <c r="M195" s="947"/>
      <c r="N195" s="946">
        <v>72.5</v>
      </c>
      <c r="O195" s="946">
        <v>91.2</v>
      </c>
      <c r="P195" s="946">
        <v>157.9</v>
      </c>
      <c r="Q195" s="946">
        <v>157.9</v>
      </c>
      <c r="R195" s="946">
        <v>72.5</v>
      </c>
      <c r="S195" s="952" t="s">
        <v>543</v>
      </c>
      <c r="T195" s="470" t="s">
        <v>645</v>
      </c>
      <c r="U195" s="249"/>
    </row>
    <row r="196" spans="2:21" ht="13.8">
      <c r="B196" s="249"/>
      <c r="C196" s="245" t="s">
        <v>412</v>
      </c>
      <c r="D196" s="249" t="s">
        <v>379</v>
      </c>
      <c r="E196" s="387">
        <v>44.31</v>
      </c>
      <c r="F196" s="387">
        <v>44.31</v>
      </c>
      <c r="G196" s="387">
        <v>44.31</v>
      </c>
      <c r="H196" s="387">
        <v>44.31</v>
      </c>
      <c r="I196" s="463">
        <v>2011</v>
      </c>
      <c r="J196" s="949">
        <v>1</v>
      </c>
      <c r="K196" s="949">
        <v>1.0640000000000001</v>
      </c>
      <c r="L196" s="948">
        <v>1.0640000000000001</v>
      </c>
      <c r="M196" s="947"/>
      <c r="N196" s="946">
        <v>47.2</v>
      </c>
      <c r="O196" s="946">
        <v>47.2</v>
      </c>
      <c r="P196" s="946">
        <v>47.2</v>
      </c>
      <c r="Q196" s="946">
        <v>47.2</v>
      </c>
      <c r="R196" s="946">
        <v>47.2</v>
      </c>
      <c r="S196" s="952"/>
      <c r="T196" s="390" t="s">
        <v>649</v>
      </c>
      <c r="U196" s="249"/>
    </row>
    <row r="197" spans="2:21" ht="13.8">
      <c r="B197" s="249"/>
      <c r="C197" s="245" t="s">
        <v>413</v>
      </c>
      <c r="D197" s="249" t="s">
        <v>379</v>
      </c>
      <c r="E197" s="384">
        <v>187</v>
      </c>
      <c r="F197" s="384">
        <v>186.2</v>
      </c>
      <c r="G197" s="384">
        <v>205</v>
      </c>
      <c r="H197" s="384">
        <v>205</v>
      </c>
      <c r="I197" s="463">
        <v>2010</v>
      </c>
      <c r="J197" s="949">
        <v>1</v>
      </c>
      <c r="K197" s="949">
        <v>1.1100000000000001</v>
      </c>
      <c r="L197" s="948">
        <v>1.1100000000000001</v>
      </c>
      <c r="M197" s="947"/>
      <c r="N197" s="946">
        <v>207.6</v>
      </c>
      <c r="O197" s="946">
        <v>206.6</v>
      </c>
      <c r="P197" s="946">
        <v>227.6</v>
      </c>
      <c r="Q197" s="946">
        <v>227.6</v>
      </c>
      <c r="R197" s="946">
        <v>207.6</v>
      </c>
      <c r="S197" s="952" t="s">
        <v>544</v>
      </c>
      <c r="T197" s="390" t="s">
        <v>650</v>
      </c>
      <c r="U197" s="249"/>
    </row>
    <row r="198" spans="2:21" ht="13.8">
      <c r="B198" s="249"/>
      <c r="C198" s="245" t="s">
        <v>414</v>
      </c>
      <c r="D198" s="249" t="s">
        <v>379</v>
      </c>
      <c r="E198" s="384">
        <v>146.80000000000001</v>
      </c>
      <c r="F198" s="384">
        <v>146.1</v>
      </c>
      <c r="G198" s="384">
        <v>160.9</v>
      </c>
      <c r="H198" s="384">
        <v>160.9</v>
      </c>
      <c r="I198" s="463">
        <v>2010</v>
      </c>
      <c r="J198" s="949">
        <v>1</v>
      </c>
      <c r="K198" s="949">
        <v>1.1100000000000001</v>
      </c>
      <c r="L198" s="948">
        <v>1.1100000000000001</v>
      </c>
      <c r="M198" s="947"/>
      <c r="N198" s="946">
        <v>162.9</v>
      </c>
      <c r="O198" s="946">
        <v>162.19999999999999</v>
      </c>
      <c r="P198" s="946">
        <v>178.6</v>
      </c>
      <c r="Q198" s="946">
        <v>178.6</v>
      </c>
      <c r="R198" s="946">
        <v>162.9</v>
      </c>
      <c r="S198" s="952" t="s">
        <v>544</v>
      </c>
      <c r="T198" s="390" t="s">
        <v>650</v>
      </c>
      <c r="U198" s="249"/>
    </row>
    <row r="199" spans="2:21" ht="13.8">
      <c r="B199" s="249"/>
      <c r="C199" s="245" t="s">
        <v>364</v>
      </c>
      <c r="D199" s="249" t="s">
        <v>379</v>
      </c>
      <c r="E199" s="469">
        <v>80</v>
      </c>
      <c r="F199" s="469">
        <v>94.8</v>
      </c>
      <c r="G199" s="469">
        <v>100.8</v>
      </c>
      <c r="H199" s="469">
        <v>100.8</v>
      </c>
      <c r="I199" s="463">
        <v>2013</v>
      </c>
      <c r="J199" s="949">
        <v>1</v>
      </c>
      <c r="K199" s="949">
        <v>1.038</v>
      </c>
      <c r="L199" s="948">
        <v>1.038</v>
      </c>
      <c r="M199" s="947"/>
      <c r="N199" s="946">
        <v>83.1</v>
      </c>
      <c r="O199" s="946">
        <v>98.5</v>
      </c>
      <c r="P199" s="946">
        <v>104.7</v>
      </c>
      <c r="Q199" s="946">
        <v>104.7</v>
      </c>
      <c r="R199" s="946">
        <v>83.1</v>
      </c>
      <c r="S199" s="249"/>
      <c r="T199" s="236"/>
      <c r="U199" s="249"/>
    </row>
    <row r="200" spans="2:21" ht="13.8">
      <c r="B200" s="249"/>
      <c r="C200" s="245" t="s">
        <v>545</v>
      </c>
      <c r="D200" s="249" t="s">
        <v>546</v>
      </c>
      <c r="E200" s="384">
        <v>0</v>
      </c>
      <c r="F200" s="384">
        <v>0</v>
      </c>
      <c r="G200" s="384">
        <v>0</v>
      </c>
      <c r="H200" s="384">
        <v>0</v>
      </c>
      <c r="I200" s="463">
        <v>2010</v>
      </c>
      <c r="J200" s="949">
        <v>1</v>
      </c>
      <c r="K200" s="949">
        <v>1.1100000000000001</v>
      </c>
      <c r="L200" s="948">
        <v>1.1100000000000001</v>
      </c>
      <c r="M200" s="947"/>
      <c r="N200" s="946">
        <v>0.1</v>
      </c>
      <c r="O200" s="946">
        <v>0.1</v>
      </c>
      <c r="P200" s="946">
        <v>0.1</v>
      </c>
      <c r="Q200" s="946">
        <v>0.1</v>
      </c>
      <c r="R200" s="948">
        <v>5.2999999999999999E-2</v>
      </c>
      <c r="S200" s="249"/>
      <c r="T200" s="390" t="s">
        <v>556</v>
      </c>
      <c r="U200" s="249"/>
    </row>
    <row r="201" spans="2:21" ht="13.8">
      <c r="B201" s="249"/>
      <c r="C201" s="245" t="s">
        <v>547</v>
      </c>
      <c r="D201" s="249" t="s">
        <v>546</v>
      </c>
      <c r="E201" s="384">
        <v>0</v>
      </c>
      <c r="F201" s="384">
        <v>0</v>
      </c>
      <c r="G201" s="384">
        <v>0</v>
      </c>
      <c r="H201" s="384">
        <v>0</v>
      </c>
      <c r="I201" s="463">
        <v>2010</v>
      </c>
      <c r="J201" s="949">
        <v>1</v>
      </c>
      <c r="K201" s="949">
        <v>1.1100000000000001</v>
      </c>
      <c r="L201" s="948">
        <v>1.1100000000000001</v>
      </c>
      <c r="M201" s="947"/>
      <c r="N201" s="946">
        <v>0.1</v>
      </c>
      <c r="O201" s="946">
        <v>0.1</v>
      </c>
      <c r="P201" s="946">
        <v>0.1</v>
      </c>
      <c r="Q201" s="946">
        <v>0.1</v>
      </c>
      <c r="R201" s="948">
        <v>5.2999999999999999E-2</v>
      </c>
      <c r="S201" s="249"/>
      <c r="T201" s="390" t="s">
        <v>556</v>
      </c>
      <c r="U201" s="249"/>
    </row>
    <row r="202" spans="2:21" ht="13.8">
      <c r="B202" s="249"/>
      <c r="C202" s="245" t="s">
        <v>548</v>
      </c>
      <c r="D202" s="249" t="s">
        <v>546</v>
      </c>
      <c r="E202" s="384">
        <v>0</v>
      </c>
      <c r="F202" s="384">
        <v>0</v>
      </c>
      <c r="G202" s="384">
        <v>0</v>
      </c>
      <c r="H202" s="384">
        <v>0</v>
      </c>
      <c r="I202" s="463">
        <v>2010</v>
      </c>
      <c r="J202" s="949">
        <v>1</v>
      </c>
      <c r="K202" s="949">
        <v>1.1100000000000001</v>
      </c>
      <c r="L202" s="948">
        <v>1.1100000000000001</v>
      </c>
      <c r="M202" s="947"/>
      <c r="N202" s="946">
        <v>0</v>
      </c>
      <c r="O202" s="946">
        <v>0</v>
      </c>
      <c r="P202" s="946">
        <v>0</v>
      </c>
      <c r="Q202" s="946">
        <v>0</v>
      </c>
      <c r="R202" s="948">
        <v>0.02</v>
      </c>
      <c r="S202" s="249"/>
      <c r="T202" s="390" t="s">
        <v>556</v>
      </c>
      <c r="U202" s="249"/>
    </row>
    <row r="203" spans="2:21" ht="13.8">
      <c r="B203" s="249"/>
      <c r="C203" s="245" t="s">
        <v>549</v>
      </c>
      <c r="D203" s="249" t="s">
        <v>546</v>
      </c>
      <c r="E203" s="384">
        <v>0.1</v>
      </c>
      <c r="F203" s="384">
        <v>0.1</v>
      </c>
      <c r="G203" s="384">
        <v>0.1</v>
      </c>
      <c r="H203" s="384">
        <v>0.1</v>
      </c>
      <c r="I203" s="463">
        <v>2010</v>
      </c>
      <c r="J203" s="949">
        <v>1</v>
      </c>
      <c r="K203" s="949">
        <v>1.1100000000000001</v>
      </c>
      <c r="L203" s="948">
        <v>1.1100000000000001</v>
      </c>
      <c r="M203" s="947"/>
      <c r="N203" s="946">
        <v>0.1</v>
      </c>
      <c r="O203" s="946">
        <v>0.1</v>
      </c>
      <c r="P203" s="946">
        <v>0.1</v>
      </c>
      <c r="Q203" s="946">
        <v>0.1</v>
      </c>
      <c r="R203" s="948">
        <v>0.108</v>
      </c>
      <c r="S203" s="249"/>
      <c r="T203" s="390" t="s">
        <v>556</v>
      </c>
      <c r="U203" s="249"/>
    </row>
    <row r="204" spans="2:21" ht="13.8">
      <c r="B204" s="249"/>
      <c r="C204" s="245" t="s">
        <v>550</v>
      </c>
      <c r="D204" s="249" t="s">
        <v>546</v>
      </c>
      <c r="E204" s="384">
        <v>0</v>
      </c>
      <c r="F204" s="384">
        <v>0</v>
      </c>
      <c r="G204" s="384">
        <v>0</v>
      </c>
      <c r="H204" s="384">
        <v>0</v>
      </c>
      <c r="I204" s="463">
        <v>2010</v>
      </c>
      <c r="J204" s="949">
        <v>1</v>
      </c>
      <c r="K204" s="949">
        <v>1.1100000000000001</v>
      </c>
      <c r="L204" s="948">
        <v>1.1100000000000001</v>
      </c>
      <c r="M204" s="947"/>
      <c r="N204" s="946">
        <v>0</v>
      </c>
      <c r="O204" s="946">
        <v>0</v>
      </c>
      <c r="P204" s="946">
        <v>0</v>
      </c>
      <c r="Q204" s="946">
        <v>0</v>
      </c>
      <c r="R204" s="948">
        <v>0</v>
      </c>
      <c r="S204" s="249"/>
      <c r="T204" s="390" t="s">
        <v>556</v>
      </c>
      <c r="U204" s="249"/>
    </row>
    <row r="205" spans="2:21" ht="13.8">
      <c r="B205" s="249"/>
      <c r="C205" s="245" t="s">
        <v>551</v>
      </c>
      <c r="D205" s="249" t="s">
        <v>546</v>
      </c>
      <c r="E205" s="384">
        <v>0</v>
      </c>
      <c r="F205" s="384">
        <v>0</v>
      </c>
      <c r="G205" s="384">
        <v>0</v>
      </c>
      <c r="H205" s="384">
        <v>0</v>
      </c>
      <c r="I205" s="463">
        <v>2010</v>
      </c>
      <c r="J205" s="949">
        <v>1</v>
      </c>
      <c r="K205" s="949">
        <v>1.1100000000000001</v>
      </c>
      <c r="L205" s="948">
        <v>1.1100000000000001</v>
      </c>
      <c r="M205" s="947"/>
      <c r="N205" s="946">
        <v>0</v>
      </c>
      <c r="O205" s="946">
        <v>0</v>
      </c>
      <c r="P205" s="946">
        <v>0</v>
      </c>
      <c r="Q205" s="946">
        <v>0</v>
      </c>
      <c r="R205" s="948">
        <v>0</v>
      </c>
      <c r="S205" s="249"/>
      <c r="T205" s="390" t="s">
        <v>556</v>
      </c>
      <c r="U205" s="249"/>
    </row>
    <row r="206" spans="2:21" ht="13.8">
      <c r="B206" s="249"/>
      <c r="C206" s="245" t="s">
        <v>552</v>
      </c>
      <c r="D206" s="249" t="s">
        <v>546</v>
      </c>
      <c r="E206" s="384">
        <v>0</v>
      </c>
      <c r="F206" s="384">
        <v>0</v>
      </c>
      <c r="G206" s="384">
        <v>0</v>
      </c>
      <c r="H206" s="384">
        <v>0</v>
      </c>
      <c r="I206" s="463">
        <v>2010</v>
      </c>
      <c r="J206" s="949">
        <v>1</v>
      </c>
      <c r="K206" s="949">
        <v>1.1100000000000001</v>
      </c>
      <c r="L206" s="948">
        <v>1.1100000000000001</v>
      </c>
      <c r="M206" s="947"/>
      <c r="N206" s="946">
        <v>0</v>
      </c>
      <c r="O206" s="946">
        <v>0</v>
      </c>
      <c r="P206" s="946">
        <v>0</v>
      </c>
      <c r="Q206" s="946">
        <v>0</v>
      </c>
      <c r="R206" s="948">
        <v>0</v>
      </c>
      <c r="S206" s="249"/>
      <c r="T206" s="390" t="s">
        <v>556</v>
      </c>
      <c r="U206" s="249"/>
    </row>
    <row r="207" spans="2:21" ht="13.8">
      <c r="B207" s="249"/>
      <c r="C207" s="245" t="s">
        <v>553</v>
      </c>
      <c r="D207" s="249" t="s">
        <v>546</v>
      </c>
      <c r="E207" s="384">
        <v>0</v>
      </c>
      <c r="F207" s="384">
        <v>0</v>
      </c>
      <c r="G207" s="384">
        <v>0</v>
      </c>
      <c r="H207" s="384">
        <v>0</v>
      </c>
      <c r="I207" s="463">
        <v>2010</v>
      </c>
      <c r="J207" s="949">
        <v>1</v>
      </c>
      <c r="K207" s="949">
        <v>1.1100000000000001</v>
      </c>
      <c r="L207" s="948">
        <v>1.1100000000000001</v>
      </c>
      <c r="M207" s="947"/>
      <c r="N207" s="946">
        <v>0</v>
      </c>
      <c r="O207" s="946">
        <v>0</v>
      </c>
      <c r="P207" s="946">
        <v>0</v>
      </c>
      <c r="Q207" s="946">
        <v>0</v>
      </c>
      <c r="R207" s="948">
        <v>0</v>
      </c>
      <c r="S207" s="249"/>
      <c r="T207" s="390" t="s">
        <v>556</v>
      </c>
      <c r="U207" s="249"/>
    </row>
    <row r="208" spans="2:21" ht="13.8">
      <c r="B208" s="249"/>
      <c r="C208" s="245" t="s">
        <v>651</v>
      </c>
      <c r="D208" s="249" t="s">
        <v>379</v>
      </c>
      <c r="E208" s="275">
        <v>467.1</v>
      </c>
      <c r="F208" s="275">
        <v>287.89999999999998</v>
      </c>
      <c r="G208" s="275">
        <v>355.4</v>
      </c>
      <c r="H208" s="951">
        <v>357.4</v>
      </c>
      <c r="I208" s="950">
        <v>2015</v>
      </c>
      <c r="J208" s="949">
        <v>1</v>
      </c>
      <c r="K208" s="949">
        <v>1</v>
      </c>
      <c r="L208" s="948">
        <v>1</v>
      </c>
      <c r="M208" s="947"/>
      <c r="N208" s="946">
        <v>467.1</v>
      </c>
      <c r="O208" s="946">
        <v>287.89999999999998</v>
      </c>
      <c r="P208" s="946">
        <v>355.4</v>
      </c>
      <c r="Q208" s="946">
        <v>357.4</v>
      </c>
      <c r="R208" s="946">
        <v>467.1</v>
      </c>
      <c r="S208" s="249"/>
      <c r="T208" s="236" t="s">
        <v>652</v>
      </c>
      <c r="U208" s="249"/>
    </row>
    <row r="209" spans="2:21" ht="13.8">
      <c r="B209" s="249"/>
      <c r="C209" s="245"/>
      <c r="D209" s="249"/>
      <c r="E209" s="275"/>
      <c r="F209" s="275"/>
      <c r="G209" s="275"/>
      <c r="H209" s="951"/>
      <c r="I209" s="950"/>
      <c r="J209" s="949"/>
      <c r="K209" s="949"/>
      <c r="L209" s="948"/>
      <c r="M209" s="947"/>
      <c r="N209" s="946"/>
      <c r="O209" s="946"/>
      <c r="P209" s="946"/>
      <c r="Q209" s="946"/>
      <c r="R209" s="946"/>
      <c r="S209" s="249"/>
      <c r="T209" s="236"/>
      <c r="U209" s="249"/>
    </row>
    <row r="210" spans="2:21" ht="13.8">
      <c r="B210" s="249"/>
      <c r="C210" s="245"/>
      <c r="D210" s="249"/>
      <c r="E210" s="275"/>
      <c r="F210" s="275"/>
      <c r="G210" s="275"/>
      <c r="H210" s="951"/>
      <c r="I210" s="950"/>
      <c r="J210" s="949"/>
      <c r="K210" s="949"/>
      <c r="L210" s="948"/>
      <c r="M210" s="947"/>
      <c r="N210" s="946"/>
      <c r="O210" s="946"/>
      <c r="P210" s="946"/>
      <c r="Q210" s="946"/>
      <c r="R210" s="946"/>
      <c r="S210" s="249"/>
      <c r="T210" s="236"/>
      <c r="U210" s="249"/>
    </row>
    <row r="211" spans="2:21" ht="13.8">
      <c r="B211" s="249"/>
      <c r="C211" s="245"/>
      <c r="D211" s="249"/>
      <c r="E211" s="275"/>
      <c r="F211" s="275"/>
      <c r="G211" s="275"/>
      <c r="H211" s="951"/>
      <c r="I211" s="950"/>
      <c r="J211" s="949"/>
      <c r="K211" s="949"/>
      <c r="L211" s="948"/>
      <c r="M211" s="947"/>
      <c r="N211" s="946"/>
      <c r="O211" s="946"/>
      <c r="P211" s="946"/>
      <c r="Q211" s="946"/>
      <c r="R211" s="946"/>
      <c r="S211" s="249"/>
      <c r="T211" s="236"/>
      <c r="U211" s="249"/>
    </row>
    <row r="212" spans="2:21" ht="13.8">
      <c r="B212" s="249"/>
      <c r="C212" s="245"/>
      <c r="D212" s="249"/>
      <c r="E212" s="275"/>
      <c r="F212" s="275"/>
      <c r="G212" s="275"/>
      <c r="H212" s="951"/>
      <c r="I212" s="950"/>
      <c r="J212" s="949"/>
      <c r="K212" s="949"/>
      <c r="L212" s="948"/>
      <c r="M212" s="947"/>
      <c r="N212" s="946"/>
      <c r="O212" s="946"/>
      <c r="P212" s="946"/>
      <c r="Q212" s="946"/>
      <c r="R212" s="946"/>
      <c r="S212" s="249"/>
      <c r="T212" s="236"/>
      <c r="U212" s="249"/>
    </row>
    <row r="213" spans="2:21" ht="14.4" thickBot="1">
      <c r="B213" s="249"/>
      <c r="C213" s="945"/>
      <c r="D213" s="937"/>
      <c r="E213" s="944"/>
      <c r="F213" s="944"/>
      <c r="G213" s="944"/>
      <c r="H213" s="943"/>
      <c r="I213" s="942"/>
      <c r="J213" s="941"/>
      <c r="K213" s="941"/>
      <c r="L213" s="940"/>
      <c r="M213" s="939"/>
      <c r="N213" s="938"/>
      <c r="O213" s="938"/>
      <c r="P213" s="938"/>
      <c r="Q213" s="938"/>
      <c r="R213" s="938"/>
      <c r="S213" s="937"/>
      <c r="T213" s="936"/>
      <c r="U213" s="249"/>
    </row>
    <row r="214" spans="2:21" ht="14.4" thickBot="1">
      <c r="B214" s="249"/>
      <c r="C214" s="227" t="s">
        <v>554</v>
      </c>
      <c r="D214" s="226"/>
      <c r="E214" s="226">
        <v>1</v>
      </c>
      <c r="F214" s="226"/>
      <c r="G214" s="226"/>
      <c r="H214" s="226"/>
      <c r="I214" s="226">
        <v>2005</v>
      </c>
      <c r="J214" s="268">
        <v>1</v>
      </c>
      <c r="K214" s="268">
        <v>1.2689999999999999</v>
      </c>
      <c r="L214" s="225">
        <v>0.78800000000000003</v>
      </c>
      <c r="M214" s="225"/>
      <c r="N214" s="226"/>
      <c r="O214" s="226"/>
      <c r="P214" s="226"/>
      <c r="Q214" s="226"/>
      <c r="R214" s="226"/>
      <c r="S214" s="936"/>
      <c r="T214" s="249"/>
      <c r="U214" s="249"/>
    </row>
    <row r="215" spans="2:21" ht="13.8">
      <c r="B215" s="249"/>
      <c r="C215" s="935" t="s">
        <v>555</v>
      </c>
      <c r="D215" s="249"/>
      <c r="E215" s="249"/>
      <c r="F215" s="249"/>
      <c r="G215" s="249"/>
      <c r="H215" s="249"/>
      <c r="I215" s="249"/>
      <c r="J215" s="249"/>
      <c r="K215" s="249"/>
      <c r="L215" s="249"/>
      <c r="M215" s="249"/>
      <c r="N215" s="249"/>
      <c r="O215" s="249"/>
      <c r="P215" s="249"/>
      <c r="Q215" s="249"/>
      <c r="R215" s="249"/>
      <c r="S215" s="249"/>
      <c r="T215" s="249"/>
      <c r="U215" s="249"/>
    </row>
    <row r="216" spans="2:21" ht="13.8">
      <c r="B216" s="249"/>
      <c r="C216" s="934" t="s">
        <v>653</v>
      </c>
      <c r="D216" s="249"/>
      <c r="E216" s="249"/>
      <c r="F216" s="249"/>
      <c r="G216" s="249"/>
      <c r="H216" s="249"/>
      <c r="I216" s="249"/>
      <c r="J216" s="249"/>
      <c r="K216" s="249"/>
      <c r="L216" s="249"/>
      <c r="M216" s="249"/>
      <c r="N216" s="249"/>
      <c r="O216" s="249"/>
      <c r="P216" s="249"/>
      <c r="Q216" s="249"/>
      <c r="R216" s="249"/>
      <c r="S216" s="249"/>
      <c r="T216" s="249"/>
      <c r="U216" s="249"/>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92D050"/>
  </sheetPr>
  <dimension ref="A1:T126"/>
  <sheetViews>
    <sheetView topLeftCell="A24" zoomScale="70" zoomScaleNormal="70" workbookViewId="0">
      <selection activeCell="E48" sqref="E48"/>
    </sheetView>
  </sheetViews>
  <sheetFormatPr defaultColWidth="8.44140625" defaultRowHeight="13.2"/>
  <cols>
    <col min="1" max="1" width="8.44140625" style="484"/>
    <col min="2" max="2" width="5.44140625" customWidth="1"/>
    <col min="3" max="3" width="21.44140625" bestFit="1" customWidth="1"/>
    <col min="4" max="4" width="7.44140625" bestFit="1" customWidth="1"/>
    <col min="5" max="5" width="13.44140625" bestFit="1" customWidth="1"/>
    <col min="6" max="6" width="26.44140625" bestFit="1" customWidth="1"/>
    <col min="7" max="7" width="4.44140625" bestFit="1" customWidth="1"/>
    <col min="8" max="8" width="10.44140625" customWidth="1"/>
    <col min="9" max="9" width="11.44140625" bestFit="1" customWidth="1"/>
  </cols>
  <sheetData>
    <row r="1" spans="1:15">
      <c r="C1" s="2"/>
      <c r="D1" s="2"/>
    </row>
    <row r="2" spans="1:15">
      <c r="C2" s="2"/>
      <c r="D2" s="2"/>
    </row>
    <row r="3" spans="1:15">
      <c r="C3" s="13" t="s">
        <v>8</v>
      </c>
      <c r="D3" s="14"/>
      <c r="E3" s="15"/>
      <c r="F3" s="15"/>
      <c r="G3" s="15"/>
      <c r="H3" s="15"/>
      <c r="I3" s="15"/>
      <c r="J3" s="15"/>
      <c r="K3" s="15"/>
    </row>
    <row r="4" spans="1:15" ht="13.8">
      <c r="C4" s="16" t="s">
        <v>5</v>
      </c>
      <c r="D4" s="16" t="s">
        <v>0</v>
      </c>
      <c r="E4" s="16" t="s">
        <v>3</v>
      </c>
      <c r="F4" s="16" t="s">
        <v>4</v>
      </c>
      <c r="G4" s="16" t="s">
        <v>6</v>
      </c>
      <c r="H4" s="16" t="s">
        <v>9</v>
      </c>
      <c r="I4" s="16" t="s">
        <v>10</v>
      </c>
      <c r="J4" s="16" t="s">
        <v>11</v>
      </c>
      <c r="K4" s="16" t="s">
        <v>12</v>
      </c>
    </row>
    <row r="5" spans="1:15" ht="24" customHeight="1">
      <c r="C5" s="558" t="s">
        <v>32</v>
      </c>
      <c r="D5" s="559" t="s">
        <v>24</v>
      </c>
      <c r="E5" s="559" t="s">
        <v>33</v>
      </c>
      <c r="F5" s="559" t="s">
        <v>34</v>
      </c>
      <c r="G5" s="559" t="s">
        <v>6</v>
      </c>
      <c r="H5" s="559" t="s">
        <v>35</v>
      </c>
      <c r="I5" s="559" t="s">
        <v>36</v>
      </c>
      <c r="J5" s="559" t="s">
        <v>37</v>
      </c>
      <c r="K5" s="559" t="s">
        <v>38</v>
      </c>
    </row>
    <row r="6" spans="1:15" s="484" customFormat="1">
      <c r="A6" s="557" t="s">
        <v>781</v>
      </c>
      <c r="B6" s="555"/>
      <c r="C6" s="554" t="s">
        <v>39</v>
      </c>
      <c r="E6" s="480" t="s">
        <v>779</v>
      </c>
      <c r="F6" s="480" t="s">
        <v>780</v>
      </c>
      <c r="G6" s="480" t="s">
        <v>62</v>
      </c>
      <c r="H6" s="480"/>
      <c r="I6" s="480"/>
      <c r="J6" s="480"/>
      <c r="K6" s="480"/>
    </row>
    <row r="7" spans="1:15" s="484" customFormat="1">
      <c r="A7" s="557" t="s">
        <v>781</v>
      </c>
      <c r="B7" s="555"/>
      <c r="C7" s="556"/>
      <c r="E7" s="480" t="s">
        <v>782</v>
      </c>
      <c r="F7" s="480" t="s">
        <v>783</v>
      </c>
      <c r="G7" s="480" t="s">
        <v>62</v>
      </c>
      <c r="H7" s="480"/>
      <c r="I7" s="480"/>
      <c r="J7" s="480"/>
      <c r="K7" s="480"/>
    </row>
    <row r="8" spans="1:15" s="484" customFormat="1">
      <c r="A8" s="557" t="s">
        <v>781</v>
      </c>
      <c r="B8" s="555"/>
      <c r="C8" s="556"/>
      <c r="E8" s="480" t="s">
        <v>784</v>
      </c>
      <c r="F8" s="480" t="s">
        <v>785</v>
      </c>
      <c r="G8" s="480" t="s">
        <v>62</v>
      </c>
      <c r="H8" s="480"/>
      <c r="I8" s="480"/>
      <c r="J8" s="480"/>
      <c r="K8" s="480"/>
    </row>
    <row r="9" spans="1:15" s="484" customFormat="1">
      <c r="A9" s="557" t="s">
        <v>781</v>
      </c>
      <c r="B9" s="555"/>
      <c r="C9" s="556"/>
      <c r="E9" s="480" t="s">
        <v>786</v>
      </c>
      <c r="F9" s="480" t="s">
        <v>787</v>
      </c>
      <c r="G9" s="480" t="s">
        <v>62</v>
      </c>
      <c r="H9" s="480"/>
      <c r="I9" s="480"/>
      <c r="J9" s="480"/>
      <c r="K9" s="480"/>
    </row>
    <row r="10" spans="1:15" s="484" customFormat="1">
      <c r="A10" s="557" t="s">
        <v>781</v>
      </c>
      <c r="B10" s="555"/>
      <c r="C10" s="556"/>
      <c r="E10" s="480" t="s">
        <v>788</v>
      </c>
      <c r="F10" s="480" t="s">
        <v>789</v>
      </c>
      <c r="G10" s="480" t="s">
        <v>62</v>
      </c>
      <c r="H10" s="480"/>
      <c r="I10" s="480"/>
      <c r="J10" s="480"/>
      <c r="K10" s="480"/>
    </row>
    <row r="11" spans="1:15" s="484" customFormat="1">
      <c r="A11" s="557" t="s">
        <v>781</v>
      </c>
      <c r="B11" s="555"/>
      <c r="C11" s="556"/>
      <c r="E11" s="480" t="s">
        <v>790</v>
      </c>
      <c r="F11" s="480" t="s">
        <v>791</v>
      </c>
      <c r="G11" s="480" t="s">
        <v>62</v>
      </c>
      <c r="H11" s="480"/>
      <c r="I11" s="480"/>
      <c r="J11" s="480"/>
      <c r="K11" s="480"/>
    </row>
    <row r="12" spans="1:15" s="7" customFormat="1">
      <c r="A12" s="7" t="s">
        <v>749</v>
      </c>
      <c r="C12" s="217"/>
      <c r="D12" s="218"/>
      <c r="E12" s="213" t="s">
        <v>40</v>
      </c>
      <c r="F12" s="213" t="s">
        <v>49</v>
      </c>
      <c r="G12" s="212" t="s">
        <v>62</v>
      </c>
      <c r="H12" s="213"/>
      <c r="I12" s="213"/>
      <c r="J12" s="213"/>
      <c r="K12" s="213"/>
    </row>
    <row r="13" spans="1:15">
      <c r="C13" s="19"/>
      <c r="D13" s="19"/>
      <c r="E13" s="20" t="s">
        <v>41</v>
      </c>
      <c r="F13" s="20" t="s">
        <v>60</v>
      </c>
      <c r="G13" s="18" t="s">
        <v>62</v>
      </c>
      <c r="H13" s="19" t="s">
        <v>1645</v>
      </c>
      <c r="I13" s="19"/>
      <c r="J13" s="19"/>
      <c r="K13" s="19"/>
    </row>
    <row r="14" spans="1:15">
      <c r="B14" s="7"/>
      <c r="C14" s="20"/>
      <c r="D14" s="19"/>
      <c r="E14" s="20" t="s">
        <v>93</v>
      </c>
      <c r="F14" s="20" t="s">
        <v>94</v>
      </c>
      <c r="G14" s="18" t="s">
        <v>62</v>
      </c>
      <c r="H14" s="19" t="s">
        <v>1645</v>
      </c>
      <c r="I14" s="19"/>
      <c r="J14" s="19"/>
      <c r="K14" s="19"/>
      <c r="M14" s="99"/>
      <c r="N14" s="99"/>
      <c r="O14" s="99"/>
    </row>
    <row r="15" spans="1:15">
      <c r="B15" s="7"/>
      <c r="C15" s="20"/>
      <c r="D15" s="19"/>
      <c r="E15" s="18" t="s">
        <v>75</v>
      </c>
      <c r="F15" s="18" t="s">
        <v>179</v>
      </c>
      <c r="G15" s="18" t="s">
        <v>62</v>
      </c>
      <c r="H15" s="19"/>
      <c r="I15" s="19"/>
      <c r="J15" s="19"/>
      <c r="K15" s="19"/>
    </row>
    <row r="16" spans="1:15">
      <c r="B16" s="7"/>
      <c r="C16" s="20"/>
      <c r="D16" s="19"/>
      <c r="E16" s="18" t="s">
        <v>100</v>
      </c>
      <c r="F16" s="18" t="s">
        <v>193</v>
      </c>
      <c r="G16" s="18" t="s">
        <v>62</v>
      </c>
      <c r="H16" s="19"/>
      <c r="I16" s="19"/>
      <c r="J16" s="19"/>
      <c r="K16" s="19"/>
      <c r="M16" s="99"/>
      <c r="N16" s="99"/>
      <c r="O16" s="99"/>
    </row>
    <row r="17" spans="1:15">
      <c r="B17" s="7"/>
      <c r="C17" s="20"/>
      <c r="D17" s="19"/>
      <c r="E17" s="18" t="s">
        <v>76</v>
      </c>
      <c r="F17" s="18" t="s">
        <v>77</v>
      </c>
      <c r="G17" s="18" t="s">
        <v>62</v>
      </c>
      <c r="H17" s="19"/>
      <c r="I17" s="19"/>
      <c r="J17" s="19"/>
      <c r="K17" s="19"/>
      <c r="M17" s="99"/>
      <c r="N17" s="99"/>
      <c r="O17" s="99"/>
    </row>
    <row r="18" spans="1:15">
      <c r="B18" s="7"/>
      <c r="C18" s="20"/>
      <c r="D18" s="19"/>
      <c r="E18" s="18" t="s">
        <v>79</v>
      </c>
      <c r="F18" s="18" t="s">
        <v>78</v>
      </c>
      <c r="G18" s="18" t="s">
        <v>62</v>
      </c>
      <c r="H18" s="19"/>
      <c r="I18" s="19"/>
      <c r="J18" s="19"/>
      <c r="K18" s="19"/>
      <c r="M18" s="99"/>
      <c r="N18" s="99"/>
      <c r="O18" s="99"/>
    </row>
    <row r="19" spans="1:15">
      <c r="B19" s="7"/>
      <c r="C19" s="20"/>
      <c r="D19" s="19"/>
      <c r="E19" s="20" t="s">
        <v>45</v>
      </c>
      <c r="F19" s="20" t="s">
        <v>51</v>
      </c>
      <c r="G19" s="18" t="s">
        <v>62</v>
      </c>
      <c r="H19" s="19"/>
      <c r="I19" s="19"/>
      <c r="J19" s="19"/>
      <c r="K19" s="19"/>
    </row>
    <row r="20" spans="1:15">
      <c r="B20" s="7"/>
      <c r="C20" s="20"/>
      <c r="D20" s="481"/>
      <c r="E20" s="20" t="s">
        <v>44</v>
      </c>
      <c r="F20" s="20" t="s">
        <v>50</v>
      </c>
      <c r="G20" s="18" t="s">
        <v>62</v>
      </c>
      <c r="H20" s="481"/>
      <c r="I20" s="481"/>
      <c r="J20" s="481"/>
      <c r="K20" s="481"/>
    </row>
    <row r="21" spans="1:15" s="484" customFormat="1">
      <c r="B21" s="7"/>
      <c r="C21" s="20"/>
      <c r="D21" s="481"/>
      <c r="E21" s="20" t="s">
        <v>759</v>
      </c>
      <c r="F21" s="20" t="s">
        <v>760</v>
      </c>
      <c r="G21" s="18" t="s">
        <v>62</v>
      </c>
      <c r="H21" s="481"/>
      <c r="I21" s="481"/>
      <c r="J21" s="481"/>
      <c r="K21" s="481"/>
    </row>
    <row r="22" spans="1:15">
      <c r="C22" s="525"/>
      <c r="D22" s="525"/>
      <c r="E22" s="526" t="s">
        <v>702</v>
      </c>
      <c r="F22" s="526" t="s">
        <v>696</v>
      </c>
      <c r="G22" s="526" t="s">
        <v>62</v>
      </c>
      <c r="H22" s="526"/>
      <c r="I22" s="525"/>
      <c r="J22" s="525"/>
      <c r="K22" s="525"/>
    </row>
    <row r="23" spans="1:15">
      <c r="A23" s="484" t="s">
        <v>752</v>
      </c>
      <c r="C23" s="19"/>
      <c r="D23" s="19"/>
      <c r="E23" s="20" t="s">
        <v>192</v>
      </c>
      <c r="F23" s="20" t="s">
        <v>55</v>
      </c>
      <c r="G23" s="18" t="s">
        <v>62</v>
      </c>
      <c r="H23" s="19"/>
      <c r="I23" s="19"/>
      <c r="J23" s="19"/>
      <c r="K23" s="19"/>
    </row>
    <row r="24" spans="1:15">
      <c r="B24" s="484"/>
      <c r="C24" s="481"/>
      <c r="D24" s="481"/>
      <c r="E24" s="398" t="s">
        <v>747</v>
      </c>
      <c r="F24" s="398" t="s">
        <v>748</v>
      </c>
      <c r="G24" s="398" t="s">
        <v>62</v>
      </c>
      <c r="H24" s="20"/>
      <c r="I24" s="20"/>
      <c r="J24" s="481"/>
      <c r="K24" s="481"/>
    </row>
    <row r="25" spans="1:15" s="484" customFormat="1">
      <c r="B25"/>
      <c r="C25" s="481"/>
      <c r="D25" s="481"/>
      <c r="E25" s="18" t="s">
        <v>357</v>
      </c>
      <c r="F25" s="18" t="s">
        <v>358</v>
      </c>
      <c r="G25" s="18" t="s">
        <v>62</v>
      </c>
      <c r="H25" s="20"/>
      <c r="I25" s="481"/>
      <c r="J25" s="481"/>
      <c r="K25" s="481"/>
    </row>
    <row r="26" spans="1:15">
      <c r="B26" s="484"/>
      <c r="C26" s="481"/>
      <c r="D26" s="481"/>
      <c r="E26" s="398" t="s">
        <v>755</v>
      </c>
      <c r="F26" s="398" t="s">
        <v>756</v>
      </c>
      <c r="G26" s="18" t="s">
        <v>62</v>
      </c>
      <c r="H26" s="20"/>
      <c r="I26" s="481"/>
      <c r="J26" s="481"/>
      <c r="K26" s="481"/>
      <c r="L26" s="1"/>
      <c r="M26" s="1"/>
    </row>
    <row r="27" spans="1:15">
      <c r="B27" s="484"/>
      <c r="C27" s="481"/>
      <c r="D27" s="481"/>
      <c r="E27" s="398" t="s">
        <v>757</v>
      </c>
      <c r="F27" s="398" t="s">
        <v>758</v>
      </c>
      <c r="G27" s="18" t="s">
        <v>62</v>
      </c>
      <c r="H27" s="20"/>
      <c r="I27" s="481"/>
      <c r="J27" s="481"/>
      <c r="K27" s="481"/>
      <c r="L27" s="1"/>
      <c r="M27" s="1"/>
    </row>
    <row r="28" spans="1:15" s="484" customFormat="1">
      <c r="C28" s="481"/>
      <c r="D28" s="481"/>
      <c r="E28" s="398" t="s">
        <v>761</v>
      </c>
      <c r="F28" s="398" t="s">
        <v>762</v>
      </c>
      <c r="G28" s="398" t="s">
        <v>62</v>
      </c>
      <c r="H28" s="20"/>
      <c r="I28" s="481"/>
      <c r="J28" s="481"/>
      <c r="K28" s="481"/>
      <c r="L28" s="1"/>
      <c r="M28" s="1"/>
      <c r="N28" s="519"/>
      <c r="O28" s="519"/>
    </row>
    <row r="29" spans="1:15">
      <c r="C29" s="525"/>
      <c r="D29" s="525"/>
      <c r="E29" s="526" t="s">
        <v>692</v>
      </c>
      <c r="F29" s="526" t="s">
        <v>693</v>
      </c>
      <c r="G29" s="526" t="s">
        <v>62</v>
      </c>
      <c r="H29" s="526"/>
      <c r="I29" s="525"/>
      <c r="J29" s="525"/>
      <c r="K29" s="525"/>
    </row>
    <row r="30" spans="1:15">
      <c r="B30" s="7"/>
      <c r="C30" s="20"/>
      <c r="D30" s="19"/>
      <c r="E30" s="398" t="s">
        <v>578</v>
      </c>
      <c r="F30" s="398" t="s">
        <v>579</v>
      </c>
      <c r="G30" s="398" t="s">
        <v>62</v>
      </c>
      <c r="H30" s="19"/>
      <c r="I30" s="19"/>
      <c r="J30" s="481"/>
      <c r="K30" s="481"/>
    </row>
    <row r="31" spans="1:15">
      <c r="B31" s="7"/>
      <c r="C31" s="20"/>
      <c r="D31" s="19"/>
      <c r="E31" s="398" t="s">
        <v>580</v>
      </c>
      <c r="F31" s="398" t="s">
        <v>581</v>
      </c>
      <c r="G31" s="398" t="s">
        <v>62</v>
      </c>
      <c r="H31" s="19"/>
      <c r="I31" s="19"/>
      <c r="J31" s="481"/>
      <c r="K31" s="481"/>
    </row>
    <row r="32" spans="1:15" s="484" customFormat="1">
      <c r="B32" s="480"/>
      <c r="C32" s="480"/>
      <c r="D32" s="480"/>
      <c r="E32" s="543" t="s">
        <v>764</v>
      </c>
      <c r="F32" s="543" t="s">
        <v>763</v>
      </c>
      <c r="G32" s="543" t="s">
        <v>62</v>
      </c>
      <c r="H32" s="480"/>
      <c r="I32" s="524"/>
      <c r="J32" s="481"/>
      <c r="K32" s="481"/>
    </row>
    <row r="33" spans="1:15">
      <c r="B33" s="7"/>
      <c r="C33" s="20"/>
      <c r="D33" s="19"/>
      <c r="E33" s="398" t="s">
        <v>582</v>
      </c>
      <c r="F33" s="398" t="s">
        <v>583</v>
      </c>
      <c r="G33" s="398" t="s">
        <v>62</v>
      </c>
      <c r="H33" s="19"/>
      <c r="I33" s="19"/>
      <c r="J33" s="481"/>
      <c r="K33" s="481"/>
    </row>
    <row r="34" spans="1:15">
      <c r="B34" s="7"/>
      <c r="C34" s="20"/>
      <c r="D34" s="19"/>
      <c r="E34" s="398" t="s">
        <v>584</v>
      </c>
      <c r="F34" s="398" t="s">
        <v>585</v>
      </c>
      <c r="G34" s="398" t="s">
        <v>62</v>
      </c>
      <c r="H34" s="19"/>
      <c r="I34" s="19"/>
      <c r="J34" s="481"/>
      <c r="K34" s="481"/>
    </row>
    <row r="35" spans="1:15" s="484" customFormat="1">
      <c r="B35" s="480"/>
      <c r="C35" s="480"/>
      <c r="D35" s="480"/>
      <c r="E35" s="543" t="s">
        <v>765</v>
      </c>
      <c r="F35" s="543" t="s">
        <v>766</v>
      </c>
      <c r="G35" s="543" t="s">
        <v>62</v>
      </c>
      <c r="H35" s="480"/>
      <c r="I35" s="524"/>
      <c r="J35" s="481"/>
      <c r="K35" s="481"/>
      <c r="L35" s="1"/>
      <c r="M35" s="1"/>
    </row>
    <row r="36" spans="1:15">
      <c r="B36" s="7"/>
      <c r="C36" s="20"/>
      <c r="D36" s="19"/>
      <c r="E36" s="398" t="s">
        <v>586</v>
      </c>
      <c r="F36" s="398" t="s">
        <v>587</v>
      </c>
      <c r="G36" s="398" t="s">
        <v>62</v>
      </c>
      <c r="H36" s="19"/>
      <c r="I36" s="19"/>
      <c r="J36" s="481"/>
      <c r="K36" s="481"/>
    </row>
    <row r="37" spans="1:15" s="484" customFormat="1">
      <c r="B37" s="7"/>
      <c r="C37" s="20"/>
      <c r="D37" s="19"/>
      <c r="E37" s="398" t="s">
        <v>588</v>
      </c>
      <c r="F37" s="398" t="s">
        <v>589</v>
      </c>
      <c r="G37" s="398" t="s">
        <v>62</v>
      </c>
      <c r="H37" s="19"/>
      <c r="I37" s="19"/>
      <c r="J37" s="481"/>
      <c r="K37" s="481"/>
    </row>
    <row r="38" spans="1:15" s="484" customFormat="1">
      <c r="B38" s="480"/>
      <c r="C38" s="480"/>
      <c r="D38" s="480"/>
      <c r="E38" s="543" t="s">
        <v>767</v>
      </c>
      <c r="F38" s="543" t="s">
        <v>768</v>
      </c>
      <c r="G38" s="543" t="s">
        <v>62</v>
      </c>
      <c r="H38" s="480"/>
      <c r="I38" s="524"/>
      <c r="J38" s="481"/>
      <c r="K38" s="481"/>
    </row>
    <row r="39" spans="1:15" s="484" customFormat="1">
      <c r="B39" s="7"/>
      <c r="C39" s="20"/>
      <c r="D39" s="19"/>
      <c r="E39" s="398" t="s">
        <v>590</v>
      </c>
      <c r="F39" s="398" t="s">
        <v>591</v>
      </c>
      <c r="G39" s="398" t="s">
        <v>62</v>
      </c>
      <c r="H39" s="481"/>
      <c r="I39" s="19"/>
      <c r="J39" s="481"/>
      <c r="K39" s="481"/>
    </row>
    <row r="40" spans="1:15">
      <c r="B40" s="7"/>
      <c r="C40" s="20"/>
      <c r="D40" s="19"/>
      <c r="E40" s="398" t="s">
        <v>592</v>
      </c>
      <c r="F40" s="398" t="s">
        <v>593</v>
      </c>
      <c r="G40" s="398" t="s">
        <v>62</v>
      </c>
      <c r="H40" s="481"/>
      <c r="I40" s="19"/>
      <c r="J40" s="481"/>
      <c r="K40" s="481"/>
    </row>
    <row r="41" spans="1:15">
      <c r="B41" s="480"/>
      <c r="C41" s="480"/>
      <c r="D41" s="480"/>
      <c r="E41" s="543" t="s">
        <v>769</v>
      </c>
      <c r="F41" s="543" t="s">
        <v>770</v>
      </c>
      <c r="G41" s="543" t="s">
        <v>62</v>
      </c>
      <c r="H41" s="480"/>
      <c r="I41" s="524"/>
      <c r="J41" s="481"/>
      <c r="K41" s="481"/>
      <c r="M41" s="99"/>
      <c r="N41" s="99"/>
      <c r="O41" s="99"/>
    </row>
    <row r="42" spans="1:15">
      <c r="C42" s="481"/>
      <c r="D42" s="481"/>
      <c r="E42" s="18" t="s">
        <v>351</v>
      </c>
      <c r="F42" s="20" t="s">
        <v>353</v>
      </c>
      <c r="G42" s="18" t="s">
        <v>62</v>
      </c>
      <c r="H42" s="20"/>
      <c r="I42" s="481"/>
      <c r="J42" s="481"/>
      <c r="K42" s="481"/>
      <c r="M42" s="99"/>
      <c r="N42" s="99"/>
      <c r="O42" s="99"/>
    </row>
    <row r="43" spans="1:15" s="484" customFormat="1">
      <c r="B43"/>
      <c r="C43" s="481"/>
      <c r="D43" s="481"/>
      <c r="E43" s="18" t="s">
        <v>352</v>
      </c>
      <c r="F43" s="20" t="s">
        <v>354</v>
      </c>
      <c r="G43" s="18" t="s">
        <v>62</v>
      </c>
      <c r="H43" s="20"/>
      <c r="I43" s="481"/>
      <c r="J43" s="481"/>
      <c r="K43" s="481"/>
      <c r="M43" s="549"/>
      <c r="N43" s="549"/>
      <c r="O43" s="549"/>
    </row>
    <row r="44" spans="1:15">
      <c r="B44" s="480"/>
      <c r="C44" s="520"/>
      <c r="D44" s="520"/>
      <c r="E44" s="521" t="s">
        <v>771</v>
      </c>
      <c r="F44" s="521" t="s">
        <v>772</v>
      </c>
      <c r="G44" s="521" t="s">
        <v>62</v>
      </c>
      <c r="H44" s="520"/>
      <c r="I44" s="550"/>
      <c r="J44" s="520"/>
      <c r="K44" s="520"/>
      <c r="M44" s="99"/>
      <c r="N44" s="99"/>
      <c r="O44" s="99"/>
    </row>
    <row r="45" spans="1:15" s="602" customFormat="1">
      <c r="B45" s="480"/>
      <c r="C45" s="520"/>
      <c r="D45" s="520"/>
      <c r="E45" s="521" t="s">
        <v>1648</v>
      </c>
      <c r="F45" s="521" t="s">
        <v>1649</v>
      </c>
      <c r="G45" s="521" t="s">
        <v>62</v>
      </c>
      <c r="H45" s="520"/>
      <c r="I45" s="550"/>
      <c r="J45" s="520"/>
      <c r="K45" s="520"/>
      <c r="M45" s="99"/>
      <c r="N45" s="99"/>
      <c r="O45" s="99"/>
    </row>
    <row r="46" spans="1:15">
      <c r="A46" s="484" t="s">
        <v>56</v>
      </c>
      <c r="C46" s="545"/>
      <c r="D46" s="545"/>
      <c r="E46" s="546" t="s">
        <v>42</v>
      </c>
      <c r="F46" s="546" t="s">
        <v>56</v>
      </c>
      <c r="G46" s="547" t="s">
        <v>62</v>
      </c>
      <c r="H46" s="545"/>
      <c r="I46" s="545"/>
      <c r="J46" s="545"/>
      <c r="K46" s="545"/>
      <c r="M46" s="99"/>
      <c r="N46" s="99"/>
      <c r="O46" s="99"/>
    </row>
    <row r="47" spans="1:15" s="484" customFormat="1">
      <c r="A47" s="484" t="s">
        <v>750</v>
      </c>
      <c r="B47"/>
      <c r="C47" s="19"/>
      <c r="D47" s="19"/>
      <c r="E47" s="20" t="s">
        <v>43</v>
      </c>
      <c r="F47" s="20" t="s">
        <v>57</v>
      </c>
      <c r="G47" s="18" t="s">
        <v>62</v>
      </c>
      <c r="H47" s="19"/>
      <c r="I47" s="19"/>
      <c r="J47" s="19"/>
      <c r="K47" s="19"/>
      <c r="M47" s="549"/>
      <c r="N47" s="549"/>
      <c r="O47" s="549"/>
    </row>
    <row r="48" spans="1:15">
      <c r="B48" s="484"/>
      <c r="C48" s="481"/>
      <c r="D48" s="481"/>
      <c r="E48" s="20" t="s">
        <v>726</v>
      </c>
      <c r="F48" s="20" t="s">
        <v>727</v>
      </c>
      <c r="G48" s="398" t="s">
        <v>62</v>
      </c>
      <c r="H48" s="481"/>
      <c r="I48" s="481"/>
      <c r="J48" s="481"/>
      <c r="K48" s="481"/>
      <c r="M48" s="99"/>
      <c r="N48" s="99"/>
      <c r="O48" s="99"/>
    </row>
    <row r="49" spans="1:15">
      <c r="B49" s="7"/>
      <c r="C49" s="20"/>
      <c r="D49" s="481"/>
      <c r="E49" s="21" t="s">
        <v>72</v>
      </c>
      <c r="F49" s="21" t="s">
        <v>71</v>
      </c>
      <c r="G49" s="18" t="s">
        <v>62</v>
      </c>
      <c r="H49" s="481"/>
      <c r="I49" s="481"/>
      <c r="J49" s="481"/>
      <c r="K49" s="481"/>
      <c r="M49" s="99"/>
      <c r="N49" s="99"/>
      <c r="O49" s="99"/>
    </row>
    <row r="50" spans="1:15" s="484" customFormat="1">
      <c r="B50" s="7"/>
      <c r="C50" s="20"/>
      <c r="D50" s="481"/>
      <c r="E50" s="21" t="s">
        <v>73</v>
      </c>
      <c r="F50" s="21" t="s">
        <v>74</v>
      </c>
      <c r="G50" s="18" t="s">
        <v>62</v>
      </c>
      <c r="H50" s="481"/>
      <c r="I50" s="481"/>
      <c r="J50" s="481"/>
      <c r="K50" s="481"/>
      <c r="M50" s="549"/>
      <c r="N50" s="549"/>
      <c r="O50" s="549"/>
    </row>
    <row r="51" spans="1:15">
      <c r="B51" s="7"/>
      <c r="C51" s="20"/>
      <c r="D51" s="481"/>
      <c r="E51" s="398" t="s">
        <v>722</v>
      </c>
      <c r="F51" s="398" t="s">
        <v>723</v>
      </c>
      <c r="G51" s="398" t="s">
        <v>62</v>
      </c>
      <c r="H51" s="481"/>
      <c r="I51" s="481"/>
      <c r="J51" s="481"/>
      <c r="K51" s="481"/>
      <c r="M51" s="99"/>
      <c r="N51" s="99"/>
      <c r="O51" s="99"/>
    </row>
    <row r="52" spans="1:15">
      <c r="C52" s="52"/>
      <c r="D52" s="15"/>
      <c r="E52" s="18" t="s">
        <v>347</v>
      </c>
      <c r="F52" s="18" t="s">
        <v>348</v>
      </c>
      <c r="G52" s="18" t="s">
        <v>62</v>
      </c>
      <c r="H52" s="481"/>
      <c r="I52" s="15"/>
      <c r="J52" s="481"/>
      <c r="K52" s="15"/>
    </row>
    <row r="53" spans="1:15" s="484" customFormat="1">
      <c r="B53"/>
      <c r="C53" s="15"/>
      <c r="D53" s="15"/>
      <c r="E53" s="18" t="s">
        <v>349</v>
      </c>
      <c r="F53" s="18" t="s">
        <v>350</v>
      </c>
      <c r="G53" s="18" t="s">
        <v>62</v>
      </c>
      <c r="H53" s="542"/>
      <c r="I53" s="15"/>
      <c r="J53" s="481"/>
      <c r="K53" s="15"/>
      <c r="M53" s="549"/>
      <c r="N53" s="549"/>
      <c r="O53" s="549"/>
    </row>
    <row r="54" spans="1:15">
      <c r="C54" s="15"/>
      <c r="D54" s="15"/>
      <c r="E54" s="18" t="s">
        <v>359</v>
      </c>
      <c r="F54" s="18" t="s">
        <v>360</v>
      </c>
      <c r="G54" s="18" t="s">
        <v>62</v>
      </c>
      <c r="H54" s="542"/>
      <c r="I54" s="15"/>
      <c r="J54" s="481"/>
      <c r="K54" s="15"/>
    </row>
    <row r="55" spans="1:15">
      <c r="B55" s="484"/>
      <c r="C55" s="480"/>
      <c r="D55" s="480"/>
      <c r="E55" s="542" t="s">
        <v>746</v>
      </c>
      <c r="F55" s="542" t="s">
        <v>745</v>
      </c>
      <c r="G55" s="543" t="s">
        <v>62</v>
      </c>
      <c r="H55" s="542"/>
      <c r="I55" s="480"/>
      <c r="J55" s="481"/>
      <c r="K55" s="480"/>
    </row>
    <row r="56" spans="1:15" s="484" customFormat="1">
      <c r="B56"/>
      <c r="C56" s="525"/>
      <c r="D56" s="525"/>
      <c r="E56" s="526" t="s">
        <v>694</v>
      </c>
      <c r="F56" s="526" t="s">
        <v>695</v>
      </c>
      <c r="G56" s="526" t="s">
        <v>62</v>
      </c>
      <c r="H56" s="526"/>
      <c r="I56" s="525"/>
      <c r="J56" s="525"/>
      <c r="K56" s="525"/>
    </row>
    <row r="57" spans="1:15">
      <c r="A57" s="484" t="s">
        <v>778</v>
      </c>
      <c r="C57" s="554"/>
      <c r="D57" s="484"/>
      <c r="E57" s="480" t="s">
        <v>736</v>
      </c>
      <c r="F57" s="480" t="s">
        <v>739</v>
      </c>
      <c r="G57" s="524" t="s">
        <v>62</v>
      </c>
      <c r="H57" s="524" t="s">
        <v>1645</v>
      </c>
    </row>
    <row r="58" spans="1:15">
      <c r="A58" s="1"/>
      <c r="B58" s="1"/>
      <c r="C58" s="525"/>
      <c r="D58" s="525"/>
      <c r="E58" s="520" t="s">
        <v>735</v>
      </c>
      <c r="F58" s="520" t="s">
        <v>740</v>
      </c>
      <c r="G58" s="550" t="s">
        <v>62</v>
      </c>
      <c r="H58" s="525" t="s">
        <v>1645</v>
      </c>
      <c r="I58" s="525"/>
      <c r="J58" s="525"/>
      <c r="K58" s="525"/>
    </row>
    <row r="59" spans="1:15" s="404" customFormat="1">
      <c r="A59" s="484" t="s">
        <v>751</v>
      </c>
      <c r="B59"/>
      <c r="C59" s="19"/>
      <c r="D59" s="19"/>
      <c r="E59" s="20" t="s">
        <v>46</v>
      </c>
      <c r="F59" s="20" t="s">
        <v>53</v>
      </c>
      <c r="G59" s="18" t="s">
        <v>62</v>
      </c>
      <c r="H59" s="19"/>
      <c r="I59" s="19"/>
      <c r="J59" s="19"/>
      <c r="K59" s="19"/>
      <c r="L59" s="1"/>
      <c r="M59" s="1"/>
    </row>
    <row r="60" spans="1:15">
      <c r="C60" s="19"/>
      <c r="D60" s="19"/>
      <c r="E60" s="20" t="s">
        <v>47</v>
      </c>
      <c r="F60" s="20" t="s">
        <v>52</v>
      </c>
      <c r="G60" s="18" t="s">
        <v>62</v>
      </c>
      <c r="H60" s="19"/>
      <c r="I60" s="19"/>
      <c r="J60" s="19"/>
      <c r="K60" s="19"/>
    </row>
    <row r="61" spans="1:15">
      <c r="C61" s="19"/>
      <c r="D61" s="19"/>
      <c r="E61" s="20" t="s">
        <v>48</v>
      </c>
      <c r="F61" s="20" t="s">
        <v>54</v>
      </c>
      <c r="G61" s="18" t="s">
        <v>62</v>
      </c>
      <c r="H61" s="19"/>
      <c r="I61" s="19"/>
      <c r="J61" s="19"/>
      <c r="K61" s="19"/>
    </row>
    <row r="62" spans="1:15">
      <c r="C62" s="19"/>
      <c r="D62" s="19"/>
      <c r="E62" s="20" t="s">
        <v>58</v>
      </c>
      <c r="F62" s="20" t="s">
        <v>59</v>
      </c>
      <c r="G62" s="18" t="s">
        <v>62</v>
      </c>
      <c r="H62" s="19"/>
      <c r="I62" s="19"/>
      <c r="J62" s="19"/>
      <c r="K62" s="19"/>
    </row>
    <row r="63" spans="1:15" ht="14.4">
      <c r="B63" s="404"/>
      <c r="C63" s="520"/>
      <c r="D63" s="520"/>
      <c r="E63" s="548" t="s">
        <v>685</v>
      </c>
      <c r="F63" s="548" t="s">
        <v>686</v>
      </c>
      <c r="G63" s="548" t="s">
        <v>62</v>
      </c>
      <c r="H63" s="520"/>
      <c r="I63" s="520"/>
      <c r="J63" s="520"/>
      <c r="K63" s="520"/>
    </row>
    <row r="64" spans="1:15">
      <c r="A64" s="484" t="s">
        <v>773</v>
      </c>
      <c r="C64" s="552"/>
      <c r="D64" s="552"/>
      <c r="E64" s="553" t="s">
        <v>703</v>
      </c>
      <c r="F64" s="553" t="s">
        <v>704</v>
      </c>
      <c r="G64" s="553" t="s">
        <v>62</v>
      </c>
      <c r="H64" s="553"/>
      <c r="I64" s="552"/>
      <c r="J64" s="552"/>
      <c r="K64" s="552"/>
    </row>
    <row r="65" spans="1:14" s="602" customFormat="1">
      <c r="C65" s="1"/>
      <c r="D65" s="1"/>
      <c r="E65" s="20" t="s">
        <v>1607</v>
      </c>
      <c r="F65" s="20" t="s">
        <v>1646</v>
      </c>
      <c r="G65" s="398" t="s">
        <v>62</v>
      </c>
      <c r="H65" s="3"/>
      <c r="I65" s="1"/>
      <c r="J65" s="1"/>
      <c r="K65" s="1"/>
    </row>
    <row r="66" spans="1:14" ht="14.4">
      <c r="A66" s="484" t="s">
        <v>753</v>
      </c>
      <c r="C66" s="15"/>
      <c r="D66" s="15"/>
      <c r="E66" s="18" t="s">
        <v>355</v>
      </c>
      <c r="F66" s="392" t="s">
        <v>356</v>
      </c>
      <c r="G66" s="18" t="s">
        <v>62</v>
      </c>
      <c r="H66" s="542"/>
      <c r="I66" s="15"/>
      <c r="J66" s="15"/>
      <c r="K66" s="15"/>
    </row>
    <row r="67" spans="1:14">
      <c r="C67" s="481"/>
      <c r="D67" s="481"/>
      <c r="E67" s="18" t="s">
        <v>363</v>
      </c>
      <c r="F67" s="18" t="s">
        <v>364</v>
      </c>
      <c r="G67" s="18" t="s">
        <v>62</v>
      </c>
      <c r="H67" s="20"/>
      <c r="I67" s="481"/>
      <c r="J67" s="481"/>
      <c r="K67" s="481"/>
    </row>
    <row r="68" spans="1:14">
      <c r="C68" s="481"/>
      <c r="D68" s="481"/>
      <c r="E68" s="18" t="s">
        <v>365</v>
      </c>
      <c r="F68" s="398" t="s">
        <v>366</v>
      </c>
      <c r="G68" s="18" t="s">
        <v>62</v>
      </c>
      <c r="H68" s="20"/>
      <c r="I68" s="481"/>
      <c r="J68" s="481"/>
      <c r="K68" s="481"/>
    </row>
    <row r="69" spans="1:14">
      <c r="C69" s="520"/>
      <c r="D69" s="520"/>
      <c r="E69" s="544" t="s">
        <v>361</v>
      </c>
      <c r="F69" s="544" t="s">
        <v>362</v>
      </c>
      <c r="G69" s="544" t="s">
        <v>62</v>
      </c>
      <c r="H69" s="522"/>
      <c r="I69" s="520"/>
      <c r="J69" s="520"/>
      <c r="K69" s="520"/>
    </row>
    <row r="70" spans="1:14">
      <c r="C70" s="211" t="s">
        <v>153</v>
      </c>
      <c r="D70" s="211"/>
      <c r="E70" s="212" t="s">
        <v>213</v>
      </c>
      <c r="F70" s="1165" t="s">
        <v>256</v>
      </c>
      <c r="G70" s="212" t="s">
        <v>154</v>
      </c>
      <c r="H70" s="211"/>
      <c r="I70" s="211"/>
      <c r="J70" s="211"/>
      <c r="K70" s="211"/>
    </row>
    <row r="71" spans="1:14" s="602" customFormat="1">
      <c r="C71" s="481"/>
      <c r="D71" s="481"/>
      <c r="E71" s="398" t="s">
        <v>1764</v>
      </c>
      <c r="F71" s="398" t="s">
        <v>1768</v>
      </c>
      <c r="G71" s="398" t="s">
        <v>1767</v>
      </c>
      <c r="H71" s="481"/>
      <c r="I71" s="481"/>
      <c r="J71" s="481"/>
      <c r="K71" s="481"/>
    </row>
    <row r="72" spans="1:14" s="602" customFormat="1">
      <c r="C72" s="481"/>
      <c r="D72" s="481"/>
      <c r="E72" s="398" t="s">
        <v>1765</v>
      </c>
      <c r="F72" s="398" t="s">
        <v>1766</v>
      </c>
      <c r="G72" s="398" t="s">
        <v>1767</v>
      </c>
      <c r="H72" s="481"/>
      <c r="I72" s="481"/>
      <c r="J72" s="481"/>
      <c r="K72" s="481"/>
    </row>
    <row r="73" spans="1:14">
      <c r="C73" s="15"/>
      <c r="D73" s="15"/>
      <c r="E73" s="18" t="s">
        <v>338</v>
      </c>
      <c r="F73" s="18" t="s">
        <v>339</v>
      </c>
      <c r="G73" s="18" t="s">
        <v>154</v>
      </c>
      <c r="H73" s="15"/>
      <c r="I73" s="15"/>
      <c r="J73" s="15"/>
      <c r="K73" s="15"/>
    </row>
    <row r="74" spans="1:14">
      <c r="C74" s="480"/>
      <c r="D74" s="480"/>
      <c r="E74" s="398" t="s">
        <v>340</v>
      </c>
      <c r="F74" s="18" t="s">
        <v>341</v>
      </c>
      <c r="G74" s="18" t="s">
        <v>154</v>
      </c>
      <c r="H74" s="480"/>
      <c r="I74" s="480"/>
      <c r="J74" s="480"/>
      <c r="K74" s="480"/>
    </row>
    <row r="75" spans="1:14" s="602" customFormat="1">
      <c r="C75" s="480"/>
      <c r="D75" s="480"/>
      <c r="E75" s="524" t="s">
        <v>1622</v>
      </c>
      <c r="F75" s="524" t="s">
        <v>1623</v>
      </c>
      <c r="G75" s="524" t="s">
        <v>154</v>
      </c>
      <c r="H75" s="480"/>
      <c r="I75" s="480"/>
      <c r="J75" s="480"/>
      <c r="K75" s="480"/>
    </row>
    <row r="76" spans="1:14" s="484" customFormat="1">
      <c r="C76" s="480"/>
      <c r="D76" s="480"/>
      <c r="E76" s="18" t="s">
        <v>741</v>
      </c>
      <c r="F76" s="18" t="s">
        <v>741</v>
      </c>
      <c r="G76" s="18" t="s">
        <v>154</v>
      </c>
      <c r="H76" s="480"/>
      <c r="I76" s="480"/>
      <c r="J76" s="481"/>
      <c r="K76" s="480"/>
    </row>
    <row r="77" spans="1:14" s="484" customFormat="1">
      <c r="B77" s="480"/>
      <c r="C77" s="480"/>
      <c r="D77" s="480"/>
      <c r="E77" s="543" t="s">
        <v>774</v>
      </c>
      <c r="F77" s="543" t="s">
        <v>775</v>
      </c>
      <c r="G77" s="7" t="s">
        <v>154</v>
      </c>
      <c r="H77" s="542"/>
      <c r="I77" s="543"/>
      <c r="J77" s="20"/>
      <c r="K77" s="542"/>
    </row>
    <row r="78" spans="1:14" s="484" customFormat="1">
      <c r="B78" s="480"/>
      <c r="C78" s="480"/>
      <c r="D78" s="480"/>
      <c r="E78" s="7" t="s">
        <v>776</v>
      </c>
      <c r="F78" s="7" t="s">
        <v>777</v>
      </c>
      <c r="G78" s="7" t="s">
        <v>154</v>
      </c>
      <c r="H78" s="7"/>
      <c r="I78" s="543"/>
      <c r="J78" s="20"/>
      <c r="K78" s="542"/>
    </row>
    <row r="79" spans="1:14">
      <c r="C79" s="481"/>
      <c r="D79" s="481"/>
      <c r="E79" s="3" t="s">
        <v>697</v>
      </c>
      <c r="F79" s="3" t="s">
        <v>698</v>
      </c>
      <c r="G79" s="3" t="s">
        <v>154</v>
      </c>
      <c r="H79" s="481"/>
      <c r="I79" s="481"/>
      <c r="J79" s="481"/>
      <c r="K79" s="481"/>
      <c r="L79" s="1"/>
      <c r="M79" s="1"/>
      <c r="N79" s="1"/>
    </row>
    <row r="80" spans="1:14" ht="15.75" customHeight="1">
      <c r="C80" s="525"/>
      <c r="D80" s="525"/>
      <c r="E80" s="521" t="s">
        <v>718</v>
      </c>
      <c r="F80" s="521" t="s">
        <v>719</v>
      </c>
      <c r="G80" s="521" t="s">
        <v>154</v>
      </c>
      <c r="H80" s="525"/>
      <c r="I80" s="525"/>
      <c r="J80" s="525"/>
      <c r="K80" s="525"/>
      <c r="L80" s="1"/>
      <c r="M80" s="1"/>
      <c r="N80" s="1"/>
    </row>
    <row r="81" spans="1:20">
      <c r="A81" s="484" t="s">
        <v>754</v>
      </c>
      <c r="B81" s="7"/>
      <c r="C81" s="484" t="s">
        <v>39</v>
      </c>
      <c r="D81" s="19"/>
      <c r="E81" s="23" t="s">
        <v>212</v>
      </c>
      <c r="F81" s="398" t="s">
        <v>859</v>
      </c>
      <c r="G81" s="18" t="s">
        <v>62</v>
      </c>
      <c r="H81" s="19"/>
      <c r="I81" s="19" t="s">
        <v>1672</v>
      </c>
      <c r="J81" s="19"/>
      <c r="K81" s="602" t="s">
        <v>1671</v>
      </c>
    </row>
    <row r="82" spans="1:20">
      <c r="B82" s="3"/>
      <c r="C82" s="20"/>
      <c r="D82" s="19"/>
      <c r="E82" s="23" t="s">
        <v>342</v>
      </c>
      <c r="F82" s="398" t="s">
        <v>860</v>
      </c>
      <c r="G82" s="18" t="s">
        <v>62</v>
      </c>
      <c r="H82" s="19"/>
      <c r="I82" s="481" t="s">
        <v>1672</v>
      </c>
      <c r="J82" s="19"/>
      <c r="K82" s="19"/>
      <c r="M82" s="3"/>
      <c r="N82" s="3"/>
      <c r="O82" s="3"/>
      <c r="P82" s="3"/>
      <c r="Q82" s="3"/>
      <c r="R82" s="3"/>
      <c r="S82" s="3"/>
      <c r="T82" s="3"/>
    </row>
    <row r="83" spans="1:20">
      <c r="B83" s="3"/>
      <c r="C83" s="522"/>
      <c r="D83" s="520"/>
      <c r="E83" s="587" t="s">
        <v>343</v>
      </c>
      <c r="F83" s="521" t="s">
        <v>861</v>
      </c>
      <c r="G83" s="544" t="s">
        <v>62</v>
      </c>
      <c r="H83" s="520"/>
      <c r="I83" s="481" t="s">
        <v>1672</v>
      </c>
      <c r="J83" s="520"/>
      <c r="K83" s="520"/>
      <c r="L83" s="1"/>
      <c r="M83" s="3"/>
      <c r="N83" s="3"/>
      <c r="O83" s="3"/>
      <c r="P83" s="3"/>
      <c r="Q83" s="3"/>
      <c r="R83" s="3"/>
      <c r="S83" s="3"/>
      <c r="T83" s="3"/>
    </row>
    <row r="84" spans="1:20">
      <c r="C84" s="484"/>
      <c r="D84" s="484"/>
      <c r="E84" s="484" t="str">
        <f t="shared" ref="E84:E94" si="0">"SUP"&amp;E12</f>
        <v>SUPCOA</v>
      </c>
      <c r="F84" s="480" t="str">
        <f t="shared" ref="F84:F94" si="1">"Supply "&amp;F12</f>
        <v>Supply Coal</v>
      </c>
      <c r="G84" s="480" t="str">
        <f>G46</f>
        <v>PJ</v>
      </c>
    </row>
    <row r="85" spans="1:20">
      <c r="C85" s="484"/>
      <c r="D85" s="484"/>
      <c r="E85" s="484" t="str">
        <f t="shared" si="0"/>
        <v>SUPNGA</v>
      </c>
      <c r="F85" s="480" t="str">
        <f t="shared" si="1"/>
        <v>Supply Natural Gas</v>
      </c>
      <c r="G85" s="480" t="str">
        <f>G47</f>
        <v>PJ</v>
      </c>
    </row>
    <row r="86" spans="1:20">
      <c r="C86" s="484"/>
      <c r="D86" s="484"/>
      <c r="E86" s="484" t="str">
        <f t="shared" si="0"/>
        <v>SUPCRD</v>
      </c>
      <c r="F86" s="480" t="str">
        <f t="shared" si="1"/>
        <v>Supply Crude Oil</v>
      </c>
      <c r="G86" s="480" t="str">
        <f>G48</f>
        <v>PJ</v>
      </c>
    </row>
    <row r="87" spans="1:20">
      <c r="C87" s="484"/>
      <c r="D87" s="484"/>
      <c r="E87" s="484" t="str">
        <f t="shared" si="0"/>
        <v>SUPLPG</v>
      </c>
      <c r="F87" s="480" t="str">
        <f t="shared" si="1"/>
        <v>Supply Liquid petrol gas</v>
      </c>
      <c r="G87" s="480" t="str">
        <f>G23</f>
        <v>PJ</v>
      </c>
    </row>
    <row r="88" spans="1:20">
      <c r="C88" s="484"/>
      <c r="D88" s="484"/>
      <c r="E88" s="484" t="str">
        <f t="shared" si="0"/>
        <v>SUPLVN</v>
      </c>
      <c r="F88" s="480" t="str">
        <f t="shared" si="1"/>
        <v>Supply Naphtha (Petroleoum)</v>
      </c>
      <c r="G88" s="480" t="str">
        <f>G59</f>
        <v>PJ</v>
      </c>
    </row>
    <row r="89" spans="1:20">
      <c r="C89" s="484"/>
      <c r="D89" s="484"/>
      <c r="E89" s="484" t="str">
        <f t="shared" si="0"/>
        <v>SUPGSL</v>
      </c>
      <c r="F89" s="480" t="str">
        <f t="shared" si="1"/>
        <v>Supply Gasoline</v>
      </c>
      <c r="G89" s="480" t="str">
        <f>G60</f>
        <v>PJ</v>
      </c>
    </row>
    <row r="90" spans="1:20">
      <c r="C90" s="484"/>
      <c r="D90" s="484"/>
      <c r="E90" s="484" t="str">
        <f t="shared" si="0"/>
        <v>SUPKER</v>
      </c>
      <c r="F90" s="480" t="str">
        <f t="shared" si="1"/>
        <v>Supply Kerosene</v>
      </c>
      <c r="G90" s="480" t="str">
        <f>G61</f>
        <v>PJ</v>
      </c>
    </row>
    <row r="91" spans="1:20">
      <c r="C91" s="484"/>
      <c r="D91" s="484"/>
      <c r="E91" s="484" t="str">
        <f t="shared" si="0"/>
        <v>SUPDSL</v>
      </c>
      <c r="F91" s="480" t="str">
        <f t="shared" si="1"/>
        <v>Supply Diesel</v>
      </c>
      <c r="G91" s="480" t="str">
        <f>G62</f>
        <v>PJ</v>
      </c>
    </row>
    <row r="92" spans="1:20">
      <c r="C92" s="484"/>
      <c r="D92" s="484"/>
      <c r="E92" s="484" t="str">
        <f t="shared" si="0"/>
        <v>SUPHFO</v>
      </c>
      <c r="F92" s="480" t="str">
        <f t="shared" si="1"/>
        <v>Supply Heavy Fuel Oil</v>
      </c>
      <c r="G92" s="480" t="str">
        <f>G63</f>
        <v>PJ</v>
      </c>
    </row>
    <row r="93" spans="1:20">
      <c r="C93" s="484"/>
      <c r="D93" s="484"/>
      <c r="E93" s="484" t="str">
        <f t="shared" si="0"/>
        <v>SUPMGO</v>
      </c>
      <c r="F93" s="480" t="str">
        <f t="shared" si="1"/>
        <v>Supply Marine Gas Oil</v>
      </c>
      <c r="G93" s="480" t="str">
        <f>G49</f>
        <v>PJ</v>
      </c>
    </row>
    <row r="94" spans="1:20">
      <c r="C94" s="484"/>
      <c r="D94" s="484"/>
      <c r="E94" s="484" t="str">
        <f t="shared" si="0"/>
        <v>SUPAGSL</v>
      </c>
      <c r="F94" s="480" t="str">
        <f t="shared" si="1"/>
        <v>Supply Aviation gasoline</v>
      </c>
      <c r="G94" s="480" t="str">
        <f>G50</f>
        <v>PJ</v>
      </c>
    </row>
    <row r="95" spans="1:20">
      <c r="C95" s="484"/>
      <c r="D95" s="484"/>
      <c r="E95" s="484" t="str">
        <f t="shared" ref="E95:E105" si="2">"SUP"&amp;E46</f>
        <v>SUPWST</v>
      </c>
      <c r="F95" s="480" t="str">
        <f t="shared" ref="F95:F105" si="3">"Supply "&amp;F46</f>
        <v>Supply Waste</v>
      </c>
      <c r="G95" s="480" t="str">
        <f>G51</f>
        <v>PJ</v>
      </c>
    </row>
    <row r="96" spans="1:20">
      <c r="C96" s="484"/>
      <c r="D96" s="484"/>
      <c r="E96" s="484" t="str">
        <f t="shared" si="2"/>
        <v>SUPSTR</v>
      </c>
      <c r="F96" s="480" t="str">
        <f t="shared" si="3"/>
        <v>Supply Straw</v>
      </c>
      <c r="G96" s="480" t="str">
        <f t="shared" ref="G96:G102" si="4">G14</f>
        <v>PJ</v>
      </c>
    </row>
    <row r="97" spans="3:11">
      <c r="C97" s="484"/>
      <c r="D97" s="484"/>
      <c r="E97" s="484" t="str">
        <f t="shared" si="2"/>
        <v>SUPGRS</v>
      </c>
      <c r="F97" s="480" t="str">
        <f t="shared" si="3"/>
        <v>Supply Grass</v>
      </c>
      <c r="G97" s="480" t="str">
        <f t="shared" si="4"/>
        <v>PJ</v>
      </c>
    </row>
    <row r="98" spans="3:11">
      <c r="C98" s="484"/>
      <c r="D98" s="484"/>
      <c r="E98" s="484" t="str">
        <f t="shared" si="2"/>
        <v>SUPWPE</v>
      </c>
      <c r="F98" s="480" t="str">
        <f t="shared" si="3"/>
        <v>Supply Wood pellets</v>
      </c>
      <c r="G98" s="480" t="str">
        <f t="shared" si="4"/>
        <v>PJ</v>
      </c>
    </row>
    <row r="99" spans="3:11">
      <c r="C99" s="484"/>
      <c r="D99" s="484"/>
      <c r="E99" s="484" t="str">
        <f t="shared" si="2"/>
        <v>SUPWCH</v>
      </c>
      <c r="F99" s="480" t="str">
        <f t="shared" si="3"/>
        <v>Supply Wood chips and wood waste</v>
      </c>
      <c r="G99" s="480" t="str">
        <f t="shared" si="4"/>
        <v>PJ</v>
      </c>
    </row>
    <row r="100" spans="3:11">
      <c r="C100" s="484"/>
      <c r="D100" s="484"/>
      <c r="E100" s="484" t="str">
        <f t="shared" si="2"/>
        <v>SUPFIW</v>
      </c>
      <c r="F100" s="480" t="str">
        <f t="shared" si="3"/>
        <v>Supply Firewood</v>
      </c>
      <c r="G100" s="480" t="str">
        <f t="shared" si="4"/>
        <v>PJ</v>
      </c>
    </row>
    <row r="101" spans="3:11">
      <c r="C101" s="484"/>
      <c r="D101" s="484"/>
      <c r="E101" s="484" t="str">
        <f t="shared" si="2"/>
        <v>SUPCRN</v>
      </c>
      <c r="F101" s="480" t="str">
        <f t="shared" si="3"/>
        <v>Supply Corn</v>
      </c>
      <c r="G101" s="480" t="str">
        <f t="shared" si="4"/>
        <v>PJ</v>
      </c>
    </row>
    <row r="102" spans="3:11">
      <c r="C102" s="484"/>
      <c r="D102" s="484"/>
      <c r="E102" s="484" t="str">
        <f t="shared" si="2"/>
        <v>SUPRPS</v>
      </c>
      <c r="F102" s="480" t="str">
        <f t="shared" si="3"/>
        <v>Supply Rapeseed</v>
      </c>
      <c r="G102" s="480" t="str">
        <f t="shared" si="4"/>
        <v>PJ</v>
      </c>
    </row>
    <row r="103" spans="3:11">
      <c r="C103" s="484"/>
      <c r="D103" s="484"/>
      <c r="E103" s="484" t="str">
        <f t="shared" si="2"/>
        <v>SUPSGB</v>
      </c>
      <c r="F103" s="480" t="str">
        <f t="shared" si="3"/>
        <v>Supply Sugar Beet</v>
      </c>
      <c r="G103" s="480" t="str">
        <f>G30</f>
        <v>PJ</v>
      </c>
    </row>
    <row r="104" spans="3:11">
      <c r="C104" s="484"/>
      <c r="D104" s="484"/>
      <c r="E104" s="484" t="str">
        <f t="shared" si="2"/>
        <v>SUPDLI</v>
      </c>
      <c r="F104" s="480" t="str">
        <f t="shared" si="3"/>
        <v>Supply Deep Litter</v>
      </c>
      <c r="G104" s="480" t="str">
        <f>G31</f>
        <v>PJ</v>
      </c>
    </row>
    <row r="105" spans="3:11">
      <c r="C105" s="484"/>
      <c r="D105" s="484"/>
      <c r="E105" s="484" t="str">
        <f t="shared" si="2"/>
        <v>SUPMNR</v>
      </c>
      <c r="F105" s="480" t="str">
        <f t="shared" si="3"/>
        <v>Supply Manure (Gylle)</v>
      </c>
      <c r="G105" s="480" t="str">
        <f>G33</f>
        <v>PJ</v>
      </c>
    </row>
    <row r="106" spans="3:11">
      <c r="C106" s="484"/>
      <c r="D106" s="484"/>
      <c r="E106" s="484" t="str">
        <f t="shared" ref="E106:E112" si="5">"SUP"&amp;E23</f>
        <v>SUPBGA</v>
      </c>
      <c r="F106" s="480" t="str">
        <f t="shared" ref="F106:F112" si="6">"Supply "&amp;F23</f>
        <v>Supply Biogas</v>
      </c>
      <c r="G106" s="480" t="str">
        <f>G34</f>
        <v>PJ</v>
      </c>
    </row>
    <row r="107" spans="3:11">
      <c r="C107" s="484"/>
      <c r="D107" s="484"/>
      <c r="E107" s="484" t="str">
        <f t="shared" si="5"/>
        <v>SUPHFB</v>
      </c>
      <c r="F107" s="480" t="str">
        <f t="shared" si="6"/>
        <v>Supply Heavy Fuel Bio Oil</v>
      </c>
      <c r="G107" s="480" t="str">
        <f>G36</f>
        <v>PJ</v>
      </c>
    </row>
    <row r="108" spans="3:11">
      <c r="C108" s="1"/>
      <c r="D108" s="1"/>
      <c r="E108" s="484" t="str">
        <f t="shared" si="5"/>
        <v>SUPDDGS</v>
      </c>
      <c r="F108" s="480" t="str">
        <f t="shared" si="6"/>
        <v>Supply Ethanol</v>
      </c>
      <c r="G108" s="481" t="str">
        <f>G37</f>
        <v>PJ</v>
      </c>
      <c r="H108" s="1"/>
      <c r="I108" s="1"/>
      <c r="J108" s="1"/>
      <c r="K108" s="1"/>
    </row>
    <row r="109" spans="3:11">
      <c r="C109" s="1"/>
      <c r="D109" s="1"/>
      <c r="E109" s="484" t="str">
        <f t="shared" si="5"/>
        <v>SUPH2</v>
      </c>
      <c r="F109" s="480" t="str">
        <f t="shared" si="6"/>
        <v>Supply Hydrogen</v>
      </c>
      <c r="G109" s="481" t="str">
        <f>G39</f>
        <v>PJ</v>
      </c>
      <c r="H109" s="1"/>
      <c r="I109" s="1"/>
      <c r="J109" s="1"/>
      <c r="K109" s="1"/>
    </row>
    <row r="110" spans="3:11">
      <c r="C110" s="1"/>
      <c r="D110" s="1"/>
      <c r="E110" s="484" t="str">
        <f t="shared" si="5"/>
        <v>SUPH2G</v>
      </c>
      <c r="F110" s="480" t="str">
        <f t="shared" si="6"/>
        <v>Supply Hydrogen Gas</v>
      </c>
      <c r="G110" s="481" t="str">
        <f>G40</f>
        <v>PJ</v>
      </c>
      <c r="H110" s="1"/>
      <c r="I110" s="1"/>
      <c r="J110" s="1"/>
      <c r="K110" s="1"/>
    </row>
    <row r="111" spans="3:11">
      <c r="C111" s="484"/>
      <c r="D111" s="484"/>
      <c r="E111" s="1" t="str">
        <f t="shared" si="5"/>
        <v>SUPAMM</v>
      </c>
      <c r="F111" s="481" t="str">
        <f t="shared" si="6"/>
        <v>Supply Ammonia (Liquid)</v>
      </c>
      <c r="G111" s="480" t="str">
        <f>G52</f>
        <v>PJ</v>
      </c>
    </row>
    <row r="112" spans="3:11">
      <c r="C112" s="484"/>
      <c r="D112" s="484"/>
      <c r="E112" s="1" t="str">
        <f t="shared" si="5"/>
        <v>SUPDME</v>
      </c>
      <c r="F112" s="481" t="str">
        <f t="shared" si="6"/>
        <v>Supply Dimethyl ether</v>
      </c>
      <c r="G112" s="480" t="str">
        <f>G53</f>
        <v>PJ</v>
      </c>
    </row>
    <row r="113" spans="3:11">
      <c r="C113" s="484"/>
      <c r="D113" s="484"/>
      <c r="E113" s="1" t="s">
        <v>1580</v>
      </c>
      <c r="F113" s="481" t="s">
        <v>1581</v>
      </c>
      <c r="G113" s="480" t="s">
        <v>62</v>
      </c>
    </row>
    <row r="114" spans="3:11">
      <c r="C114" s="484"/>
      <c r="D114" s="484"/>
      <c r="E114" s="484" t="s">
        <v>1582</v>
      </c>
      <c r="F114" s="480" t="s">
        <v>1586</v>
      </c>
      <c r="G114" s="480" t="s">
        <v>62</v>
      </c>
    </row>
    <row r="115" spans="3:11">
      <c r="C115" s="484"/>
      <c r="D115" s="484"/>
      <c r="E115" s="484" t="s">
        <v>1583</v>
      </c>
      <c r="F115" s="480" t="s">
        <v>1587</v>
      </c>
      <c r="G115" s="480" t="s">
        <v>62</v>
      </c>
    </row>
    <row r="116" spans="3:11">
      <c r="C116" s="484"/>
      <c r="D116" s="484"/>
      <c r="E116" s="484" t="s">
        <v>1584</v>
      </c>
      <c r="F116" s="480" t="s">
        <v>1588</v>
      </c>
      <c r="G116" s="480" t="s">
        <v>62</v>
      </c>
    </row>
    <row r="117" spans="3:11">
      <c r="E117" s="484" t="s">
        <v>1585</v>
      </c>
      <c r="F117" s="480" t="s">
        <v>1589</v>
      </c>
      <c r="G117" s="18" t="s">
        <v>62</v>
      </c>
    </row>
    <row r="118" spans="3:11">
      <c r="C118" t="s">
        <v>39</v>
      </c>
      <c r="E118" t="str">
        <f>Distribution!E7</f>
        <v>ELCHIG</v>
      </c>
      <c r="F118" s="480" t="s">
        <v>1661</v>
      </c>
      <c r="G118" s="398" t="s">
        <v>62</v>
      </c>
      <c r="I118" s="481" t="s">
        <v>1672</v>
      </c>
      <c r="K118" t="s">
        <v>1671</v>
      </c>
    </row>
    <row r="119" spans="3:11">
      <c r="E119" s="602" t="str">
        <f>Distribution!E8</f>
        <v>ELCMID</v>
      </c>
      <c r="F119" s="480" t="s">
        <v>1662</v>
      </c>
      <c r="G119" s="398" t="s">
        <v>62</v>
      </c>
      <c r="I119" s="481" t="s">
        <v>1672</v>
      </c>
      <c r="K119" s="602" t="s">
        <v>1671</v>
      </c>
    </row>
    <row r="120" spans="3:11">
      <c r="E120" s="602" t="str">
        <f>Distribution!E9</f>
        <v>ELCLOW</v>
      </c>
      <c r="F120" s="480" t="s">
        <v>1663</v>
      </c>
      <c r="G120" s="398" t="s">
        <v>62</v>
      </c>
      <c r="I120" s="481" t="s">
        <v>1672</v>
      </c>
      <c r="K120" s="602" t="s">
        <v>1671</v>
      </c>
    </row>
    <row r="121" spans="3:11" s="602" customFormat="1">
      <c r="E121" s="602" t="str">
        <f>Distribution!E10</f>
        <v>NGAT</v>
      </c>
      <c r="F121" s="480" t="s">
        <v>1679</v>
      </c>
      <c r="G121" s="398" t="s">
        <v>62</v>
      </c>
    </row>
    <row r="122" spans="3:11">
      <c r="E122" s="602" t="str">
        <f>Distribution!E11</f>
        <v>NGAD</v>
      </c>
      <c r="F122" s="480" t="s">
        <v>1680</v>
      </c>
      <c r="G122" s="398" t="s">
        <v>62</v>
      </c>
    </row>
    <row r="123" spans="3:11">
      <c r="E123" s="602" t="s">
        <v>1650</v>
      </c>
      <c r="F123" s="480" t="s">
        <v>1785</v>
      </c>
      <c r="G123" s="398" t="s">
        <v>62</v>
      </c>
    </row>
    <row r="124" spans="3:11">
      <c r="E124" s="602" t="s">
        <v>1651</v>
      </c>
      <c r="F124" s="480" t="s">
        <v>1786</v>
      </c>
      <c r="G124" s="398" t="s">
        <v>62</v>
      </c>
    </row>
    <row r="125" spans="3:11">
      <c r="E125" s="602" t="s">
        <v>1870</v>
      </c>
      <c r="F125" s="480" t="s">
        <v>1871</v>
      </c>
      <c r="G125" s="398" t="s">
        <v>62</v>
      </c>
    </row>
    <row r="126" spans="3:11">
      <c r="E126" s="9"/>
      <c r="F126" s="1295"/>
      <c r="G126" s="398"/>
      <c r="I126" s="588"/>
      <c r="K126" s="588"/>
    </row>
  </sheetData>
  <phoneticPr fontId="33" type="noConversion"/>
  <conditionalFormatting sqref="N28:O28">
    <cfRule type="cellIs" dxfId="47" priority="1" operator="equal">
      <formula>"no"</formula>
    </cfRule>
    <cfRule type="cellIs" dxfId="46" priority="2" operator="equal">
      <formula>"yes"</formula>
    </cfRule>
  </conditionalFormatting>
  <pageMargins left="0.75" right="0.75" top="1" bottom="1" header="0.5" footer="0.5"/>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A3:M232"/>
  <sheetViews>
    <sheetView topLeftCell="A174" zoomScale="80" zoomScaleNormal="80" workbookViewId="0">
      <selection activeCell="B193" sqref="B193"/>
    </sheetView>
  </sheetViews>
  <sheetFormatPr defaultColWidth="8.44140625" defaultRowHeight="13.2"/>
  <cols>
    <col min="1" max="1" width="5.44140625" customWidth="1"/>
    <col min="2" max="2" width="12.44140625" customWidth="1"/>
    <col min="3" max="3" width="10.44140625" customWidth="1"/>
    <col min="4" max="4" width="16.77734375" customWidth="1"/>
    <col min="5" max="5" width="42.44140625" bestFit="1" customWidth="1"/>
    <col min="7" max="7" width="12" customWidth="1"/>
    <col min="8" max="8" width="12.44140625" customWidth="1"/>
    <col min="9" max="9" width="18.77734375" customWidth="1"/>
    <col min="10" max="10" width="46.109375" customWidth="1"/>
  </cols>
  <sheetData>
    <row r="3" spans="1:11">
      <c r="B3" s="13" t="s">
        <v>14</v>
      </c>
      <c r="C3" s="14"/>
      <c r="D3" s="15"/>
      <c r="E3" s="15"/>
      <c r="F3" s="15"/>
      <c r="G3" s="15"/>
      <c r="H3" s="15"/>
      <c r="I3" s="15"/>
      <c r="J3" s="15"/>
    </row>
    <row r="4" spans="1:11" ht="13.8">
      <c r="B4" s="16" t="s">
        <v>15</v>
      </c>
      <c r="C4" s="16" t="s">
        <v>0</v>
      </c>
      <c r="D4" s="16" t="s">
        <v>1</v>
      </c>
      <c r="E4" s="16" t="s">
        <v>2</v>
      </c>
      <c r="F4" s="16" t="s">
        <v>16</v>
      </c>
      <c r="G4" s="16" t="s">
        <v>17</v>
      </c>
      <c r="H4" s="16" t="s">
        <v>18</v>
      </c>
      <c r="I4" s="16" t="s">
        <v>19</v>
      </c>
      <c r="J4" s="16" t="s">
        <v>20</v>
      </c>
    </row>
    <row r="5" spans="1:11" ht="26.25" customHeight="1" thickBot="1">
      <c r="B5" s="17" t="s">
        <v>23</v>
      </c>
      <c r="C5" s="17" t="s">
        <v>24</v>
      </c>
      <c r="D5" s="17" t="s">
        <v>25</v>
      </c>
      <c r="E5" s="17" t="s">
        <v>26</v>
      </c>
      <c r="F5" s="17" t="s">
        <v>27</v>
      </c>
      <c r="G5" s="17" t="s">
        <v>28</v>
      </c>
      <c r="H5" s="17" t="s">
        <v>29</v>
      </c>
      <c r="I5" s="17" t="s">
        <v>30</v>
      </c>
      <c r="J5" s="17" t="s">
        <v>31</v>
      </c>
    </row>
    <row r="6" spans="1:11" s="7" customFormat="1">
      <c r="A6" s="3"/>
      <c r="B6" s="20" t="s">
        <v>61</v>
      </c>
      <c r="C6" s="22"/>
      <c r="D6" s="18" t="str">
        <f>$B$6&amp;Commodities!E6</f>
        <v>IMPPEA</v>
      </c>
      <c r="E6" s="18" t="str">
        <f>"Import technology - "&amp;Commodities!F6</f>
        <v>Import technology - Peat</v>
      </c>
      <c r="F6" s="20" t="s">
        <v>62</v>
      </c>
      <c r="G6" s="18"/>
      <c r="H6" s="20"/>
      <c r="I6" s="20"/>
      <c r="J6" s="20"/>
      <c r="K6" s="3"/>
    </row>
    <row r="7" spans="1:11" s="7" customFormat="1">
      <c r="A7" s="3"/>
      <c r="B7" s="20"/>
      <c r="C7" s="22"/>
      <c r="D7" s="18" t="str">
        <f>$B$6&amp;Commodities!E7</f>
        <v>IMPIWH</v>
      </c>
      <c r="E7" s="18" t="str">
        <f>"Import technology - "&amp;Commodities!F7</f>
        <v xml:space="preserve">Import technology - Industrial waste heat </v>
      </c>
      <c r="F7" s="20" t="s">
        <v>62</v>
      </c>
      <c r="G7" s="18"/>
      <c r="H7" s="20"/>
      <c r="I7" s="20"/>
      <c r="J7" s="20"/>
      <c r="K7" s="3"/>
    </row>
    <row r="8" spans="1:11" s="7" customFormat="1">
      <c r="A8" s="3"/>
      <c r="B8" s="20"/>
      <c r="C8" s="22"/>
      <c r="D8" s="18" t="str">
        <f>$B$6&amp;Commodities!E8</f>
        <v>IMPBFG</v>
      </c>
      <c r="E8" s="18" t="str">
        <f>"Import technology - "&amp;Commodities!F8</f>
        <v>Import technology - Blast furnace gas</v>
      </c>
      <c r="F8" s="20" t="s">
        <v>62</v>
      </c>
      <c r="G8" s="18"/>
      <c r="H8" s="20"/>
      <c r="I8" s="20"/>
      <c r="J8" s="20"/>
      <c r="K8" s="3"/>
    </row>
    <row r="9" spans="1:11" s="7" customFormat="1">
      <c r="A9" s="3"/>
      <c r="B9" s="20"/>
      <c r="C9" s="22"/>
      <c r="D9" s="18" t="str">
        <f>$B$6&amp;Commodities!E9</f>
        <v>IMPAMB</v>
      </c>
      <c r="E9" s="18" t="str">
        <f>"Import technology - "&amp;Commodities!F9</f>
        <v>Import technology - Ambient Temperature for heat pump</v>
      </c>
      <c r="F9" s="20" t="s">
        <v>62</v>
      </c>
      <c r="G9" s="18"/>
      <c r="H9" s="20"/>
      <c r="I9" s="20"/>
      <c r="J9" s="20"/>
      <c r="K9" s="3"/>
    </row>
    <row r="10" spans="1:11" s="7" customFormat="1">
      <c r="A10" s="3"/>
      <c r="B10" s="20"/>
      <c r="C10" s="22"/>
      <c r="D10" s="18" t="str">
        <f>$B$6&amp;Commodities!E10</f>
        <v>IMPURN</v>
      </c>
      <c r="E10" s="18" t="str">
        <f>"Import technology - "&amp;Commodities!F10</f>
        <v>Import technology - Nuclear fuel</v>
      </c>
      <c r="F10" s="20" t="s">
        <v>62</v>
      </c>
      <c r="G10" s="18"/>
      <c r="H10" s="20"/>
      <c r="I10" s="20"/>
      <c r="J10" s="20"/>
      <c r="K10" s="3"/>
    </row>
    <row r="11" spans="1:11" s="7" customFormat="1">
      <c r="A11" s="3"/>
      <c r="B11" s="20"/>
      <c r="C11" s="22"/>
      <c r="D11" s="18" t="str">
        <f>$B$6&amp;Commodities!E11</f>
        <v>IMPBLQ</v>
      </c>
      <c r="E11" s="18" t="str">
        <f>"Import technology - "&amp;Commodities!F11</f>
        <v>Import technology - Black liquor</v>
      </c>
      <c r="F11" s="20" t="s">
        <v>62</v>
      </c>
      <c r="G11" s="18"/>
      <c r="H11" s="20"/>
      <c r="I11" s="20"/>
      <c r="J11" s="20"/>
      <c r="K11" s="3"/>
    </row>
    <row r="12" spans="1:11" s="7" customFormat="1">
      <c r="A12" s="3"/>
      <c r="B12" s="20"/>
      <c r="C12" s="22"/>
      <c r="D12" s="18" t="str">
        <f>$B$6&amp;Commodities!E12</f>
        <v>IMPCOA</v>
      </c>
      <c r="E12" s="18" t="str">
        <f>"Import technology - "&amp;Commodities!F12</f>
        <v>Import technology - Coal</v>
      </c>
      <c r="F12" s="20" t="s">
        <v>62</v>
      </c>
      <c r="G12" s="18"/>
      <c r="H12" s="20"/>
      <c r="I12" s="20"/>
      <c r="J12" s="20"/>
      <c r="K12" s="3"/>
    </row>
    <row r="13" spans="1:11" s="7" customFormat="1">
      <c r="A13" s="3"/>
      <c r="B13" s="20"/>
      <c r="C13" s="22"/>
      <c r="D13" s="18" t="str">
        <f>$B$6&amp;Commodities!E13</f>
        <v>IMPNGA</v>
      </c>
      <c r="E13" s="18" t="str">
        <f>"Import technology - "&amp;Commodities!F13</f>
        <v>Import technology - Natural Gas</v>
      </c>
      <c r="F13" s="20" t="s">
        <v>62</v>
      </c>
      <c r="G13" s="18"/>
      <c r="H13" s="20"/>
      <c r="I13" s="20"/>
      <c r="J13" s="20"/>
      <c r="K13" s="3"/>
    </row>
    <row r="14" spans="1:11" s="7" customFormat="1">
      <c r="A14" s="3"/>
      <c r="B14" s="20"/>
      <c r="C14" s="22"/>
      <c r="D14" s="18" t="str">
        <f>$B$6&amp;Commodities!E14</f>
        <v>IMPCRD</v>
      </c>
      <c r="E14" s="18" t="str">
        <f>"Import technology - "&amp;Commodities!F14</f>
        <v>Import technology - Crude Oil</v>
      </c>
      <c r="F14" s="20" t="s">
        <v>62</v>
      </c>
      <c r="G14" s="18"/>
      <c r="H14" s="20"/>
      <c r="I14" s="20"/>
      <c r="J14" s="20"/>
      <c r="K14" s="3"/>
    </row>
    <row r="15" spans="1:11" s="7" customFormat="1">
      <c r="A15" s="3"/>
      <c r="B15" s="20"/>
      <c r="C15" s="22"/>
      <c r="D15" s="18" t="str">
        <f>$B$6&amp;Commodities!E15</f>
        <v>IMPLPG</v>
      </c>
      <c r="E15" s="18" t="str">
        <f>"Import technology - "&amp;Commodities!F15</f>
        <v>Import technology - Liquid petrol gas</v>
      </c>
      <c r="F15" s="20" t="s">
        <v>62</v>
      </c>
      <c r="G15" s="18"/>
      <c r="H15" s="20"/>
      <c r="I15" s="20"/>
      <c r="J15" s="20"/>
      <c r="K15" s="3"/>
    </row>
    <row r="16" spans="1:11" s="7" customFormat="1">
      <c r="A16" s="3"/>
      <c r="B16" s="20"/>
      <c r="C16" s="22"/>
      <c r="D16" s="18" t="str">
        <f>$B$6&amp;Commodities!E16</f>
        <v>IMPLVN</v>
      </c>
      <c r="E16" s="18" t="str">
        <f>"Import technology - "&amp;Commodities!F16</f>
        <v>Import technology - Naphtha (Petroleoum)</v>
      </c>
      <c r="F16" s="20" t="s">
        <v>62</v>
      </c>
      <c r="G16" s="18"/>
      <c r="H16" s="20"/>
      <c r="I16" s="20"/>
      <c r="J16" s="20"/>
      <c r="K16" s="3"/>
    </row>
    <row r="17" spans="1:11" s="7" customFormat="1">
      <c r="A17" s="3"/>
      <c r="B17" s="20"/>
      <c r="C17" s="22"/>
      <c r="D17" s="18" t="str">
        <f>$B$6&amp;Commodities!E17</f>
        <v>IMPGSL</v>
      </c>
      <c r="E17" s="18" t="str">
        <f>"Import technology - "&amp;Commodities!F17</f>
        <v>Import technology - Gasoline</v>
      </c>
      <c r="F17" s="20" t="s">
        <v>62</v>
      </c>
      <c r="G17" s="18"/>
      <c r="H17" s="20"/>
      <c r="I17" s="20"/>
      <c r="J17" s="20"/>
      <c r="K17" s="3"/>
    </row>
    <row r="18" spans="1:11" s="7" customFormat="1">
      <c r="A18" s="3"/>
      <c r="B18" s="20"/>
      <c r="C18" s="22"/>
      <c r="D18" s="18" t="str">
        <f>$B$6&amp;Commodities!E18</f>
        <v>IMPKER</v>
      </c>
      <c r="E18" s="18" t="str">
        <f>"Import technology - "&amp;Commodities!F18</f>
        <v>Import technology - Kerosene</v>
      </c>
      <c r="F18" s="20" t="s">
        <v>62</v>
      </c>
      <c r="G18" s="18"/>
      <c r="H18" s="20"/>
      <c r="I18" s="20"/>
      <c r="J18" s="20"/>
      <c r="K18" s="3"/>
    </row>
    <row r="19" spans="1:11" s="7" customFormat="1">
      <c r="A19" s="3"/>
      <c r="B19" s="20"/>
      <c r="C19" s="22"/>
      <c r="D19" s="18" t="str">
        <f>$B$6&amp;Commodities!E19</f>
        <v>IMPDSL</v>
      </c>
      <c r="E19" s="18" t="str">
        <f>"Import technology - "&amp;Commodities!F19</f>
        <v>Import technology - Diesel</v>
      </c>
      <c r="F19" s="20" t="s">
        <v>62</v>
      </c>
      <c r="G19" s="18"/>
      <c r="H19" s="20"/>
      <c r="I19" s="20"/>
      <c r="J19" s="20"/>
      <c r="K19" s="3"/>
    </row>
    <row r="20" spans="1:11" s="7" customFormat="1">
      <c r="A20" s="3"/>
      <c r="B20" s="20"/>
      <c r="C20" s="22"/>
      <c r="D20" s="18" t="str">
        <f>$B$6&amp;Commodities!E20</f>
        <v>IMPHFO</v>
      </c>
      <c r="E20" s="18" t="str">
        <f>"Import technology - "&amp;Commodities!F20</f>
        <v>Import technology - Heavy Fuel Oil</v>
      </c>
      <c r="F20" s="20" t="s">
        <v>62</v>
      </c>
      <c r="G20" s="18"/>
      <c r="H20" s="20"/>
      <c r="I20" s="20"/>
      <c r="J20" s="20"/>
      <c r="K20" s="3"/>
    </row>
    <row r="21" spans="1:11" s="7" customFormat="1">
      <c r="A21" s="3"/>
      <c r="B21" s="20"/>
      <c r="C21" s="22"/>
      <c r="D21" s="18" t="str">
        <f>$B$6&amp;Commodities!E21</f>
        <v>IMPMGO</v>
      </c>
      <c r="E21" s="18" t="str">
        <f>"Import technology - "&amp;Commodities!F21</f>
        <v>Import technology - Marine Gas Oil</v>
      </c>
      <c r="F21" s="20" t="s">
        <v>62</v>
      </c>
      <c r="G21" s="18"/>
      <c r="H21" s="20"/>
      <c r="I21" s="20"/>
      <c r="J21" s="20"/>
      <c r="K21" s="3"/>
    </row>
    <row r="22" spans="1:11" s="7" customFormat="1">
      <c r="A22" s="3"/>
      <c r="B22" s="20"/>
      <c r="C22" s="22"/>
      <c r="D22" s="18" t="str">
        <f>$B$6&amp;Commodities!E22</f>
        <v>IMPAGSL</v>
      </c>
      <c r="E22" s="18" t="str">
        <f>"Import technology - "&amp;Commodities!F22</f>
        <v>Import technology - Aviation gasoline</v>
      </c>
      <c r="F22" s="20" t="s">
        <v>62</v>
      </c>
      <c r="G22" s="18"/>
      <c r="H22" s="20"/>
      <c r="I22" s="20"/>
      <c r="J22" s="20"/>
      <c r="K22" s="3"/>
    </row>
    <row r="23" spans="1:11" s="7" customFormat="1">
      <c r="A23" s="3"/>
      <c r="B23" s="20"/>
      <c r="C23" s="22"/>
      <c r="D23" s="18" t="str">
        <f>$B$6&amp;Commodities!E23</f>
        <v>IMPBGA</v>
      </c>
      <c r="E23" s="18" t="str">
        <f>"Import technology - "&amp;Commodities!F23</f>
        <v>Import technology - Biogas</v>
      </c>
      <c r="F23" s="20" t="s">
        <v>62</v>
      </c>
      <c r="G23" s="18"/>
      <c r="H23" s="20"/>
      <c r="I23" s="20"/>
      <c r="J23" s="20"/>
      <c r="K23" s="3"/>
    </row>
    <row r="24" spans="1:11" s="7" customFormat="1">
      <c r="A24" s="3"/>
      <c r="B24" s="20"/>
      <c r="C24" s="22"/>
      <c r="D24" s="18" t="str">
        <f>$B$6&amp;Commodities!E24</f>
        <v>IMPHFB</v>
      </c>
      <c r="E24" s="18" t="str">
        <f>"Import technology - "&amp;Commodities!F24</f>
        <v>Import technology - Heavy Fuel Bio Oil</v>
      </c>
      <c r="F24" s="20" t="s">
        <v>62</v>
      </c>
      <c r="G24" s="18"/>
      <c r="H24" s="20"/>
      <c r="I24" s="20"/>
      <c r="J24" s="20"/>
      <c r="K24" s="3"/>
    </row>
    <row r="25" spans="1:11" s="7" customFormat="1">
      <c r="A25" s="3"/>
      <c r="B25" s="20"/>
      <c r="C25" s="22"/>
      <c r="D25" s="18" t="str">
        <f>$B$6&amp;Commodities!E25</f>
        <v>IMPDDGS</v>
      </c>
      <c r="E25" s="18" t="str">
        <f>"Import technology - "&amp;Commodities!F25</f>
        <v>Import technology - Ethanol</v>
      </c>
      <c r="F25" s="20" t="s">
        <v>62</v>
      </c>
      <c r="G25" s="18"/>
      <c r="H25" s="20"/>
      <c r="I25" s="20"/>
      <c r="J25" s="20"/>
      <c r="K25" s="3"/>
    </row>
    <row r="26" spans="1:11" s="7" customFormat="1">
      <c r="A26" s="3"/>
      <c r="B26" s="20"/>
      <c r="C26" s="22"/>
      <c r="D26" s="18" t="str">
        <f>$B$6&amp;Commodities!E26</f>
        <v>IMPH2</v>
      </c>
      <c r="E26" s="18" t="str">
        <f>"Import technology - "&amp;Commodities!F26</f>
        <v>Import technology - Hydrogen</v>
      </c>
      <c r="F26" s="20" t="s">
        <v>62</v>
      </c>
      <c r="G26" s="18"/>
      <c r="H26" s="20"/>
      <c r="I26" s="20"/>
      <c r="J26" s="20"/>
      <c r="K26" s="3"/>
    </row>
    <row r="27" spans="1:11" s="7" customFormat="1">
      <c r="A27" s="3"/>
      <c r="B27" s="20"/>
      <c r="C27" s="22"/>
      <c r="D27" s="18" t="str">
        <f>$B$6&amp;Commodities!E27</f>
        <v>IMPH2G</v>
      </c>
      <c r="E27" s="18" t="str">
        <f>"Import technology - "&amp;Commodities!F27</f>
        <v>Import technology - Hydrogen Gas</v>
      </c>
      <c r="F27" s="20" t="s">
        <v>62</v>
      </c>
      <c r="G27" s="18"/>
      <c r="H27" s="20"/>
      <c r="I27" s="20"/>
      <c r="J27" s="20"/>
      <c r="K27" s="3"/>
    </row>
    <row r="28" spans="1:11" s="7" customFormat="1">
      <c r="A28" s="3"/>
      <c r="B28" s="20"/>
      <c r="C28" s="22"/>
      <c r="D28" s="18" t="str">
        <f>$B$6&amp;Commodities!E28</f>
        <v>IMPAMM</v>
      </c>
      <c r="E28" s="18" t="str">
        <f>"Import technology - "&amp;Commodities!F28</f>
        <v>Import technology - Ammonia (Liquid)</v>
      </c>
      <c r="F28" s="20" t="s">
        <v>62</v>
      </c>
      <c r="G28" s="18"/>
      <c r="H28" s="20"/>
      <c r="I28" s="20"/>
      <c r="J28" s="20"/>
      <c r="K28" s="3"/>
    </row>
    <row r="29" spans="1:11" s="7" customFormat="1">
      <c r="A29" s="3"/>
      <c r="B29" s="20"/>
      <c r="C29" s="22"/>
      <c r="D29" s="18" t="str">
        <f>$B$6&amp;Commodities!E29</f>
        <v>IMPDME</v>
      </c>
      <c r="E29" s="18" t="str">
        <f>"Import technology - "&amp;Commodities!F29</f>
        <v>Import technology - Dimethyl ether</v>
      </c>
      <c r="F29" s="20" t="s">
        <v>62</v>
      </c>
      <c r="G29" s="18"/>
      <c r="H29" s="20"/>
      <c r="I29" s="20"/>
      <c r="J29" s="20"/>
      <c r="K29" s="3"/>
    </row>
    <row r="30" spans="1:11" s="7" customFormat="1">
      <c r="A30" s="3"/>
      <c r="B30" s="20"/>
      <c r="C30" s="22"/>
      <c r="D30" s="18" t="str">
        <f>$B$6&amp;Commodities!E30</f>
        <v>IMPKRB1</v>
      </c>
      <c r="E30" s="18" t="str">
        <f>"Import technology - "&amp;Commodities!F30</f>
        <v>Import technology - Bio Kerosene G1</v>
      </c>
      <c r="F30" s="20" t="s">
        <v>62</v>
      </c>
      <c r="G30" s="18"/>
      <c r="H30" s="20"/>
      <c r="I30" s="20"/>
      <c r="J30" s="20"/>
      <c r="K30" s="3"/>
    </row>
    <row r="31" spans="1:11" s="7" customFormat="1">
      <c r="A31" s="3"/>
      <c r="B31" s="20"/>
      <c r="C31" s="22"/>
      <c r="D31" s="18" t="str">
        <f>$B$6&amp;Commodities!E31</f>
        <v>IMPKRB2</v>
      </c>
      <c r="E31" s="18" t="str">
        <f>"Import technology - "&amp;Commodities!F31</f>
        <v>Import technology - Bio Kerosene G2</v>
      </c>
      <c r="F31" s="20" t="s">
        <v>62</v>
      </c>
      <c r="G31" s="18"/>
      <c r="H31" s="20"/>
      <c r="I31" s="20"/>
      <c r="J31" s="20"/>
      <c r="K31" s="3"/>
    </row>
    <row r="32" spans="1:11" s="7" customFormat="1">
      <c r="A32" s="3"/>
      <c r="B32" s="20"/>
      <c r="C32" s="22"/>
      <c r="D32" s="18" t="str">
        <f>$B$6&amp;Commodities!E32</f>
        <v>IMPKRE</v>
      </c>
      <c r="E32" s="18" t="str">
        <f>"Import technology - "&amp;Commodities!F32</f>
        <v>Import technology - Electro Kerosene</v>
      </c>
      <c r="F32" s="20" t="s">
        <v>62</v>
      </c>
      <c r="G32" s="18"/>
      <c r="H32" s="20"/>
      <c r="I32" s="20"/>
      <c r="J32" s="20"/>
      <c r="K32" s="3"/>
    </row>
    <row r="33" spans="1:11" s="7" customFormat="1">
      <c r="A33" s="3"/>
      <c r="B33" s="20"/>
      <c r="C33" s="22"/>
      <c r="D33" s="18" t="str">
        <f>$B$6&amp;Commodities!E33</f>
        <v>IMPSNG1</v>
      </c>
      <c r="E33" s="18" t="str">
        <f>"Import technology - "&amp;Commodities!F33</f>
        <v>Import technology - Bio Synt. Nat. Gas G1</v>
      </c>
      <c r="F33" s="20" t="s">
        <v>62</v>
      </c>
      <c r="G33" s="18"/>
      <c r="H33" s="20"/>
      <c r="I33" s="20"/>
      <c r="J33" s="20"/>
      <c r="K33" s="3"/>
    </row>
    <row r="34" spans="1:11" s="7" customFormat="1">
      <c r="A34" s="3"/>
      <c r="B34" s="20"/>
      <c r="C34" s="22"/>
      <c r="D34" s="18" t="str">
        <f>$B$6&amp;Commodities!E34</f>
        <v>IMPSNG2</v>
      </c>
      <c r="E34" s="18" t="str">
        <f>"Import technology - "&amp;Commodities!F34</f>
        <v>Import technology - Bio Synt. Nat. Gas G2</v>
      </c>
      <c r="F34" s="20" t="s">
        <v>62</v>
      </c>
      <c r="G34" s="18"/>
      <c r="H34" s="20"/>
      <c r="I34" s="20"/>
      <c r="J34" s="20"/>
      <c r="K34" s="3"/>
    </row>
    <row r="35" spans="1:11" s="7" customFormat="1">
      <c r="A35" s="3"/>
      <c r="B35" s="20"/>
      <c r="C35" s="22"/>
      <c r="D35" s="18" t="str">
        <f>$B$6&amp;Commodities!E35</f>
        <v>IMPSNE</v>
      </c>
      <c r="E35" s="18" t="str">
        <f>"Import technology - "&amp;Commodities!F35</f>
        <v>Import technology - Electro Synt. Nat. Gas</v>
      </c>
      <c r="F35" s="20" t="s">
        <v>62</v>
      </c>
      <c r="G35" s="18"/>
      <c r="H35" s="20"/>
      <c r="I35" s="20"/>
      <c r="J35" s="20"/>
      <c r="K35" s="3"/>
    </row>
    <row r="36" spans="1:11" s="7" customFormat="1">
      <c r="A36" s="3"/>
      <c r="B36" s="20"/>
      <c r="C36" s="22"/>
      <c r="D36" s="18" t="str">
        <f>$B$6&amp;Commodities!E36</f>
        <v>IMPDSB1</v>
      </c>
      <c r="E36" s="18" t="str">
        <f>"Import technology - "&amp;Commodities!F36</f>
        <v>Import technology - Biodiesel G1</v>
      </c>
      <c r="F36" s="20" t="s">
        <v>62</v>
      </c>
      <c r="G36" s="18"/>
      <c r="H36" s="20"/>
      <c r="I36" s="20"/>
      <c r="J36" s="20"/>
      <c r="K36" s="3"/>
    </row>
    <row r="37" spans="1:11" s="7" customFormat="1">
      <c r="A37" s="3"/>
      <c r="B37" s="20"/>
      <c r="C37" s="22"/>
      <c r="D37" s="18" t="str">
        <f>$B$6&amp;Commodities!E37</f>
        <v>IMPDSB2</v>
      </c>
      <c r="E37" s="18" t="str">
        <f>"Import technology - "&amp;Commodities!F37</f>
        <v>Import technology - Biodiesel G2</v>
      </c>
      <c r="F37" s="20" t="s">
        <v>62</v>
      </c>
      <c r="G37" s="18"/>
      <c r="H37" s="20"/>
      <c r="I37" s="20"/>
      <c r="J37" s="20"/>
      <c r="K37" s="3"/>
    </row>
    <row r="38" spans="1:11" s="7" customFormat="1">
      <c r="A38" s="3"/>
      <c r="B38" s="20"/>
      <c r="C38" s="22"/>
      <c r="D38" s="18" t="str">
        <f>$B$6&amp;Commodities!E38</f>
        <v>IMPDSE</v>
      </c>
      <c r="E38" s="18" t="str">
        <f>"Import technology - "&amp;Commodities!F38</f>
        <v>Import technology - Electro Diesel</v>
      </c>
      <c r="F38" s="20" t="s">
        <v>62</v>
      </c>
      <c r="G38" s="18"/>
      <c r="H38" s="20"/>
      <c r="I38" s="20"/>
      <c r="J38" s="20"/>
      <c r="K38" s="3"/>
    </row>
    <row r="39" spans="1:11" s="7" customFormat="1">
      <c r="A39" s="3"/>
      <c r="B39" s="20"/>
      <c r="C39" s="22"/>
      <c r="D39" s="18" t="str">
        <f>$B$6&amp;Commodities!E39</f>
        <v>IMPGSB1</v>
      </c>
      <c r="E39" s="18" t="str">
        <f>"Import technology - "&amp;Commodities!F39</f>
        <v>Import technology - Bioethanol G1</v>
      </c>
      <c r="F39" s="20" t="s">
        <v>62</v>
      </c>
      <c r="G39" s="18"/>
      <c r="H39" s="20"/>
      <c r="I39" s="20"/>
      <c r="J39" s="20"/>
      <c r="K39" s="3"/>
    </row>
    <row r="40" spans="1:11" s="7" customFormat="1">
      <c r="A40" s="3"/>
      <c r="B40" s="20"/>
      <c r="C40" s="22"/>
      <c r="D40" s="18" t="str">
        <f>$B$6&amp;Commodities!E40</f>
        <v>IMPGSB2</v>
      </c>
      <c r="E40" s="18" t="str">
        <f>"Import technology - "&amp;Commodities!F40</f>
        <v>Import technology - Bioethanol G2</v>
      </c>
      <c r="F40" s="20" t="s">
        <v>62</v>
      </c>
      <c r="G40" s="18"/>
      <c r="H40" s="20"/>
      <c r="I40" s="20"/>
      <c r="J40" s="20"/>
      <c r="K40" s="3"/>
    </row>
    <row r="41" spans="1:11" s="7" customFormat="1">
      <c r="A41" s="3"/>
      <c r="B41" s="20"/>
      <c r="C41" s="22"/>
      <c r="D41" s="18" t="str">
        <f>$B$6&amp;Commodities!E41</f>
        <v>IMPGSE</v>
      </c>
      <c r="E41" s="18" t="str">
        <f>"Import technology - "&amp;Commodities!F41</f>
        <v>Import technology - Electro Gasoline</v>
      </c>
      <c r="F41" s="20" t="s">
        <v>62</v>
      </c>
      <c r="G41" s="18"/>
      <c r="H41" s="20"/>
      <c r="I41" s="20"/>
      <c r="J41" s="20"/>
      <c r="K41" s="3"/>
    </row>
    <row r="42" spans="1:11" s="7" customFormat="1">
      <c r="A42" s="3"/>
      <c r="B42" s="20"/>
      <c r="C42" s="22"/>
      <c r="D42" s="18" t="str">
        <f>$B$6&amp;Commodities!E42</f>
        <v>IMPMOB1</v>
      </c>
      <c r="E42" s="18" t="str">
        <f>"Import technology - "&amp;Commodities!F42</f>
        <v>Import technology - Bio Methanol G1</v>
      </c>
      <c r="F42" s="20" t="s">
        <v>62</v>
      </c>
      <c r="G42" s="18"/>
      <c r="H42" s="20"/>
      <c r="I42" s="20"/>
      <c r="J42" s="20"/>
      <c r="K42" s="3"/>
    </row>
    <row r="43" spans="1:11" s="7" customFormat="1">
      <c r="A43" s="3"/>
      <c r="B43" s="20"/>
      <c r="C43" s="22"/>
      <c r="D43" s="18" t="str">
        <f>$B$6&amp;Commodities!E43</f>
        <v>IMPMOB2</v>
      </c>
      <c r="E43" s="18" t="str">
        <f>"Import technology - "&amp;Commodities!F43</f>
        <v>Import technology - Bio Methanol G2</v>
      </c>
      <c r="F43" s="20" t="s">
        <v>62</v>
      </c>
      <c r="G43" s="18"/>
      <c r="H43" s="20"/>
      <c r="I43" s="20"/>
      <c r="J43" s="20"/>
      <c r="K43" s="3"/>
    </row>
    <row r="44" spans="1:11" s="7" customFormat="1">
      <c r="A44" s="3"/>
      <c r="B44" s="20"/>
      <c r="C44" s="22"/>
      <c r="D44" s="18" t="str">
        <f>$B$6&amp;Commodities!E44</f>
        <v>IMPMOE</v>
      </c>
      <c r="E44" s="18" t="str">
        <f>"Import technology - "&amp;Commodities!F44</f>
        <v>Import technology - Electro Methanol</v>
      </c>
      <c r="F44" s="20" t="s">
        <v>62</v>
      </c>
      <c r="G44" s="18"/>
      <c r="H44" s="20"/>
      <c r="I44" s="20"/>
      <c r="J44" s="20"/>
      <c r="K44" s="3"/>
    </row>
    <row r="45" spans="1:11" s="7" customFormat="1">
      <c r="A45" s="3"/>
      <c r="B45" s="20"/>
      <c r="C45" s="22"/>
      <c r="D45" s="18" t="str">
        <f>$B$6&amp;Commodities!E46</f>
        <v>IMPWST</v>
      </c>
      <c r="E45" s="18" t="str">
        <f>"Import technology - "&amp;Commodities!F46</f>
        <v>Import technology - Waste</v>
      </c>
      <c r="F45" s="20" t="s">
        <v>62</v>
      </c>
      <c r="G45" s="18"/>
      <c r="H45" s="20"/>
      <c r="I45" s="20"/>
      <c r="J45" s="20"/>
      <c r="K45" s="3"/>
    </row>
    <row r="46" spans="1:11" s="7" customFormat="1">
      <c r="A46" s="3"/>
      <c r="B46" s="20"/>
      <c r="C46" s="22"/>
      <c r="D46" s="18" t="str">
        <f>$B$6&amp;Commodities!E47</f>
        <v>IMPSTR</v>
      </c>
      <c r="E46" s="18" t="str">
        <f>"Import technology - "&amp;Commodities!F47</f>
        <v>Import technology - Straw</v>
      </c>
      <c r="F46" s="20" t="s">
        <v>62</v>
      </c>
      <c r="G46" s="18"/>
      <c r="H46" s="20"/>
      <c r="I46" s="20"/>
      <c r="J46" s="20"/>
      <c r="K46" s="3"/>
    </row>
    <row r="47" spans="1:11" s="7" customFormat="1">
      <c r="A47" s="3"/>
      <c r="B47" s="20"/>
      <c r="C47" s="22"/>
      <c r="D47" s="18" t="str">
        <f>$B$6&amp;Commodities!E48</f>
        <v>IMPGRS</v>
      </c>
      <c r="E47" s="18" t="str">
        <f>"Import technology - "&amp;Commodities!F48</f>
        <v>Import technology - Grass</v>
      </c>
      <c r="F47" s="20" t="s">
        <v>62</v>
      </c>
      <c r="G47" s="18"/>
      <c r="H47" s="20"/>
      <c r="I47" s="20"/>
      <c r="J47" s="20"/>
      <c r="K47" s="3"/>
    </row>
    <row r="48" spans="1:11" s="7" customFormat="1">
      <c r="A48" s="3"/>
      <c r="B48" s="20"/>
      <c r="C48" s="22"/>
      <c r="D48" s="18" t="str">
        <f>$B$6&amp;Commodities!E49</f>
        <v>IMPWPE</v>
      </c>
      <c r="E48" s="18" t="str">
        <f>"Import technology - "&amp;Commodities!F49</f>
        <v>Import technology - Wood pellets</v>
      </c>
      <c r="F48" s="20" t="s">
        <v>62</v>
      </c>
      <c r="G48" s="18"/>
      <c r="H48" s="20"/>
      <c r="I48" s="20"/>
      <c r="J48" s="20"/>
      <c r="K48" s="3"/>
    </row>
    <row r="49" spans="1:11" s="7" customFormat="1">
      <c r="A49" s="3"/>
      <c r="B49" s="20"/>
      <c r="C49" s="22"/>
      <c r="D49" s="18" t="str">
        <f>$B$6&amp;Commodities!E50</f>
        <v>IMPWCH</v>
      </c>
      <c r="E49" s="18" t="str">
        <f>"Import technology - "&amp;Commodities!F50</f>
        <v>Import technology - Wood chips and wood waste</v>
      </c>
      <c r="F49" s="20" t="s">
        <v>62</v>
      </c>
      <c r="G49" s="18"/>
      <c r="H49" s="20"/>
      <c r="I49" s="20"/>
      <c r="J49" s="20"/>
      <c r="K49" s="3"/>
    </row>
    <row r="50" spans="1:11" s="7" customFormat="1">
      <c r="A50" s="3"/>
      <c r="B50" s="20"/>
      <c r="C50" s="22"/>
      <c r="D50" s="18" t="str">
        <f>$B$6&amp;Commodities!E51</f>
        <v>IMPFIW</v>
      </c>
      <c r="E50" s="18" t="str">
        <f>"Import technology - "&amp;Commodities!F51</f>
        <v>Import technology - Firewood</v>
      </c>
      <c r="F50" s="20" t="s">
        <v>62</v>
      </c>
      <c r="G50" s="18"/>
      <c r="H50" s="20"/>
      <c r="I50" s="20"/>
      <c r="J50" s="20"/>
      <c r="K50" s="3"/>
    </row>
    <row r="51" spans="1:11" s="7" customFormat="1">
      <c r="A51" s="3"/>
      <c r="B51" s="20"/>
      <c r="C51" s="22"/>
      <c r="D51" s="18" t="str">
        <f>$B$6&amp;Commodities!E52</f>
        <v>IMPCRN</v>
      </c>
      <c r="E51" s="18" t="str">
        <f>"Import technology - "&amp;Commodities!F52</f>
        <v>Import technology - Corn</v>
      </c>
      <c r="F51" s="20" t="s">
        <v>62</v>
      </c>
      <c r="G51" s="18"/>
      <c r="H51" s="20"/>
      <c r="I51" s="20"/>
      <c r="J51" s="20"/>
      <c r="K51" s="3"/>
    </row>
    <row r="52" spans="1:11" s="7" customFormat="1">
      <c r="A52" s="3"/>
      <c r="B52" s="20"/>
      <c r="C52" s="22"/>
      <c r="D52" s="18" t="str">
        <f>$B$6&amp;Commodities!E53</f>
        <v>IMPRPS</v>
      </c>
      <c r="E52" s="18" t="str">
        <f>"Import technology - "&amp;Commodities!F53</f>
        <v>Import technology - Rapeseed</v>
      </c>
      <c r="F52" s="20" t="s">
        <v>62</v>
      </c>
      <c r="G52" s="18"/>
      <c r="H52" s="20"/>
      <c r="I52" s="20"/>
      <c r="J52" s="20"/>
      <c r="K52" s="3"/>
    </row>
    <row r="53" spans="1:11" s="7" customFormat="1">
      <c r="A53" s="3"/>
      <c r="B53" s="20"/>
      <c r="C53" s="22"/>
      <c r="D53" s="18" t="str">
        <f>$B$6&amp;Commodities!E54</f>
        <v>IMPSGB</v>
      </c>
      <c r="E53" s="18" t="str">
        <f>"Import technology - "&amp;Commodities!F54</f>
        <v>Import technology - Sugar Beet</v>
      </c>
      <c r="F53" s="20" t="s">
        <v>62</v>
      </c>
      <c r="G53" s="18"/>
      <c r="H53" s="20"/>
      <c r="I53" s="20"/>
      <c r="J53" s="20"/>
      <c r="K53" s="3"/>
    </row>
    <row r="54" spans="1:11" s="7" customFormat="1">
      <c r="A54" s="3"/>
      <c r="B54" s="20"/>
      <c r="C54" s="22"/>
      <c r="D54" s="18" t="str">
        <f>$B$6&amp;Commodities!E55</f>
        <v>IMPDLI</v>
      </c>
      <c r="E54" s="18" t="str">
        <f>"Import technology - "&amp;Commodities!F55</f>
        <v>Import technology - Deep Litter</v>
      </c>
      <c r="F54" s="20" t="s">
        <v>62</v>
      </c>
      <c r="G54" s="18"/>
      <c r="H54" s="20"/>
      <c r="I54" s="20"/>
      <c r="J54" s="20"/>
      <c r="K54" s="3"/>
    </row>
    <row r="55" spans="1:11" s="7" customFormat="1" ht="13.95" customHeight="1">
      <c r="A55" s="3"/>
      <c r="B55" s="522"/>
      <c r="C55" s="551"/>
      <c r="D55" s="544" t="str">
        <f>$B$6&amp;Commodities!E56</f>
        <v>IMPMNR</v>
      </c>
      <c r="E55" s="544" t="str">
        <f>"Import technology - "&amp;Commodities!F56</f>
        <v>Import technology - Manure (Gylle)</v>
      </c>
      <c r="F55" s="522" t="s">
        <v>62</v>
      </c>
      <c r="G55" s="544"/>
      <c r="H55" s="522"/>
      <c r="I55" s="522"/>
      <c r="J55" s="20"/>
      <c r="K55" s="3"/>
    </row>
    <row r="56" spans="1:11" s="7" customFormat="1">
      <c r="A56" s="3"/>
      <c r="B56" s="20"/>
      <c r="C56" s="22"/>
      <c r="D56" s="398" t="s">
        <v>2161</v>
      </c>
      <c r="E56" s="398" t="s">
        <v>2135</v>
      </c>
      <c r="F56" s="20" t="s">
        <v>62</v>
      </c>
      <c r="G56" s="18"/>
      <c r="H56" s="20" t="s">
        <v>1672</v>
      </c>
    </row>
    <row r="57" spans="1:11" s="7" customFormat="1">
      <c r="A57" s="3"/>
      <c r="B57" s="20"/>
      <c r="C57" s="22"/>
      <c r="D57" s="398" t="s">
        <v>2166</v>
      </c>
      <c r="E57" s="398" t="s">
        <v>2135</v>
      </c>
      <c r="F57" s="20" t="s">
        <v>62</v>
      </c>
      <c r="G57" s="18"/>
      <c r="H57" s="20" t="s">
        <v>1672</v>
      </c>
    </row>
    <row r="58" spans="1:11" s="7" customFormat="1">
      <c r="A58" s="3"/>
      <c r="B58" s="20"/>
      <c r="C58" s="22"/>
      <c r="D58" s="398" t="s">
        <v>2143</v>
      </c>
      <c r="E58" s="398" t="s">
        <v>2136</v>
      </c>
      <c r="F58" s="20" t="s">
        <v>62</v>
      </c>
      <c r="G58" s="18"/>
      <c r="H58" s="20" t="s">
        <v>1672</v>
      </c>
    </row>
    <row r="59" spans="1:11" s="7" customFormat="1">
      <c r="A59" s="3"/>
      <c r="B59" s="20"/>
      <c r="C59" s="22"/>
      <c r="D59" s="398" t="s">
        <v>2144</v>
      </c>
      <c r="E59" s="398" t="s">
        <v>2134</v>
      </c>
      <c r="F59" s="20" t="s">
        <v>62</v>
      </c>
      <c r="G59" s="18"/>
      <c r="H59" s="20" t="s">
        <v>1672</v>
      </c>
    </row>
    <row r="60" spans="1:11" s="7" customFormat="1">
      <c r="A60" s="3"/>
      <c r="B60" s="20"/>
      <c r="C60" s="22"/>
      <c r="D60" s="398" t="s">
        <v>2145</v>
      </c>
      <c r="E60" s="398" t="s">
        <v>2134</v>
      </c>
      <c r="F60" s="20" t="s">
        <v>62</v>
      </c>
      <c r="G60" s="18"/>
      <c r="H60" s="20" t="s">
        <v>1672</v>
      </c>
    </row>
    <row r="61" spans="1:11" s="7" customFormat="1">
      <c r="A61" s="3"/>
      <c r="B61" s="20"/>
      <c r="C61" s="22"/>
      <c r="D61" s="398" t="s">
        <v>2146</v>
      </c>
      <c r="E61" s="398" t="s">
        <v>2134</v>
      </c>
      <c r="F61" s="20" t="s">
        <v>62</v>
      </c>
      <c r="G61" s="18"/>
      <c r="H61" s="20" t="s">
        <v>1672</v>
      </c>
    </row>
    <row r="62" spans="1:11" s="7" customFormat="1">
      <c r="A62" s="3"/>
      <c r="B62" s="20"/>
      <c r="C62" s="22"/>
      <c r="D62" s="398" t="s">
        <v>2147</v>
      </c>
      <c r="E62" s="398" t="s">
        <v>2134</v>
      </c>
      <c r="F62" s="20" t="s">
        <v>62</v>
      </c>
      <c r="G62" s="18"/>
      <c r="H62" s="20" t="s">
        <v>1672</v>
      </c>
    </row>
    <row r="63" spans="1:11" s="7" customFormat="1">
      <c r="A63" s="3"/>
      <c r="B63" s="20"/>
      <c r="C63" s="22"/>
      <c r="D63" s="398" t="s">
        <v>2148</v>
      </c>
      <c r="E63" s="398" t="s">
        <v>2133</v>
      </c>
      <c r="F63" s="20" t="s">
        <v>62</v>
      </c>
      <c r="G63" s="18"/>
      <c r="H63" s="20" t="s">
        <v>1672</v>
      </c>
    </row>
    <row r="64" spans="1:11" s="7" customFormat="1">
      <c r="A64" s="3"/>
      <c r="B64" s="20"/>
      <c r="C64" s="22"/>
      <c r="D64" s="398" t="s">
        <v>2149</v>
      </c>
      <c r="E64" s="398" t="s">
        <v>2133</v>
      </c>
      <c r="F64" s="20" t="s">
        <v>62</v>
      </c>
      <c r="G64" s="18"/>
      <c r="H64" s="20" t="s">
        <v>1672</v>
      </c>
    </row>
    <row r="65" spans="1:11" s="7" customFormat="1">
      <c r="A65" s="3"/>
      <c r="B65" s="20"/>
      <c r="C65" s="22"/>
      <c r="D65" s="398" t="s">
        <v>2150</v>
      </c>
      <c r="E65" s="398" t="s">
        <v>2133</v>
      </c>
      <c r="F65" s="20" t="s">
        <v>62</v>
      </c>
      <c r="G65" s="18"/>
      <c r="H65" s="20" t="s">
        <v>1672</v>
      </c>
    </row>
    <row r="66" spans="1:11" s="7" customFormat="1">
      <c r="A66" s="3"/>
      <c r="B66" s="20"/>
      <c r="C66" s="22"/>
      <c r="D66" s="398" t="s">
        <v>2159</v>
      </c>
      <c r="E66" s="398" t="s">
        <v>2132</v>
      </c>
      <c r="F66" s="20" t="s">
        <v>62</v>
      </c>
      <c r="G66" s="18"/>
      <c r="H66" s="20" t="s">
        <v>1672</v>
      </c>
    </row>
    <row r="67" spans="1:11" s="7" customFormat="1">
      <c r="A67" s="3"/>
      <c r="B67" s="20"/>
      <c r="C67" s="22"/>
      <c r="D67" s="398" t="s">
        <v>2160</v>
      </c>
      <c r="E67" s="398" t="s">
        <v>2135</v>
      </c>
      <c r="F67" s="20" t="s">
        <v>62</v>
      </c>
      <c r="G67" s="18"/>
      <c r="H67" s="20" t="s">
        <v>1672</v>
      </c>
    </row>
    <row r="68" spans="1:11" s="7" customFormat="1">
      <c r="A68" s="3"/>
      <c r="B68" s="20"/>
      <c r="C68" s="22"/>
      <c r="D68" s="398" t="s">
        <v>2171</v>
      </c>
      <c r="E68" s="398" t="s">
        <v>2133</v>
      </c>
      <c r="F68" s="20" t="s">
        <v>62</v>
      </c>
      <c r="G68" s="18"/>
      <c r="H68" s="20" t="s">
        <v>1672</v>
      </c>
    </row>
    <row r="69" spans="1:11" s="7" customFormat="1">
      <c r="A69" s="3"/>
      <c r="B69" s="20"/>
      <c r="C69" s="22"/>
      <c r="D69" s="398" t="s">
        <v>2148</v>
      </c>
      <c r="E69" s="398" t="s">
        <v>2133</v>
      </c>
      <c r="F69" s="20" t="s">
        <v>62</v>
      </c>
      <c r="G69" s="18"/>
      <c r="H69" s="20" t="s">
        <v>1672</v>
      </c>
      <c r="I69" s="20"/>
      <c r="J69" s="20"/>
      <c r="K69" s="3"/>
    </row>
    <row r="70" spans="1:11" s="7" customFormat="1">
      <c r="A70" s="3"/>
      <c r="B70" s="20"/>
      <c r="C70" s="22"/>
      <c r="D70" s="398" t="s">
        <v>2172</v>
      </c>
      <c r="E70" s="398" t="s">
        <v>2188</v>
      </c>
      <c r="F70" s="20" t="s">
        <v>62</v>
      </c>
      <c r="G70" s="18"/>
      <c r="H70" s="20" t="s">
        <v>1672</v>
      </c>
      <c r="I70" s="20"/>
      <c r="J70" s="20"/>
      <c r="K70" s="3"/>
    </row>
    <row r="71" spans="1:11" s="1262" customFormat="1">
      <c r="B71" s="1263" t="s">
        <v>171</v>
      </c>
      <c r="C71" s="1264"/>
      <c r="D71" s="1265" t="str">
        <f>$B$71&amp;Commodities!E46</f>
        <v>MINWST</v>
      </c>
      <c r="E71" s="1265" t="str">
        <f>"Mining technology - "&amp;Commodities!F46</f>
        <v>Mining technology - Waste</v>
      </c>
      <c r="F71" s="1263" t="s">
        <v>62</v>
      </c>
      <c r="G71" s="1265"/>
      <c r="H71" s="1263"/>
      <c r="I71" s="1263"/>
      <c r="J71" s="1263"/>
    </row>
    <row r="72" spans="1:11" s="7" customFormat="1">
      <c r="A72" s="3"/>
      <c r="B72" s="20"/>
      <c r="C72" s="22"/>
      <c r="D72" s="18" t="str">
        <f>$B$71&amp;Commodities!E47</f>
        <v>MINSTR</v>
      </c>
      <c r="E72" s="18" t="str">
        <f>"Mining technology - "&amp;Commodities!F47</f>
        <v>Mining technology - Straw</v>
      </c>
      <c r="F72" s="20" t="s">
        <v>62</v>
      </c>
      <c r="G72" s="18"/>
      <c r="H72" s="20"/>
      <c r="I72" s="20"/>
      <c r="J72" s="20"/>
      <c r="K72" s="3"/>
    </row>
    <row r="73" spans="1:11" s="7" customFormat="1">
      <c r="A73" s="3"/>
      <c r="B73" s="20"/>
      <c r="C73" s="22"/>
      <c r="D73" s="18" t="str">
        <f>$B$71&amp;Commodities!E48</f>
        <v>MINGRS</v>
      </c>
      <c r="E73" s="18" t="str">
        <f>"Mining technology - "&amp;Commodities!F48</f>
        <v>Mining technology - Grass</v>
      </c>
      <c r="F73" s="20" t="s">
        <v>62</v>
      </c>
      <c r="G73" s="18"/>
      <c r="H73" s="20"/>
      <c r="I73" s="20"/>
      <c r="J73" s="20"/>
      <c r="K73" s="3"/>
    </row>
    <row r="74" spans="1:11" s="7" customFormat="1">
      <c r="A74" s="3"/>
      <c r="B74" s="20"/>
      <c r="C74" s="22"/>
      <c r="D74" s="18" t="str">
        <f>$B$71&amp;Commodities!E49</f>
        <v>MINWPE</v>
      </c>
      <c r="E74" s="18" t="str">
        <f>"Mining technology - "&amp;Commodities!F49</f>
        <v>Mining technology - Wood pellets</v>
      </c>
      <c r="F74" s="20" t="s">
        <v>62</v>
      </c>
      <c r="G74" s="18"/>
      <c r="H74" s="20"/>
      <c r="I74" s="20"/>
      <c r="J74" s="20"/>
      <c r="K74" s="3"/>
    </row>
    <row r="75" spans="1:11" s="7" customFormat="1">
      <c r="A75" s="3"/>
      <c r="B75" s="20"/>
      <c r="C75" s="22"/>
      <c r="D75" s="18" t="str">
        <f>$B$71&amp;Commodities!E50</f>
        <v>MINWCH</v>
      </c>
      <c r="E75" s="18" t="str">
        <f>"Mining technology - "&amp;Commodities!F50</f>
        <v>Mining technology - Wood chips and wood waste</v>
      </c>
      <c r="F75" s="20" t="s">
        <v>62</v>
      </c>
      <c r="G75" s="18"/>
      <c r="H75" s="20"/>
      <c r="I75" s="20"/>
      <c r="J75" s="20"/>
      <c r="K75" s="3"/>
    </row>
    <row r="76" spans="1:11" s="7" customFormat="1">
      <c r="A76" s="3"/>
      <c r="B76" s="20"/>
      <c r="C76" s="22"/>
      <c r="D76" s="18" t="str">
        <f>$B$71&amp;Commodities!E51</f>
        <v>MINFIW</v>
      </c>
      <c r="E76" s="18" t="str">
        <f>"Mining technology - "&amp;Commodities!F51</f>
        <v>Mining technology - Firewood</v>
      </c>
      <c r="F76" s="20" t="s">
        <v>62</v>
      </c>
      <c r="G76" s="18"/>
      <c r="H76" s="20"/>
      <c r="I76" s="20"/>
      <c r="J76" s="20"/>
      <c r="K76" s="3"/>
    </row>
    <row r="77" spans="1:11" s="7" customFormat="1">
      <c r="A77" s="3"/>
      <c r="B77" s="20"/>
      <c r="C77" s="22"/>
      <c r="D77" s="18" t="str">
        <f>$B$71&amp;Commodities!E52</f>
        <v>MINCRN</v>
      </c>
      <c r="E77" s="18" t="str">
        <f>"Mining technology - "&amp;Commodities!F52</f>
        <v>Mining technology - Corn</v>
      </c>
      <c r="F77" s="20" t="s">
        <v>62</v>
      </c>
      <c r="G77" s="18"/>
      <c r="H77" s="20"/>
      <c r="I77" s="20"/>
      <c r="J77" s="20"/>
      <c r="K77" s="3"/>
    </row>
    <row r="78" spans="1:11" s="7" customFormat="1">
      <c r="A78" s="3"/>
      <c r="B78" s="20"/>
      <c r="C78" s="22"/>
      <c r="D78" s="18" t="str">
        <f>$B$71&amp;Commodities!E53</f>
        <v>MINRPS</v>
      </c>
      <c r="E78" s="18" t="str">
        <f>"Mining technology - "&amp;Commodities!F53</f>
        <v>Mining technology - Rapeseed</v>
      </c>
      <c r="F78" s="20" t="s">
        <v>62</v>
      </c>
      <c r="G78" s="18"/>
      <c r="H78" s="20"/>
      <c r="I78" s="20"/>
      <c r="J78" s="20"/>
      <c r="K78" s="3"/>
    </row>
    <row r="79" spans="1:11" s="7" customFormat="1">
      <c r="A79" s="3"/>
      <c r="B79" s="20"/>
      <c r="C79" s="22"/>
      <c r="D79" s="18" t="str">
        <f>$B$71&amp;Commodities!E54</f>
        <v>MINSGB</v>
      </c>
      <c r="E79" s="18" t="str">
        <f>"Mining technology - "&amp;Commodities!F54</f>
        <v>Mining technology - Sugar Beet</v>
      </c>
      <c r="F79" s="20" t="s">
        <v>62</v>
      </c>
      <c r="G79" s="18"/>
      <c r="H79" s="20"/>
      <c r="I79" s="20"/>
      <c r="J79" s="20"/>
      <c r="K79" s="3"/>
    </row>
    <row r="80" spans="1:11" s="7" customFormat="1">
      <c r="A80" s="3"/>
      <c r="B80" s="20"/>
      <c r="C80" s="22"/>
      <c r="D80" s="18" t="str">
        <f>$B$71&amp;Commodities!E55</f>
        <v>MINDLI</v>
      </c>
      <c r="E80" s="18" t="str">
        <f>"Mining technology - "&amp;Commodities!F55</f>
        <v>Mining technology - Deep Litter</v>
      </c>
      <c r="F80" s="20" t="s">
        <v>62</v>
      </c>
      <c r="G80" s="18"/>
      <c r="H80" s="20"/>
      <c r="I80" s="20"/>
      <c r="J80" s="20"/>
      <c r="K80" s="3"/>
    </row>
    <row r="81" spans="1:11" s="7" customFormat="1">
      <c r="A81" s="3"/>
      <c r="B81" s="20"/>
      <c r="C81" s="22"/>
      <c r="D81" s="18" t="str">
        <f>$B$71&amp;Commodities!E56</f>
        <v>MINMNR</v>
      </c>
      <c r="E81" s="18" t="str">
        <f>"Mining technology - "&amp;Commodities!F56</f>
        <v>Mining technology - Manure (Gylle)</v>
      </c>
      <c r="F81" s="20" t="s">
        <v>62</v>
      </c>
      <c r="G81" s="18"/>
      <c r="H81" s="20"/>
      <c r="I81" s="20"/>
      <c r="J81" s="20"/>
      <c r="K81" s="3"/>
    </row>
    <row r="82" spans="1:11" s="7" customFormat="1">
      <c r="A82" s="3"/>
      <c r="B82" s="20"/>
      <c r="C82" s="22"/>
      <c r="D82" s="18" t="str">
        <f>$B$71&amp;RIGHT(Commodities!E57,3)</f>
        <v>MINNGA</v>
      </c>
      <c r="E82" s="18" t="str">
        <f>"Mining technology - "&amp;Commodities!F57</f>
        <v>Mining technology - Mining Natural Gas</v>
      </c>
      <c r="F82" s="20" t="s">
        <v>62</v>
      </c>
      <c r="G82" s="18"/>
      <c r="H82" s="20"/>
      <c r="I82" s="20"/>
      <c r="J82" s="20"/>
      <c r="K82" s="3"/>
    </row>
    <row r="83" spans="1:11" s="7" customFormat="1">
      <c r="A83" s="3"/>
      <c r="B83" s="20"/>
      <c r="C83" s="22"/>
      <c r="D83" s="18" t="str">
        <f>$B$71&amp;RIGHT(Commodities!E58,3)</f>
        <v>MINCRD</v>
      </c>
      <c r="E83" s="18" t="str">
        <f>"Mining technology - "&amp;Commodities!F58</f>
        <v>Mining technology - Mining Crude Oil</v>
      </c>
      <c r="F83" s="20" t="s">
        <v>62</v>
      </c>
      <c r="G83" s="18"/>
      <c r="H83" s="20"/>
      <c r="I83" s="20"/>
      <c r="J83" s="20"/>
      <c r="K83" s="3"/>
    </row>
    <row r="84" spans="1:11" s="7" customFormat="1">
      <c r="A84" s="3"/>
      <c r="B84" s="20"/>
      <c r="C84" s="22"/>
      <c r="D84" s="18" t="str">
        <f>$B$71&amp;Commodities!E59</f>
        <v>MINWIN</v>
      </c>
      <c r="E84" s="18" t="str">
        <f>"Mining technology - "&amp;Commodities!F59</f>
        <v>Mining technology - Wind</v>
      </c>
      <c r="F84" s="20" t="s">
        <v>62</v>
      </c>
      <c r="G84" s="18"/>
      <c r="H84" s="20"/>
      <c r="I84" s="20"/>
      <c r="J84" s="20"/>
      <c r="K84" s="3"/>
    </row>
    <row r="85" spans="1:11" s="7" customFormat="1">
      <c r="A85" s="3"/>
      <c r="B85" s="20"/>
      <c r="C85" s="22"/>
      <c r="D85" s="18" t="str">
        <f>$B$71&amp;Commodities!E60</f>
        <v>MINHYD</v>
      </c>
      <c r="E85" s="18" t="str">
        <f>"Mining technology - "&amp;Commodities!F60</f>
        <v>Mining technology - Hydro</v>
      </c>
      <c r="F85" s="20" t="s">
        <v>62</v>
      </c>
      <c r="G85" s="18"/>
      <c r="H85" s="20"/>
      <c r="I85" s="20"/>
      <c r="J85" s="20"/>
      <c r="K85" s="3"/>
    </row>
    <row r="86" spans="1:11" s="7" customFormat="1">
      <c r="A86" s="3"/>
      <c r="B86" s="20"/>
      <c r="C86" s="22"/>
      <c r="D86" s="18" t="str">
        <f>$B$71&amp;Commodities!E61</f>
        <v>MINSOL</v>
      </c>
      <c r="E86" s="18" t="str">
        <f>"Mining technology - "&amp;Commodities!F61</f>
        <v>Mining technology - Solar</v>
      </c>
      <c r="F86" s="20" t="s">
        <v>62</v>
      </c>
      <c r="G86" s="18"/>
      <c r="H86" s="20"/>
      <c r="I86" s="20"/>
      <c r="J86" s="20"/>
      <c r="K86" s="3"/>
    </row>
    <row r="87" spans="1:11" s="7" customFormat="1">
      <c r="A87" s="3"/>
      <c r="B87" s="20"/>
      <c r="C87" s="22"/>
      <c r="D87" s="18" t="str">
        <f>$B$71&amp;Commodities!E62</f>
        <v>MINGEO</v>
      </c>
      <c r="E87" s="18" t="str">
        <f>"Mining technology - "&amp;Commodities!F62</f>
        <v>Mining technology - Geothermal</v>
      </c>
      <c r="F87" s="20" t="s">
        <v>62</v>
      </c>
      <c r="G87" s="18"/>
      <c r="H87" s="20"/>
      <c r="I87" s="20"/>
      <c r="J87" s="20"/>
      <c r="K87" s="3"/>
    </row>
    <row r="88" spans="1:11" s="7" customFormat="1">
      <c r="A88" s="3"/>
      <c r="B88" s="20"/>
      <c r="C88" s="22"/>
      <c r="D88" s="18" t="str">
        <f>$B$71&amp;Commodities!E63</f>
        <v>MINWAV</v>
      </c>
      <c r="E88" s="18" t="str">
        <f>"Mining technology - "&amp;Commodities!F63</f>
        <v>Mining technology - Wave</v>
      </c>
      <c r="F88" s="20" t="s">
        <v>62</v>
      </c>
      <c r="G88" s="18"/>
      <c r="H88" s="20"/>
      <c r="I88" s="20"/>
      <c r="J88" s="20"/>
      <c r="K88" s="3"/>
    </row>
    <row r="89" spans="1:11" s="7" customFormat="1">
      <c r="A89" s="3"/>
      <c r="B89" s="522"/>
      <c r="C89" s="551"/>
      <c r="D89" s="544" t="str">
        <f>$B$71&amp;Commodities!E64</f>
        <v>MINMOV</v>
      </c>
      <c r="E89" s="544" t="str">
        <f>"Mining technology - "&amp;Commodities!F64</f>
        <v>Mining technology - Movement - Dummy commodity for bike and walk</v>
      </c>
      <c r="F89" s="522" t="s">
        <v>62</v>
      </c>
      <c r="G89" s="544"/>
      <c r="H89" s="522"/>
      <c r="I89" s="522"/>
      <c r="J89" s="20"/>
      <c r="K89" s="3"/>
    </row>
    <row r="90" spans="1:11" s="7" customFormat="1">
      <c r="A90" s="3"/>
      <c r="B90" s="20" t="s">
        <v>298</v>
      </c>
      <c r="C90" s="22"/>
      <c r="D90" s="18" t="str">
        <f>$B$90&amp;Commodities!E12</f>
        <v>EXPCOA</v>
      </c>
      <c r="E90" s="18" t="str">
        <f>"Export technology - "&amp;Commodities!F12</f>
        <v>Export technology - Coal</v>
      </c>
      <c r="F90" s="20" t="s">
        <v>62</v>
      </c>
      <c r="G90" s="18"/>
      <c r="H90" s="20"/>
      <c r="I90" s="20"/>
      <c r="J90" s="20"/>
      <c r="K90" s="3"/>
    </row>
    <row r="91" spans="1:11" s="7" customFormat="1">
      <c r="A91" s="3"/>
      <c r="B91" s="20"/>
      <c r="C91" s="22"/>
      <c r="D91" s="18" t="str">
        <f>$B$90&amp;Commodities!E13</f>
        <v>EXPNGA</v>
      </c>
      <c r="E91" s="18" t="str">
        <f>"Export technology - "&amp;Commodities!F13</f>
        <v>Export technology - Natural Gas</v>
      </c>
      <c r="F91" s="20" t="s">
        <v>62</v>
      </c>
      <c r="G91" s="18"/>
      <c r="H91" s="20"/>
      <c r="I91" s="20"/>
      <c r="J91" s="20"/>
      <c r="K91" s="3"/>
    </row>
    <row r="92" spans="1:11" s="7" customFormat="1">
      <c r="A92" s="3"/>
      <c r="B92" s="20"/>
      <c r="C92" s="22"/>
      <c r="D92" s="18" t="str">
        <f>$B$90&amp;Commodities!E14</f>
        <v>EXPCRD</v>
      </c>
      <c r="E92" s="18" t="str">
        <f>"Export technology - "&amp;Commodities!F14</f>
        <v>Export technology - Crude Oil</v>
      </c>
      <c r="F92" s="20" t="s">
        <v>62</v>
      </c>
      <c r="G92" s="18"/>
      <c r="H92" s="20"/>
      <c r="I92" s="20"/>
      <c r="J92" s="20"/>
      <c r="K92" s="3"/>
    </row>
    <row r="93" spans="1:11" s="7" customFormat="1">
      <c r="A93" s="3"/>
      <c r="B93" s="20"/>
      <c r="C93" s="22"/>
      <c r="D93" s="18" t="str">
        <f>$B$90&amp;Commodities!E15</f>
        <v>EXPLPG</v>
      </c>
      <c r="E93" s="18" t="str">
        <f>"Export technology - "&amp;Commodities!F15</f>
        <v>Export technology - Liquid petrol gas</v>
      </c>
      <c r="F93" s="20" t="s">
        <v>62</v>
      </c>
      <c r="G93" s="18"/>
      <c r="H93" s="20"/>
      <c r="I93" s="20"/>
      <c r="J93" s="20"/>
      <c r="K93" s="3"/>
    </row>
    <row r="94" spans="1:11" s="7" customFormat="1">
      <c r="A94" s="3"/>
      <c r="B94" s="20"/>
      <c r="C94" s="22"/>
      <c r="D94" s="18" t="str">
        <f>$B$90&amp;Commodities!E16</f>
        <v>EXPLVN</v>
      </c>
      <c r="E94" s="18" t="str">
        <f>"Export technology - "&amp;Commodities!F16</f>
        <v>Export technology - Naphtha (Petroleoum)</v>
      </c>
      <c r="F94" s="20" t="s">
        <v>62</v>
      </c>
      <c r="G94" s="18"/>
      <c r="H94" s="20"/>
      <c r="I94" s="20"/>
      <c r="J94" s="20"/>
      <c r="K94" s="3"/>
    </row>
    <row r="95" spans="1:11" s="7" customFormat="1">
      <c r="A95" s="3"/>
      <c r="B95" s="20"/>
      <c r="C95" s="22"/>
      <c r="D95" s="18" t="str">
        <f>$B$90&amp;Commodities!E17</f>
        <v>EXPGSL</v>
      </c>
      <c r="E95" s="18" t="str">
        <f>"Export technology - "&amp;Commodities!F17</f>
        <v>Export technology - Gasoline</v>
      </c>
      <c r="F95" s="20" t="s">
        <v>62</v>
      </c>
      <c r="G95" s="18"/>
      <c r="H95" s="20"/>
      <c r="I95" s="20"/>
      <c r="J95" s="20"/>
      <c r="K95" s="3"/>
    </row>
    <row r="96" spans="1:11" s="7" customFormat="1">
      <c r="A96" s="3"/>
      <c r="B96" s="20"/>
      <c r="C96" s="22"/>
      <c r="D96" s="18" t="str">
        <f>$B$90&amp;Commodities!E18</f>
        <v>EXPKER</v>
      </c>
      <c r="E96" s="18" t="str">
        <f>"Export technology - "&amp;Commodities!F18</f>
        <v>Export technology - Kerosene</v>
      </c>
      <c r="F96" s="20" t="s">
        <v>62</v>
      </c>
      <c r="G96" s="18"/>
      <c r="H96" s="20"/>
      <c r="I96" s="20"/>
      <c r="J96" s="20"/>
      <c r="K96" s="3"/>
    </row>
    <row r="97" spans="1:11" s="7" customFormat="1">
      <c r="A97" s="3"/>
      <c r="B97" s="20"/>
      <c r="C97" s="22"/>
      <c r="D97" s="18" t="str">
        <f>$B$90&amp;Commodities!E19</f>
        <v>EXPDSL</v>
      </c>
      <c r="E97" s="18" t="str">
        <f>"Export technology - "&amp;Commodities!F19</f>
        <v>Export technology - Diesel</v>
      </c>
      <c r="F97" s="20" t="s">
        <v>62</v>
      </c>
      <c r="G97" s="18"/>
      <c r="H97" s="20"/>
      <c r="I97" s="20"/>
      <c r="J97" s="20"/>
      <c r="K97" s="3"/>
    </row>
    <row r="98" spans="1:11" s="7" customFormat="1">
      <c r="A98" s="3"/>
      <c r="B98" s="20"/>
      <c r="C98" s="22"/>
      <c r="D98" s="18" t="str">
        <f>$B$90&amp;Commodities!E20</f>
        <v>EXPHFO</v>
      </c>
      <c r="E98" s="18" t="str">
        <f>"Export technology - "&amp;Commodities!F20</f>
        <v>Export technology - Heavy Fuel Oil</v>
      </c>
      <c r="F98" s="20" t="s">
        <v>62</v>
      </c>
      <c r="G98" s="18"/>
      <c r="H98" s="20"/>
      <c r="I98" s="20"/>
      <c r="J98" s="20"/>
      <c r="K98" s="3"/>
    </row>
    <row r="99" spans="1:11" s="7" customFormat="1">
      <c r="A99" s="3"/>
      <c r="B99" s="20"/>
      <c r="C99" s="22"/>
      <c r="D99" s="18" t="str">
        <f>$B$90&amp;Commodities!E21</f>
        <v>EXPMGO</v>
      </c>
      <c r="E99" s="18" t="str">
        <f>"Export technology - "&amp;Commodities!F21</f>
        <v>Export technology - Marine Gas Oil</v>
      </c>
      <c r="F99" s="20" t="s">
        <v>62</v>
      </c>
      <c r="G99" s="18"/>
      <c r="H99" s="20"/>
      <c r="I99" s="20"/>
      <c r="J99" s="20"/>
      <c r="K99" s="3"/>
    </row>
    <row r="100" spans="1:11" s="7" customFormat="1">
      <c r="A100" s="3"/>
      <c r="B100" s="20"/>
      <c r="C100" s="22"/>
      <c r="D100" s="18" t="str">
        <f>$B$90&amp;Commodities!E22</f>
        <v>EXPAGSL</v>
      </c>
      <c r="E100" s="18" t="str">
        <f>"Export technology - "&amp;Commodities!F22</f>
        <v>Export technology - Aviation gasoline</v>
      </c>
      <c r="F100" s="20" t="s">
        <v>62</v>
      </c>
      <c r="G100" s="18"/>
      <c r="H100" s="20"/>
      <c r="I100" s="20"/>
      <c r="J100" s="20"/>
      <c r="K100" s="3"/>
    </row>
    <row r="101" spans="1:11" s="7" customFormat="1">
      <c r="A101" s="3"/>
      <c r="B101" s="20"/>
      <c r="C101" s="22"/>
      <c r="D101" s="18" t="str">
        <f>$B$90&amp;Commodities!E23</f>
        <v>EXPBGA</v>
      </c>
      <c r="E101" s="18" t="str">
        <f>"Export technology - "&amp;Commodities!F23</f>
        <v>Export technology - Biogas</v>
      </c>
      <c r="F101" s="20" t="s">
        <v>62</v>
      </c>
      <c r="G101" s="18"/>
      <c r="H101" s="20"/>
      <c r="I101" s="20"/>
      <c r="J101" s="20"/>
      <c r="K101" s="3"/>
    </row>
    <row r="102" spans="1:11" s="7" customFormat="1">
      <c r="A102" s="3"/>
      <c r="B102" s="20"/>
      <c r="C102" s="22"/>
      <c r="D102" s="18" t="str">
        <f>$B$90&amp;Commodities!E24</f>
        <v>EXPHFB</v>
      </c>
      <c r="E102" s="18" t="str">
        <f>"Export technology - "&amp;Commodities!F24</f>
        <v>Export technology - Heavy Fuel Bio Oil</v>
      </c>
      <c r="F102" s="20" t="s">
        <v>62</v>
      </c>
      <c r="G102" s="18"/>
      <c r="H102" s="20"/>
      <c r="I102" s="20"/>
      <c r="J102" s="20"/>
      <c r="K102" s="3"/>
    </row>
    <row r="103" spans="1:11" s="7" customFormat="1">
      <c r="A103" s="3"/>
      <c r="B103" s="20"/>
      <c r="C103" s="22"/>
      <c r="D103" s="18" t="str">
        <f>$B$90&amp;Commodities!E25</f>
        <v>EXPDDGS</v>
      </c>
      <c r="E103" s="18" t="str">
        <f>"Export technology - "&amp;Commodities!F25</f>
        <v>Export technology - Ethanol</v>
      </c>
      <c r="F103" s="20" t="s">
        <v>62</v>
      </c>
      <c r="G103" s="18"/>
      <c r="H103" s="20"/>
      <c r="I103" s="20"/>
      <c r="J103" s="20"/>
      <c r="K103" s="3"/>
    </row>
    <row r="104" spans="1:11" s="7" customFormat="1">
      <c r="A104" s="3"/>
      <c r="B104" s="20"/>
      <c r="C104" s="22"/>
      <c r="D104" s="18" t="str">
        <f>$B$90&amp;Commodities!E26</f>
        <v>EXPH2</v>
      </c>
      <c r="E104" s="18" t="str">
        <f>"Export technology - "&amp;Commodities!F26</f>
        <v>Export technology - Hydrogen</v>
      </c>
      <c r="F104" s="20" t="s">
        <v>62</v>
      </c>
      <c r="G104" s="18"/>
      <c r="H104" s="20"/>
      <c r="I104" s="20"/>
      <c r="J104" s="20"/>
      <c r="K104" s="3"/>
    </row>
    <row r="105" spans="1:11" s="7" customFormat="1">
      <c r="A105" s="3"/>
      <c r="B105" s="20"/>
      <c r="C105" s="22"/>
      <c r="D105" s="18" t="str">
        <f>$B$90&amp;Commodities!E27</f>
        <v>EXPH2G</v>
      </c>
      <c r="E105" s="18" t="str">
        <f>"Export technology - "&amp;Commodities!F27</f>
        <v>Export technology - Hydrogen Gas</v>
      </c>
      <c r="F105" s="20" t="s">
        <v>62</v>
      </c>
      <c r="G105" s="18"/>
      <c r="H105" s="20"/>
      <c r="I105" s="20"/>
      <c r="J105" s="20"/>
      <c r="K105" s="3"/>
    </row>
    <row r="106" spans="1:11" s="7" customFormat="1">
      <c r="A106" s="3"/>
      <c r="B106" s="20"/>
      <c r="C106" s="22"/>
      <c r="D106" s="18" t="str">
        <f>$B$90&amp;Commodities!E28</f>
        <v>EXPAMM</v>
      </c>
      <c r="E106" s="18" t="str">
        <f>"Export technology - "&amp;Commodities!F28</f>
        <v>Export technology - Ammonia (Liquid)</v>
      </c>
      <c r="F106" s="20" t="s">
        <v>62</v>
      </c>
      <c r="G106" s="18"/>
      <c r="H106" s="20"/>
      <c r="I106" s="20"/>
      <c r="J106" s="20"/>
      <c r="K106" s="3"/>
    </row>
    <row r="107" spans="1:11" s="7" customFormat="1">
      <c r="A107" s="3"/>
      <c r="B107" s="20"/>
      <c r="C107" s="22"/>
      <c r="D107" s="18" t="str">
        <f>$B$90&amp;Commodities!E29</f>
        <v>EXPDME</v>
      </c>
      <c r="E107" s="18" t="str">
        <f>"Export technology - "&amp;Commodities!F29</f>
        <v>Export technology - Dimethyl ether</v>
      </c>
      <c r="F107" s="20" t="s">
        <v>62</v>
      </c>
      <c r="G107" s="18"/>
      <c r="H107" s="20"/>
      <c r="I107" s="20"/>
      <c r="J107" s="20"/>
      <c r="K107" s="3"/>
    </row>
    <row r="108" spans="1:11" s="7" customFormat="1">
      <c r="A108" s="3"/>
      <c r="B108" s="20"/>
      <c r="C108" s="22"/>
      <c r="D108" s="18" t="str">
        <f>$B$90&amp;Commodities!E30</f>
        <v>EXPKRB1</v>
      </c>
      <c r="E108" s="18" t="str">
        <f>"Export technology - "&amp;Commodities!F30</f>
        <v>Export technology - Bio Kerosene G1</v>
      </c>
      <c r="F108" s="20" t="s">
        <v>62</v>
      </c>
      <c r="G108" s="18"/>
      <c r="H108" s="20"/>
      <c r="I108" s="20"/>
      <c r="J108" s="20"/>
      <c r="K108" s="3"/>
    </row>
    <row r="109" spans="1:11" s="7" customFormat="1">
      <c r="A109" s="3"/>
      <c r="B109" s="20"/>
      <c r="C109" s="22"/>
      <c r="D109" s="18" t="str">
        <f>$B$90&amp;Commodities!E31</f>
        <v>EXPKRB2</v>
      </c>
      <c r="E109" s="18" t="str">
        <f>"Export technology - "&amp;Commodities!F31</f>
        <v>Export technology - Bio Kerosene G2</v>
      </c>
      <c r="F109" s="20" t="s">
        <v>62</v>
      </c>
      <c r="G109" s="18"/>
      <c r="H109" s="20"/>
      <c r="I109" s="20"/>
      <c r="J109" s="20"/>
      <c r="K109" s="3"/>
    </row>
    <row r="110" spans="1:11" s="7" customFormat="1">
      <c r="A110" s="3"/>
      <c r="B110" s="20"/>
      <c r="C110" s="22"/>
      <c r="D110" s="18" t="str">
        <f>$B$90&amp;Commodities!E32</f>
        <v>EXPKRE</v>
      </c>
      <c r="E110" s="18" t="str">
        <f>"Export technology - "&amp;Commodities!F32</f>
        <v>Export technology - Electro Kerosene</v>
      </c>
      <c r="F110" s="20" t="s">
        <v>62</v>
      </c>
      <c r="G110" s="18"/>
      <c r="H110" s="20"/>
      <c r="I110" s="20"/>
      <c r="J110" s="20"/>
      <c r="K110" s="3"/>
    </row>
    <row r="111" spans="1:11" s="7" customFormat="1">
      <c r="A111" s="3"/>
      <c r="B111" s="20"/>
      <c r="C111" s="22"/>
      <c r="D111" s="18" t="str">
        <f>$B$90&amp;Commodities!E33</f>
        <v>EXPSNG1</v>
      </c>
      <c r="E111" s="18" t="str">
        <f>"Export technology - "&amp;Commodities!F33</f>
        <v>Export technology - Bio Synt. Nat. Gas G1</v>
      </c>
      <c r="F111" s="20" t="s">
        <v>62</v>
      </c>
      <c r="G111" s="18"/>
      <c r="H111" s="20"/>
      <c r="I111" s="20"/>
      <c r="J111" s="20"/>
      <c r="K111" s="3"/>
    </row>
    <row r="112" spans="1:11" s="7" customFormat="1">
      <c r="A112" s="3"/>
      <c r="B112" s="20"/>
      <c r="C112" s="22"/>
      <c r="D112" s="18" t="str">
        <f>$B$90&amp;Commodities!E34</f>
        <v>EXPSNG2</v>
      </c>
      <c r="E112" s="18" t="str">
        <f>"Export technology - "&amp;Commodities!F34</f>
        <v>Export technology - Bio Synt. Nat. Gas G2</v>
      </c>
      <c r="F112" s="20" t="s">
        <v>62</v>
      </c>
      <c r="G112" s="18"/>
      <c r="H112" s="20"/>
      <c r="I112" s="20"/>
      <c r="J112" s="20"/>
      <c r="K112" s="3"/>
    </row>
    <row r="113" spans="1:11" s="7" customFormat="1">
      <c r="A113" s="3"/>
      <c r="B113" s="20"/>
      <c r="C113" s="22"/>
      <c r="D113" s="18" t="str">
        <f>$B$90&amp;Commodities!E35</f>
        <v>EXPSNE</v>
      </c>
      <c r="E113" s="18" t="str">
        <f>"Export technology - "&amp;Commodities!F35</f>
        <v>Export technology - Electro Synt. Nat. Gas</v>
      </c>
      <c r="F113" s="20" t="s">
        <v>62</v>
      </c>
      <c r="G113" s="18"/>
      <c r="H113" s="20"/>
      <c r="I113" s="20"/>
      <c r="J113" s="20"/>
      <c r="K113" s="3"/>
    </row>
    <row r="114" spans="1:11" s="7" customFormat="1">
      <c r="A114" s="3"/>
      <c r="B114" s="20"/>
      <c r="C114" s="22"/>
      <c r="D114" s="18" t="str">
        <f>$B$90&amp;Commodities!E36</f>
        <v>EXPDSB1</v>
      </c>
      <c r="E114" s="18" t="str">
        <f>"Export technology - "&amp;Commodities!F36</f>
        <v>Export technology - Biodiesel G1</v>
      </c>
      <c r="F114" s="20" t="s">
        <v>62</v>
      </c>
      <c r="G114" s="18"/>
      <c r="H114" s="20"/>
      <c r="I114" s="20"/>
      <c r="J114" s="20"/>
      <c r="K114" s="3"/>
    </row>
    <row r="115" spans="1:11" s="7" customFormat="1">
      <c r="A115" s="3"/>
      <c r="B115" s="20"/>
      <c r="C115" s="22"/>
      <c r="D115" s="18" t="str">
        <f>$B$90&amp;Commodities!E37</f>
        <v>EXPDSB2</v>
      </c>
      <c r="E115" s="18" t="str">
        <f>"Export technology - "&amp;Commodities!F37</f>
        <v>Export technology - Biodiesel G2</v>
      </c>
      <c r="F115" s="20" t="s">
        <v>62</v>
      </c>
      <c r="G115" s="18"/>
      <c r="H115" s="20"/>
      <c r="I115" s="20"/>
      <c r="J115" s="20"/>
      <c r="K115" s="3"/>
    </row>
    <row r="116" spans="1:11" s="7" customFormat="1">
      <c r="A116" s="3"/>
      <c r="B116" s="20"/>
      <c r="C116" s="22"/>
      <c r="D116" s="18" t="str">
        <f>$B$90&amp;Commodities!E38</f>
        <v>EXPDSE</v>
      </c>
      <c r="E116" s="18" t="str">
        <f>"Export technology - "&amp;Commodities!F38</f>
        <v>Export technology - Electro Diesel</v>
      </c>
      <c r="F116" s="20" t="s">
        <v>62</v>
      </c>
      <c r="G116" s="18"/>
      <c r="H116" s="20"/>
      <c r="I116" s="20"/>
      <c r="J116" s="20"/>
      <c r="K116" s="3"/>
    </row>
    <row r="117" spans="1:11" s="7" customFormat="1">
      <c r="A117" s="3"/>
      <c r="B117" s="20"/>
      <c r="C117" s="22"/>
      <c r="D117" s="18" t="str">
        <f>$B$90&amp;Commodities!E39</f>
        <v>EXPGSB1</v>
      </c>
      <c r="E117" s="18" t="str">
        <f>"Export technology - "&amp;Commodities!F39</f>
        <v>Export technology - Bioethanol G1</v>
      </c>
      <c r="F117" s="20" t="s">
        <v>62</v>
      </c>
      <c r="G117" s="18"/>
      <c r="H117" s="20"/>
      <c r="I117" s="20"/>
      <c r="J117" s="20"/>
      <c r="K117" s="3"/>
    </row>
    <row r="118" spans="1:11" s="7" customFormat="1">
      <c r="A118" s="3"/>
      <c r="B118" s="20"/>
      <c r="C118" s="22"/>
      <c r="D118" s="18" t="str">
        <f>$B$90&amp;Commodities!E40</f>
        <v>EXPGSB2</v>
      </c>
      <c r="E118" s="18" t="str">
        <f>"Export technology - "&amp;Commodities!F40</f>
        <v>Export technology - Bioethanol G2</v>
      </c>
      <c r="F118" s="20" t="s">
        <v>62</v>
      </c>
      <c r="G118" s="18"/>
      <c r="H118" s="20"/>
      <c r="I118" s="20"/>
      <c r="J118" s="20"/>
      <c r="K118" s="3"/>
    </row>
    <row r="119" spans="1:11" s="7" customFormat="1">
      <c r="A119" s="3"/>
      <c r="B119" s="20"/>
      <c r="C119" s="22"/>
      <c r="D119" s="18" t="str">
        <f>$B$90&amp;Commodities!E41</f>
        <v>EXPGSE</v>
      </c>
      <c r="E119" s="18" t="str">
        <f>"Export technology - "&amp;Commodities!F41</f>
        <v>Export technology - Electro Gasoline</v>
      </c>
      <c r="F119" s="20" t="s">
        <v>62</v>
      </c>
      <c r="G119" s="18"/>
      <c r="H119" s="20"/>
      <c r="I119" s="20"/>
      <c r="J119" s="20"/>
      <c r="K119" s="3"/>
    </row>
    <row r="120" spans="1:11" s="7" customFormat="1">
      <c r="A120" s="3"/>
      <c r="B120" s="20"/>
      <c r="C120" s="22"/>
      <c r="D120" s="18" t="str">
        <f>$B$90&amp;Commodities!E42</f>
        <v>EXPMOB1</v>
      </c>
      <c r="E120" s="18" t="str">
        <f>"Export technology - "&amp;Commodities!F42</f>
        <v>Export technology - Bio Methanol G1</v>
      </c>
      <c r="F120" s="20" t="s">
        <v>62</v>
      </c>
      <c r="G120" s="18"/>
      <c r="H120" s="20"/>
      <c r="I120" s="20"/>
      <c r="J120" s="20"/>
      <c r="K120" s="3"/>
    </row>
    <row r="121" spans="1:11" s="7" customFormat="1">
      <c r="A121" s="3"/>
      <c r="B121" s="20"/>
      <c r="C121" s="22"/>
      <c r="D121" s="18" t="str">
        <f>$B$90&amp;Commodities!E43</f>
        <v>EXPMOB2</v>
      </c>
      <c r="E121" s="18" t="str">
        <f>"Export technology - "&amp;Commodities!F43</f>
        <v>Export technology - Bio Methanol G2</v>
      </c>
      <c r="F121" s="20" t="s">
        <v>62</v>
      </c>
      <c r="G121" s="18"/>
      <c r="H121" s="20"/>
      <c r="I121" s="20"/>
      <c r="J121" s="20"/>
      <c r="K121" s="3"/>
    </row>
    <row r="122" spans="1:11" s="7" customFormat="1">
      <c r="A122" s="3"/>
      <c r="B122" s="20"/>
      <c r="C122" s="22"/>
      <c r="D122" s="18" t="str">
        <f>$B$90&amp;Commodities!E44</f>
        <v>EXPMOE</v>
      </c>
      <c r="E122" s="18" t="str">
        <f>"Export technology - "&amp;Commodities!F44</f>
        <v>Export technology - Electro Methanol</v>
      </c>
      <c r="F122" s="20" t="s">
        <v>62</v>
      </c>
      <c r="G122" s="18"/>
      <c r="H122" s="20"/>
      <c r="I122" s="20"/>
      <c r="J122" s="20"/>
      <c r="K122" s="3"/>
    </row>
    <row r="123" spans="1:11" s="7" customFormat="1">
      <c r="A123" s="3"/>
      <c r="B123" s="20"/>
      <c r="C123" s="22"/>
      <c r="D123" s="18" t="str">
        <f>$B$90&amp;Commodities!E66</f>
        <v>EXPLNB</v>
      </c>
      <c r="E123" s="18" t="str">
        <f>"Export technology - "&amp;Commodities!F66</f>
        <v>Export technology - Bio Naphtha (Petroleoum)</v>
      </c>
      <c r="F123" s="20" t="s">
        <v>62</v>
      </c>
      <c r="G123" s="18"/>
      <c r="H123" s="20"/>
      <c r="I123" s="20"/>
      <c r="J123" s="20"/>
      <c r="K123" s="3"/>
    </row>
    <row r="124" spans="1:11" s="7" customFormat="1">
      <c r="A124" s="3"/>
      <c r="B124" s="20"/>
      <c r="C124" s="22"/>
      <c r="D124" s="18" t="str">
        <f>$B$90&amp;Commodities!E67</f>
        <v>EXPGLY</v>
      </c>
      <c r="E124" s="18" t="str">
        <f>"Export technology - "&amp;Commodities!F67</f>
        <v>Export technology - Glycerol</v>
      </c>
      <c r="F124" s="20" t="s">
        <v>62</v>
      </c>
      <c r="G124" s="18"/>
      <c r="H124" s="20"/>
      <c r="I124" s="20"/>
      <c r="J124" s="20"/>
      <c r="K124" s="3"/>
    </row>
    <row r="125" spans="1:11" s="7" customFormat="1">
      <c r="A125" s="3"/>
      <c r="B125" s="20"/>
      <c r="C125" s="22"/>
      <c r="D125" s="18" t="str">
        <f>$B$90&amp;Commodities!E68</f>
        <v>EXPRPC</v>
      </c>
      <c r="E125" s="18" t="str">
        <f>"Export technology - "&amp;Commodities!F68</f>
        <v>Export technology - Rape Cake</v>
      </c>
      <c r="F125" s="20" t="s">
        <v>62</v>
      </c>
      <c r="G125" s="18"/>
      <c r="H125" s="20"/>
      <c r="I125" s="20"/>
      <c r="J125" s="20"/>
      <c r="K125" s="3"/>
    </row>
    <row r="126" spans="1:11" s="7" customFormat="1">
      <c r="A126" s="3"/>
      <c r="B126" s="20"/>
      <c r="C126" s="22"/>
      <c r="D126" s="18" t="str">
        <f>$B$90&amp;Commodities!E69</f>
        <v>EXPSGP</v>
      </c>
      <c r="E126" s="18" t="str">
        <f>"Export technology - "&amp;Commodities!F69</f>
        <v>Export technology - Sugar Beet Pulp</v>
      </c>
      <c r="F126" s="20" t="s">
        <v>62</v>
      </c>
      <c r="G126" s="18"/>
      <c r="H126" s="20"/>
      <c r="I126" s="20"/>
      <c r="J126" s="20"/>
      <c r="K126" s="3"/>
    </row>
    <row r="127" spans="1:11" s="7" customFormat="1">
      <c r="A127" s="3"/>
      <c r="B127" s="20"/>
      <c r="C127" s="22"/>
      <c r="D127" s="18" t="str">
        <f>$B$90&amp;Commodities!E65</f>
        <v>EXPOTH</v>
      </c>
      <c r="E127" s="18" t="str">
        <f>"Export technology - "&amp;Commodities!F65</f>
        <v>Export technology - Other non energy related commodities</v>
      </c>
      <c r="F127" s="20" t="s">
        <v>62</v>
      </c>
      <c r="G127" s="18"/>
      <c r="H127" s="20"/>
      <c r="I127" s="20"/>
      <c r="J127" s="20"/>
      <c r="K127" s="3"/>
    </row>
    <row r="128" spans="1:11" s="7" customFormat="1">
      <c r="A128" s="3"/>
      <c r="B128" s="20"/>
      <c r="C128" s="22"/>
      <c r="D128" s="398" t="s">
        <v>2164</v>
      </c>
      <c r="E128" s="398" t="s">
        <v>2168</v>
      </c>
      <c r="F128" s="20" t="s">
        <v>62</v>
      </c>
      <c r="G128" s="18"/>
      <c r="H128" s="20" t="s">
        <v>1672</v>
      </c>
      <c r="I128" s="20"/>
      <c r="J128" s="20"/>
      <c r="K128" s="3"/>
    </row>
    <row r="129" spans="1:11" s="7" customFormat="1">
      <c r="A129" s="3"/>
      <c r="B129" s="20"/>
      <c r="C129" s="22"/>
      <c r="D129" s="398" t="s">
        <v>2167</v>
      </c>
      <c r="E129" s="398" t="s">
        <v>2169</v>
      </c>
      <c r="F129" s="20" t="s">
        <v>62</v>
      </c>
      <c r="G129" s="18"/>
      <c r="H129" s="20" t="s">
        <v>1672</v>
      </c>
      <c r="I129" s="20"/>
      <c r="J129" s="20"/>
      <c r="K129" s="3"/>
    </row>
    <row r="130" spans="1:11" s="7" customFormat="1">
      <c r="A130" s="3"/>
      <c r="B130" s="20"/>
      <c r="C130" s="22"/>
      <c r="D130" s="398" t="s">
        <v>2151</v>
      </c>
      <c r="E130" s="398" t="s">
        <v>2137</v>
      </c>
      <c r="F130" s="20" t="s">
        <v>62</v>
      </c>
      <c r="G130" s="18"/>
      <c r="H130" s="20" t="s">
        <v>1672</v>
      </c>
      <c r="I130" s="20"/>
      <c r="J130" s="20"/>
      <c r="K130" s="3"/>
    </row>
    <row r="131" spans="1:11" s="7" customFormat="1">
      <c r="A131" s="3"/>
      <c r="B131" s="20"/>
      <c r="C131" s="22"/>
      <c r="D131" s="398" t="s">
        <v>2152</v>
      </c>
      <c r="E131" s="398" t="s">
        <v>2138</v>
      </c>
      <c r="F131" s="20" t="s">
        <v>62</v>
      </c>
      <c r="G131" s="18"/>
      <c r="H131" s="20" t="s">
        <v>1672</v>
      </c>
      <c r="I131" s="20"/>
      <c r="J131" s="20"/>
      <c r="K131" s="3"/>
    </row>
    <row r="132" spans="1:11" s="7" customFormat="1">
      <c r="A132" s="3"/>
      <c r="B132" s="20"/>
      <c r="C132" s="22"/>
      <c r="D132" s="398" t="s">
        <v>2153</v>
      </c>
      <c r="E132" s="398" t="s">
        <v>2139</v>
      </c>
      <c r="F132" s="20" t="s">
        <v>62</v>
      </c>
      <c r="G132" s="18"/>
      <c r="H132" s="20" t="s">
        <v>1672</v>
      </c>
      <c r="I132" s="20"/>
      <c r="J132" s="20"/>
      <c r="K132" s="3"/>
    </row>
    <row r="133" spans="1:11" s="7" customFormat="1">
      <c r="A133" s="3"/>
      <c r="B133" s="20"/>
      <c r="C133" s="22"/>
      <c r="D133" s="398" t="s">
        <v>2154</v>
      </c>
      <c r="E133" s="398" t="s">
        <v>2140</v>
      </c>
      <c r="F133" s="20" t="s">
        <v>62</v>
      </c>
      <c r="G133" s="18"/>
      <c r="H133" s="20" t="s">
        <v>1672</v>
      </c>
      <c r="I133" s="20"/>
      <c r="J133" s="20"/>
      <c r="K133" s="3"/>
    </row>
    <row r="134" spans="1:11" s="7" customFormat="1">
      <c r="A134" s="3"/>
      <c r="B134" s="20"/>
      <c r="C134" s="22"/>
      <c r="D134" s="398" t="s">
        <v>2155</v>
      </c>
      <c r="E134" s="398" t="s">
        <v>2141</v>
      </c>
      <c r="F134" s="20" t="s">
        <v>62</v>
      </c>
      <c r="G134" s="18"/>
      <c r="H134" s="20" t="s">
        <v>1672</v>
      </c>
      <c r="I134" s="20"/>
      <c r="J134" s="20"/>
      <c r="K134" s="3"/>
    </row>
    <row r="135" spans="1:11" s="7" customFormat="1">
      <c r="A135" s="3"/>
      <c r="B135" s="20"/>
      <c r="C135" s="22"/>
      <c r="D135" s="398" t="s">
        <v>2156</v>
      </c>
      <c r="E135" s="398" t="s">
        <v>2165</v>
      </c>
      <c r="F135" s="20" t="s">
        <v>62</v>
      </c>
      <c r="G135" s="18"/>
      <c r="H135" s="20" t="s">
        <v>1672</v>
      </c>
      <c r="I135" s="20"/>
      <c r="J135" s="20"/>
      <c r="K135" s="3"/>
    </row>
    <row r="136" spans="1:11" s="7" customFormat="1">
      <c r="A136" s="3"/>
      <c r="B136" s="20"/>
      <c r="C136" s="22"/>
      <c r="D136" s="398" t="s">
        <v>2157</v>
      </c>
      <c r="E136" s="398" t="s">
        <v>2142</v>
      </c>
      <c r="F136" s="20" t="s">
        <v>62</v>
      </c>
      <c r="G136" s="18"/>
      <c r="H136" s="20" t="s">
        <v>1672</v>
      </c>
      <c r="I136" s="20"/>
      <c r="J136" s="20"/>
      <c r="K136" s="3"/>
    </row>
    <row r="137" spans="1:11" s="7" customFormat="1">
      <c r="A137" s="3"/>
      <c r="B137" s="20"/>
      <c r="C137" s="22"/>
      <c r="D137" s="398" t="s">
        <v>2158</v>
      </c>
      <c r="E137" s="398" t="s">
        <v>2141</v>
      </c>
      <c r="F137" s="20" t="s">
        <v>62</v>
      </c>
      <c r="G137" s="18"/>
      <c r="H137" s="20" t="s">
        <v>1672</v>
      </c>
      <c r="I137" s="20"/>
      <c r="J137" s="20"/>
      <c r="K137" s="3"/>
    </row>
    <row r="138" spans="1:11" s="7" customFormat="1">
      <c r="A138" s="3"/>
      <c r="B138" s="20"/>
      <c r="C138" s="22"/>
      <c r="D138" s="398" t="s">
        <v>2162</v>
      </c>
      <c r="E138" s="398" t="s">
        <v>2174</v>
      </c>
      <c r="F138" s="20" t="s">
        <v>62</v>
      </c>
      <c r="G138" s="18"/>
      <c r="H138" s="20" t="s">
        <v>1672</v>
      </c>
      <c r="I138" s="20"/>
      <c r="J138" s="20"/>
      <c r="K138" s="3"/>
    </row>
    <row r="139" spans="1:11" s="7" customFormat="1">
      <c r="A139" s="3"/>
      <c r="B139" s="20"/>
      <c r="C139" s="22"/>
      <c r="D139" s="398" t="s">
        <v>2163</v>
      </c>
      <c r="E139" s="398" t="s">
        <v>2175</v>
      </c>
      <c r="F139" s="20" t="s">
        <v>62</v>
      </c>
      <c r="G139" s="18"/>
      <c r="H139" s="20" t="s">
        <v>1672</v>
      </c>
      <c r="I139" s="20"/>
      <c r="J139" s="20"/>
      <c r="K139" s="3"/>
    </row>
    <row r="140" spans="1:11" s="7" customFormat="1">
      <c r="A140" s="3"/>
      <c r="B140" s="20"/>
      <c r="C140" s="22"/>
      <c r="D140" s="398" t="s">
        <v>2170</v>
      </c>
      <c r="E140" s="398" t="s">
        <v>2169</v>
      </c>
      <c r="F140" s="20" t="s">
        <v>62</v>
      </c>
      <c r="G140" s="18"/>
      <c r="H140" s="20" t="s">
        <v>1672</v>
      </c>
    </row>
    <row r="141" spans="1:11" s="7" customFormat="1">
      <c r="A141" s="3"/>
      <c r="B141" s="20"/>
      <c r="C141" s="22"/>
      <c r="D141" s="398" t="s">
        <v>2156</v>
      </c>
      <c r="E141" s="398" t="s">
        <v>2176</v>
      </c>
      <c r="F141" s="20" t="s">
        <v>62</v>
      </c>
      <c r="G141" s="18"/>
      <c r="H141" s="20" t="s">
        <v>1672</v>
      </c>
      <c r="I141" s="20"/>
      <c r="J141" s="20"/>
      <c r="K141" s="3"/>
    </row>
    <row r="142" spans="1:11" s="7" customFormat="1">
      <c r="A142" s="3"/>
      <c r="B142" s="20"/>
      <c r="C142" s="22"/>
      <c r="D142" s="398" t="s">
        <v>2173</v>
      </c>
      <c r="E142" s="398" t="s">
        <v>2177</v>
      </c>
      <c r="F142" s="20" t="s">
        <v>62</v>
      </c>
      <c r="G142" s="18"/>
      <c r="H142" s="20" t="s">
        <v>1672</v>
      </c>
      <c r="I142" s="20"/>
      <c r="J142" s="20"/>
      <c r="K142" s="3"/>
    </row>
    <row r="143" spans="1:11" s="1262" customFormat="1">
      <c r="B143" s="1266" t="s">
        <v>143</v>
      </c>
      <c r="C143" s="1264"/>
      <c r="D143" s="1267" t="str">
        <f>"FT-"&amp;Commodities!E81</f>
        <v>FT-SUPELC</v>
      </c>
      <c r="E143" s="1267" t="str">
        <f>"FT technology - "&amp;Commodities!F81</f>
        <v>FT technology - Supply electricity</v>
      </c>
      <c r="F143" s="1266" t="s">
        <v>62</v>
      </c>
      <c r="G143" s="1265"/>
      <c r="H143" s="1268" t="s">
        <v>1672</v>
      </c>
      <c r="I143" s="1263"/>
      <c r="J143" s="1263"/>
    </row>
    <row r="144" spans="1:11" s="7" customFormat="1">
      <c r="A144" s="3"/>
      <c r="B144" s="20"/>
      <c r="C144" s="22"/>
      <c r="D144" s="484" t="str">
        <f>"FT-"&amp;Commodities!E82</f>
        <v>FT-SUPHETC</v>
      </c>
      <c r="E144" s="484" t="str">
        <f>"FT technology - "&amp;Commodities!F82</f>
        <v>FT technology - Supply Decentral district heating</v>
      </c>
      <c r="F144" s="398" t="s">
        <v>62</v>
      </c>
      <c r="G144" s="18"/>
      <c r="H144" s="481" t="s">
        <v>1672</v>
      </c>
      <c r="I144" s="20"/>
      <c r="J144" s="20"/>
      <c r="K144" s="3"/>
    </row>
    <row r="145" spans="1:11" s="7" customFormat="1">
      <c r="A145" s="3"/>
      <c r="B145" s="522"/>
      <c r="C145" s="551"/>
      <c r="D145" s="525" t="str">
        <f>"FT-"&amp;Commodities!E83</f>
        <v>FT-SUPHETD</v>
      </c>
      <c r="E145" s="525" t="str">
        <f>"FT technology - "&amp;Commodities!F83</f>
        <v>FT technology - Supply Central district heating</v>
      </c>
      <c r="F145" s="521" t="s">
        <v>62</v>
      </c>
      <c r="G145" s="544"/>
      <c r="H145" s="481" t="s">
        <v>1672</v>
      </c>
      <c r="I145" s="522"/>
      <c r="J145" s="20"/>
      <c r="K145" s="3"/>
    </row>
    <row r="146" spans="1:11" s="7" customFormat="1">
      <c r="A146" s="3"/>
      <c r="B146" s="398"/>
      <c r="C146" s="22"/>
      <c r="D146" s="484" t="str">
        <f>"FT-"&amp;Commodities!E84</f>
        <v>FT-SUPCOA</v>
      </c>
      <c r="E146" s="484" t="str">
        <f>"FT technology - "&amp;Commodities!F84</f>
        <v>FT technology - Supply Coal</v>
      </c>
      <c r="F146" s="398" t="s">
        <v>62</v>
      </c>
      <c r="G146" s="18"/>
      <c r="H146" s="20"/>
      <c r="I146" s="20"/>
      <c r="J146" s="20"/>
      <c r="K146" s="3"/>
    </row>
    <row r="147" spans="1:11" s="7" customFormat="1">
      <c r="A147" s="3"/>
      <c r="B147" s="20"/>
      <c r="C147" s="22"/>
      <c r="D147" s="484" t="str">
        <f>"FT-"&amp;Commodities!E85</f>
        <v>FT-SUPNGA</v>
      </c>
      <c r="E147" s="484" t="str">
        <f>"FT technology - "&amp;Commodities!F85</f>
        <v>FT technology - Supply Natural Gas</v>
      </c>
      <c r="F147" s="398" t="s">
        <v>62</v>
      </c>
      <c r="G147" s="18"/>
      <c r="H147" s="20"/>
      <c r="I147" s="20"/>
      <c r="J147" s="20"/>
      <c r="K147" s="3"/>
    </row>
    <row r="148" spans="1:11" s="7" customFormat="1">
      <c r="A148" s="3"/>
      <c r="B148" s="20"/>
      <c r="C148" s="22"/>
      <c r="D148" s="484" t="str">
        <f>"FT-"&amp;Commodities!E86</f>
        <v>FT-SUPCRD</v>
      </c>
      <c r="E148" s="484" t="str">
        <f>"FT technology - "&amp;Commodities!F86</f>
        <v>FT technology - Supply Crude Oil</v>
      </c>
      <c r="F148" s="398" t="s">
        <v>62</v>
      </c>
      <c r="G148" s="18"/>
      <c r="H148" s="20"/>
      <c r="I148" s="20"/>
      <c r="J148" s="20"/>
      <c r="K148" s="3"/>
    </row>
    <row r="149" spans="1:11" s="7" customFormat="1">
      <c r="A149" s="3"/>
      <c r="B149" s="20"/>
      <c r="C149" s="22"/>
      <c r="D149" s="484" t="str">
        <f>"FT-"&amp;Commodities!E87</f>
        <v>FT-SUPLPG</v>
      </c>
      <c r="E149" s="484" t="str">
        <f>"FT technology - "&amp;Commodities!F87</f>
        <v>FT technology - Supply Liquid petrol gas</v>
      </c>
      <c r="F149" s="398" t="s">
        <v>62</v>
      </c>
      <c r="G149" s="18"/>
      <c r="H149" s="20"/>
      <c r="I149" s="20"/>
      <c r="J149" s="20"/>
      <c r="K149" s="3"/>
    </row>
    <row r="150" spans="1:11" s="7" customFormat="1">
      <c r="A150" s="3"/>
      <c r="B150" s="20"/>
      <c r="C150" s="22"/>
      <c r="D150" s="484" t="str">
        <f>"FT-"&amp;Commodities!E88</f>
        <v>FT-SUPLVN</v>
      </c>
      <c r="E150" s="484" t="str">
        <f>"FT technology - "&amp;Commodities!F88</f>
        <v>FT technology - Supply Naphtha (Petroleoum)</v>
      </c>
      <c r="F150" s="398" t="s">
        <v>62</v>
      </c>
      <c r="G150" s="18"/>
      <c r="H150" s="20"/>
      <c r="I150" s="20"/>
      <c r="J150" s="20"/>
      <c r="K150" s="3"/>
    </row>
    <row r="151" spans="1:11" s="7" customFormat="1">
      <c r="A151" s="3"/>
      <c r="B151" s="20"/>
      <c r="C151" s="22"/>
      <c r="D151" s="484" t="str">
        <f>"FT-"&amp;Commodities!E89</f>
        <v>FT-SUPGSL</v>
      </c>
      <c r="E151" s="484" t="str">
        <f>"FT technology - "&amp;Commodities!F89</f>
        <v>FT technology - Supply Gasoline</v>
      </c>
      <c r="F151" s="398" t="s">
        <v>62</v>
      </c>
      <c r="G151" s="18"/>
      <c r="H151" s="20"/>
      <c r="I151" s="20"/>
      <c r="J151" s="20"/>
      <c r="K151" s="3"/>
    </row>
    <row r="152" spans="1:11" s="7" customFormat="1">
      <c r="A152" s="3"/>
      <c r="B152" s="20"/>
      <c r="C152" s="22"/>
      <c r="D152" s="484" t="str">
        <f>"FT-"&amp;Commodities!E90</f>
        <v>FT-SUPKER</v>
      </c>
      <c r="E152" s="484" t="str">
        <f>"FT technology - "&amp;Commodities!F90</f>
        <v>FT technology - Supply Kerosene</v>
      </c>
      <c r="F152" s="398" t="s">
        <v>62</v>
      </c>
      <c r="G152" s="18"/>
      <c r="H152" s="20"/>
      <c r="I152" s="20"/>
      <c r="J152" s="20"/>
      <c r="K152" s="3"/>
    </row>
    <row r="153" spans="1:11" s="7" customFormat="1">
      <c r="A153" s="3"/>
      <c r="B153" s="20"/>
      <c r="C153" s="22"/>
      <c r="D153" s="484" t="str">
        <f>"FT-"&amp;Commodities!E91</f>
        <v>FT-SUPDSL</v>
      </c>
      <c r="E153" s="484" t="str">
        <f>"FT technology - "&amp;Commodities!F91</f>
        <v>FT technology - Supply Diesel</v>
      </c>
      <c r="F153" s="398" t="s">
        <v>62</v>
      </c>
      <c r="G153" s="18"/>
      <c r="H153" s="20"/>
      <c r="I153" s="20"/>
      <c r="J153" s="20"/>
      <c r="K153" s="3"/>
    </row>
    <row r="154" spans="1:11" s="7" customFormat="1">
      <c r="A154" s="3"/>
      <c r="B154" s="20"/>
      <c r="C154" s="22"/>
      <c r="D154" s="484" t="str">
        <f>"FT-"&amp;Commodities!E92</f>
        <v>FT-SUPHFO</v>
      </c>
      <c r="E154" s="484" t="str">
        <f>"FT technology - "&amp;Commodities!F92</f>
        <v>FT technology - Supply Heavy Fuel Oil</v>
      </c>
      <c r="F154" s="398" t="s">
        <v>62</v>
      </c>
      <c r="G154" s="18"/>
      <c r="H154" s="20"/>
      <c r="I154" s="20"/>
      <c r="J154" s="20"/>
      <c r="K154" s="3"/>
    </row>
    <row r="155" spans="1:11">
      <c r="D155" s="484" t="str">
        <f>"FT-"&amp;Commodities!E93</f>
        <v>FT-SUPMGO</v>
      </c>
      <c r="E155" s="484" t="str">
        <f>"FT technology - "&amp;Commodities!F93</f>
        <v>FT technology - Supply Marine Gas Oil</v>
      </c>
      <c r="F155" s="398" t="s">
        <v>62</v>
      </c>
      <c r="G155" s="18"/>
      <c r="H155" s="15"/>
      <c r="I155" s="15"/>
      <c r="J155" s="15"/>
    </row>
    <row r="156" spans="1:11">
      <c r="D156" s="484" t="str">
        <f>"FT-"&amp;Commodities!E94</f>
        <v>FT-SUPAGSL</v>
      </c>
      <c r="E156" s="484" t="str">
        <f>"FT technology - "&amp;Commodities!F94</f>
        <v>FT technology - Supply Aviation gasoline</v>
      </c>
      <c r="F156" s="398" t="s">
        <v>62</v>
      </c>
      <c r="G156" s="18"/>
      <c r="H156" s="15"/>
      <c r="I156" s="15"/>
      <c r="J156" s="15"/>
    </row>
    <row r="157" spans="1:11">
      <c r="D157" s="484" t="str">
        <f>"FT-"&amp;Commodities!E95</f>
        <v>FT-SUPWST</v>
      </c>
      <c r="E157" s="484" t="str">
        <f>"FT technology - "&amp;Commodities!F95</f>
        <v>FT technology - Supply Waste</v>
      </c>
      <c r="F157" s="398" t="s">
        <v>62</v>
      </c>
      <c r="G157" s="18"/>
      <c r="H157" s="15"/>
      <c r="I157" s="15"/>
      <c r="J157" s="15"/>
    </row>
    <row r="158" spans="1:11">
      <c r="D158" s="484" t="str">
        <f>"FT-"&amp;Commodities!E96</f>
        <v>FT-SUPSTR</v>
      </c>
      <c r="E158" s="484" t="str">
        <f>"FT technology - "&amp;Commodities!F96</f>
        <v>FT technology - Supply Straw</v>
      </c>
      <c r="F158" s="398" t="s">
        <v>62</v>
      </c>
      <c r="G158" s="18"/>
      <c r="H158" s="15"/>
      <c r="I158" s="15"/>
      <c r="J158" s="15"/>
    </row>
    <row r="159" spans="1:11">
      <c r="D159" s="484" t="str">
        <f>"FT-"&amp;Commodities!E97</f>
        <v>FT-SUPGRS</v>
      </c>
      <c r="E159" s="484" t="str">
        <f>"FT technology - "&amp;Commodities!F97</f>
        <v>FT technology - Supply Grass</v>
      </c>
      <c r="F159" s="398" t="s">
        <v>62</v>
      </c>
      <c r="G159" s="18"/>
      <c r="H159" s="15"/>
      <c r="I159" s="15"/>
      <c r="J159" s="15"/>
    </row>
    <row r="160" spans="1:11">
      <c r="D160" s="484" t="str">
        <f>"FT-"&amp;Commodities!E98</f>
        <v>FT-SUPWPE</v>
      </c>
      <c r="E160" s="484" t="str">
        <f>"FT technology - "&amp;Commodities!F98</f>
        <v>FT technology - Supply Wood pellets</v>
      </c>
      <c r="F160" s="398" t="s">
        <v>62</v>
      </c>
      <c r="G160" s="18"/>
      <c r="H160" s="15"/>
      <c r="I160" s="15"/>
      <c r="J160" s="15"/>
    </row>
    <row r="161" spans="1:11">
      <c r="D161" s="484" t="str">
        <f>"FT-"&amp;Commodities!E99</f>
        <v>FT-SUPWCH</v>
      </c>
      <c r="E161" s="484" t="str">
        <f>"FT technology - "&amp;Commodities!F99</f>
        <v>FT technology - Supply Wood chips and wood waste</v>
      </c>
      <c r="F161" s="398" t="s">
        <v>62</v>
      </c>
      <c r="G161" s="18"/>
      <c r="H161" s="15"/>
      <c r="I161" s="15"/>
      <c r="J161" s="15"/>
    </row>
    <row r="162" spans="1:11">
      <c r="D162" s="484" t="str">
        <f>"FT-"&amp;Commodities!E100</f>
        <v>FT-SUPFIW</v>
      </c>
      <c r="E162" s="484" t="str">
        <f>"FT technology - "&amp;Commodities!F100</f>
        <v>FT technology - Supply Firewood</v>
      </c>
      <c r="F162" s="398" t="s">
        <v>62</v>
      </c>
      <c r="G162" s="18"/>
      <c r="H162" s="15"/>
      <c r="I162" s="15"/>
      <c r="J162" s="15"/>
    </row>
    <row r="163" spans="1:11">
      <c r="D163" s="484" t="str">
        <f>"FT-"&amp;Commodities!E101</f>
        <v>FT-SUPCRN</v>
      </c>
      <c r="E163" s="484" t="str">
        <f>"FT technology - "&amp;Commodities!F101</f>
        <v>FT technology - Supply Corn</v>
      </c>
      <c r="F163" s="398" t="s">
        <v>62</v>
      </c>
      <c r="G163" s="18"/>
      <c r="H163" s="15"/>
      <c r="I163" s="15"/>
      <c r="J163" s="15"/>
    </row>
    <row r="164" spans="1:11">
      <c r="D164" s="484" t="str">
        <f>"FT-"&amp;Commodities!E102</f>
        <v>FT-SUPRPS</v>
      </c>
      <c r="E164" s="484" t="str">
        <f>"FT technology - "&amp;Commodities!F102</f>
        <v>FT technology - Supply Rapeseed</v>
      </c>
      <c r="F164" s="398" t="s">
        <v>62</v>
      </c>
      <c r="G164" s="18"/>
      <c r="H164" s="15"/>
      <c r="I164" s="15"/>
      <c r="J164" s="15"/>
    </row>
    <row r="165" spans="1:11" s="404" customFormat="1">
      <c r="D165" s="484" t="str">
        <f>"FT-"&amp;Commodities!E103</f>
        <v>FT-SUPSGB</v>
      </c>
      <c r="E165" s="484" t="str">
        <f>"FT technology - "&amp;Commodities!F103</f>
        <v>FT technology - Supply Sugar Beet</v>
      </c>
      <c r="F165" s="398" t="s">
        <v>62</v>
      </c>
      <c r="G165" s="18"/>
      <c r="H165" s="481"/>
      <c r="I165" s="481"/>
      <c r="J165" s="481"/>
      <c r="K165" s="1"/>
    </row>
    <row r="166" spans="1:11">
      <c r="D166" s="484" t="str">
        <f>"FT-"&amp;Commodities!E104</f>
        <v>FT-SUPDLI</v>
      </c>
      <c r="E166" s="484" t="str">
        <f>"FT technology - "&amp;Commodities!F104</f>
        <v>FT technology - Supply Deep Litter</v>
      </c>
      <c r="F166" s="398" t="s">
        <v>62</v>
      </c>
      <c r="G166" s="18"/>
      <c r="H166" s="481"/>
      <c r="I166" s="481"/>
      <c r="J166" s="481"/>
      <c r="K166" s="1"/>
    </row>
    <row r="167" spans="1:11">
      <c r="D167" s="484" t="str">
        <f>"FT-"&amp;Commodities!E105</f>
        <v>FT-SUPMNR</v>
      </c>
      <c r="E167" s="484" t="str">
        <f>"FT technology - "&amp;Commodities!F105</f>
        <v>FT technology - Supply Manure (Gylle)</v>
      </c>
      <c r="F167" s="398" t="s">
        <v>62</v>
      </c>
      <c r="G167" s="18"/>
      <c r="H167" s="481"/>
      <c r="I167" s="481"/>
      <c r="J167" s="481"/>
      <c r="K167" s="1"/>
    </row>
    <row r="168" spans="1:11" s="484" customFormat="1">
      <c r="D168" s="484" t="str">
        <f>"FT-"&amp;Commodities!E106</f>
        <v>FT-SUPBGA</v>
      </c>
      <c r="E168" s="484" t="str">
        <f>"FT technology - "&amp;Commodities!F106</f>
        <v>FT technology - Supply Biogas</v>
      </c>
      <c r="F168" s="398" t="s">
        <v>62</v>
      </c>
      <c r="G168" s="398"/>
      <c r="H168" s="481"/>
      <c r="I168" s="481"/>
      <c r="J168" s="481"/>
      <c r="K168" s="1"/>
    </row>
    <row r="169" spans="1:11">
      <c r="D169" s="484" t="str">
        <f>"FT-"&amp;Commodities!E107</f>
        <v>FT-SUPHFB</v>
      </c>
      <c r="E169" s="484" t="str">
        <f>"FT technology - "&amp;Commodities!F107</f>
        <v>FT technology - Supply Heavy Fuel Bio Oil</v>
      </c>
      <c r="F169" s="398" t="s">
        <v>62</v>
      </c>
      <c r="G169" s="18"/>
      <c r="H169" s="481"/>
      <c r="I169" s="481"/>
      <c r="J169" s="481"/>
      <c r="K169" s="1"/>
    </row>
    <row r="170" spans="1:11" s="1" customFormat="1">
      <c r="D170" s="484" t="str">
        <f>"FT-"&amp;Commodities!E108</f>
        <v>FT-SUPDDGS</v>
      </c>
      <c r="E170" s="484" t="str">
        <f>"FT technology - "&amp;Commodities!F108</f>
        <v>FT technology - Supply Ethanol</v>
      </c>
      <c r="F170" s="398" t="s">
        <v>62</v>
      </c>
      <c r="G170" s="18"/>
      <c r="H170" s="481"/>
      <c r="I170" s="481"/>
      <c r="J170" s="481"/>
    </row>
    <row r="171" spans="1:11" s="1" customFormat="1">
      <c r="D171" s="484" t="str">
        <f>"FT-"&amp;Commodities!E109</f>
        <v>FT-SUPH2</v>
      </c>
      <c r="E171" s="484" t="str">
        <f>"FT technology - "&amp;Commodities!F109</f>
        <v>FT technology - Supply Hydrogen</v>
      </c>
      <c r="F171" s="398" t="s">
        <v>62</v>
      </c>
      <c r="G171" s="18"/>
      <c r="H171" s="481"/>
      <c r="I171" s="481"/>
      <c r="J171" s="481"/>
    </row>
    <row r="172" spans="1:11" s="1" customFormat="1">
      <c r="A172" s="3"/>
      <c r="D172" s="484" t="str">
        <f>"FT-"&amp;Commodities!E110</f>
        <v>FT-SUPH2G</v>
      </c>
      <c r="E172" s="484" t="str">
        <f>"FT technology - "&amp;Commodities!F110</f>
        <v>FT technology - Supply Hydrogen Gas</v>
      </c>
      <c r="F172" s="398" t="s">
        <v>62</v>
      </c>
      <c r="G172" s="18"/>
      <c r="H172" s="481"/>
      <c r="I172" s="481"/>
      <c r="J172" s="481"/>
    </row>
    <row r="173" spans="1:11" s="1" customFormat="1">
      <c r="A173" s="3"/>
      <c r="D173" s="484" t="str">
        <f>"FT-"&amp;Commodities!E111</f>
        <v>FT-SUPAMM</v>
      </c>
      <c r="E173" s="484" t="str">
        <f>"FT technology - "&amp;Commodities!F111</f>
        <v>FT technology - Supply Ammonia (Liquid)</v>
      </c>
      <c r="F173" s="398" t="s">
        <v>62</v>
      </c>
      <c r="G173" s="18"/>
      <c r="H173" s="481"/>
      <c r="I173" s="481"/>
      <c r="J173" s="481"/>
    </row>
    <row r="174" spans="1:11" s="1" customFormat="1">
      <c r="A174" s="3"/>
      <c r="D174" s="484" t="str">
        <f>"FT-"&amp;Commodities!E112</f>
        <v>FT-SUPDME</v>
      </c>
      <c r="E174" s="484" t="str">
        <f>"FT technology - "&amp;Commodities!F112</f>
        <v>FT technology - Supply Dimethyl ether</v>
      </c>
      <c r="F174" s="398" t="s">
        <v>62</v>
      </c>
      <c r="G174" s="18"/>
      <c r="H174" s="481"/>
      <c r="I174" s="481"/>
      <c r="J174" s="481"/>
    </row>
    <row r="175" spans="1:11" s="1" customFormat="1">
      <c r="A175" s="3"/>
      <c r="D175" s="484" t="str">
        <f>"FT-"&amp;Commodities!E113</f>
        <v>FT-SUPKRB</v>
      </c>
      <c r="E175" s="484" t="str">
        <f>"FT technology - "&amp;Commodities!F113</f>
        <v>FT technology - Supply Bio Kerosene</v>
      </c>
      <c r="F175" s="398" t="s">
        <v>62</v>
      </c>
      <c r="G175" s="18"/>
      <c r="H175" s="481"/>
      <c r="I175" s="481"/>
      <c r="J175" s="481"/>
    </row>
    <row r="176" spans="1:11" s="1" customFormat="1">
      <c r="A176" s="3"/>
      <c r="D176" s="484" t="str">
        <f>"FT-"&amp;Commodities!E114</f>
        <v>FT-SUPSNG</v>
      </c>
      <c r="E176" s="484" t="str">
        <f>"FT technology - "&amp;Commodities!F114</f>
        <v>FT technology - Supply Bio Synt. Nat. Gas</v>
      </c>
      <c r="F176" s="398" t="s">
        <v>62</v>
      </c>
      <c r="G176" s="18"/>
      <c r="H176" s="481"/>
      <c r="I176" s="481"/>
      <c r="J176" s="481"/>
    </row>
    <row r="177" spans="2:11">
      <c r="D177" s="484" t="str">
        <f>"FT-"&amp;Commodities!E115</f>
        <v>FT-SUPDSB</v>
      </c>
      <c r="E177" s="484" t="str">
        <f>"FT technology - "&amp;Commodities!F115</f>
        <v>FT technology - Supply Biodiesel</v>
      </c>
      <c r="F177" s="398" t="s">
        <v>62</v>
      </c>
      <c r="G177" s="18"/>
      <c r="H177" s="481"/>
      <c r="I177" s="481"/>
      <c r="J177" s="481"/>
      <c r="K177" s="1"/>
    </row>
    <row r="178" spans="2:11">
      <c r="D178" s="484" t="str">
        <f>"FT-"&amp;Commodities!E116</f>
        <v>FT-SUPGSB</v>
      </c>
      <c r="E178" s="484" t="str">
        <f>"FT technology - "&amp;Commodities!F116</f>
        <v>FT technology - Supply Bioethanol</v>
      </c>
      <c r="F178" s="398" t="s">
        <v>62</v>
      </c>
      <c r="G178" s="18"/>
      <c r="H178" s="481"/>
      <c r="I178" s="481"/>
      <c r="J178" s="481"/>
      <c r="K178" s="1"/>
    </row>
    <row r="179" spans="2:11">
      <c r="D179" s="484" t="str">
        <f>"FT-"&amp;Commodities!E117</f>
        <v>FT-SUPMOB</v>
      </c>
      <c r="E179" s="484" t="str">
        <f>"FT technology - "&amp;Commodities!F117</f>
        <v>FT technology - Supply Bio Methanol</v>
      </c>
      <c r="F179" s="398" t="s">
        <v>62</v>
      </c>
      <c r="G179" s="18"/>
      <c r="H179" s="481"/>
      <c r="I179" s="481"/>
      <c r="J179" s="481"/>
      <c r="K179" s="1"/>
    </row>
    <row r="180" spans="2:11">
      <c r="D180" s="588" t="s">
        <v>737</v>
      </c>
      <c r="E180" s="484" t="str">
        <f>"FT technology - "&amp;Commodities!F57</f>
        <v>FT technology - Mining Natural Gas</v>
      </c>
      <c r="F180" s="398" t="s">
        <v>62</v>
      </c>
      <c r="G180" s="18"/>
      <c r="H180" s="19"/>
      <c r="I180" s="19"/>
      <c r="J180" s="19"/>
    </row>
    <row r="181" spans="2:11">
      <c r="B181" s="1048"/>
      <c r="C181" s="1048"/>
      <c r="D181" s="1049" t="s">
        <v>738</v>
      </c>
      <c r="E181" s="1048" t="str">
        <f>"FT technology - "&amp;Commodities!F58</f>
        <v>FT technology - Mining Crude Oil</v>
      </c>
      <c r="F181" s="1050" t="s">
        <v>62</v>
      </c>
      <c r="G181" s="1051"/>
      <c r="H181" s="1052"/>
      <c r="I181" s="1052"/>
      <c r="J181" s="19"/>
    </row>
    <row r="182" spans="2:11" s="602" customFormat="1">
      <c r="B182" s="1"/>
      <c r="C182" s="1"/>
      <c r="D182" s="588" t="s">
        <v>1624</v>
      </c>
      <c r="E182" s="602" t="str">
        <f>E178 &amp;" 2020"</f>
        <v>FT technology - Supply Bioethanol 2020</v>
      </c>
      <c r="F182" s="398" t="s">
        <v>62</v>
      </c>
      <c r="G182" s="18"/>
      <c r="H182" s="481"/>
      <c r="I182" s="481"/>
      <c r="J182" s="481"/>
    </row>
    <row r="183" spans="2:11" s="602" customFormat="1">
      <c r="B183" s="1"/>
      <c r="C183" s="1"/>
      <c r="D183" s="1049" t="s">
        <v>1625</v>
      </c>
      <c r="E183" s="602" t="str">
        <f>E179 &amp;" 2020"</f>
        <v>FT technology - Supply Bio Methanol 2020</v>
      </c>
      <c r="F183" s="1050" t="s">
        <v>62</v>
      </c>
      <c r="G183" s="18"/>
      <c r="H183" s="481"/>
      <c r="I183" s="481"/>
      <c r="J183" s="481"/>
    </row>
    <row r="184" spans="2:11" s="602" customFormat="1">
      <c r="B184" s="1"/>
      <c r="C184" s="1"/>
      <c r="D184" s="588" t="s">
        <v>1634</v>
      </c>
      <c r="E184" s="602" t="str">
        <f>E180 &amp;" Electric"</f>
        <v>FT technology - Mining Natural Gas Electric</v>
      </c>
      <c r="F184" s="398" t="s">
        <v>62</v>
      </c>
      <c r="G184" s="18"/>
      <c r="H184" s="481"/>
      <c r="I184" s="481"/>
      <c r="J184" s="481"/>
    </row>
    <row r="185" spans="2:11" s="602" customFormat="1">
      <c r="B185" s="1"/>
      <c r="C185" s="1"/>
      <c r="D185" s="1049" t="s">
        <v>1635</v>
      </c>
      <c r="E185" s="602" t="str">
        <f>E181 &amp;" Electric"</f>
        <v>FT technology - Mining Crude Oil Electric</v>
      </c>
      <c r="F185" s="1050" t="s">
        <v>62</v>
      </c>
      <c r="G185" s="18"/>
      <c r="H185" s="481"/>
      <c r="I185" s="481"/>
      <c r="J185" s="481"/>
    </row>
    <row r="186" spans="2:11" s="602" customFormat="1">
      <c r="B186" s="1048"/>
      <c r="C186" s="1049" t="str">
        <f>Refineries!C8</f>
        <v>DE1</v>
      </c>
      <c r="D186" s="1049" t="str">
        <f>Refineries!B8</f>
        <v>SREFDE1</v>
      </c>
      <c r="E186" s="1049" t="str">
        <f>Refineries!D8</f>
        <v>Refinery Azerbaijan 1</v>
      </c>
      <c r="F186" s="1050" t="s">
        <v>62</v>
      </c>
      <c r="G186" s="1050" t="s">
        <v>1609</v>
      </c>
      <c r="H186" s="1048"/>
      <c r="I186" s="481"/>
      <c r="J186" s="481"/>
    </row>
    <row r="187" spans="2:11" s="602" customFormat="1">
      <c r="B187" s="1" t="s">
        <v>143</v>
      </c>
      <c r="C187" s="1"/>
      <c r="D187" s="402" t="str">
        <f>Distribution!B7</f>
        <v>FT-GRDELCHIGH</v>
      </c>
      <c r="E187" s="402" t="str">
        <f>Distribution!C7</f>
        <v>Power transmission line high voltage</v>
      </c>
      <c r="F187" s="398" t="s">
        <v>62</v>
      </c>
      <c r="G187" s="398" t="s">
        <v>1609</v>
      </c>
      <c r="H187" s="481" t="s">
        <v>1672</v>
      </c>
      <c r="I187" s="481"/>
      <c r="J187" s="481"/>
    </row>
    <row r="188" spans="2:11">
      <c r="D188" s="402" t="str">
        <f>Distribution!B8</f>
        <v>FT-GRDELCMID</v>
      </c>
      <c r="E188" s="402" t="str">
        <f>Distribution!C8</f>
        <v>Power transmission line medium voltage</v>
      </c>
      <c r="F188" s="398" t="s">
        <v>62</v>
      </c>
      <c r="G188" s="398" t="s">
        <v>1609</v>
      </c>
      <c r="H188" s="481" t="s">
        <v>1672</v>
      </c>
      <c r="I188" s="19"/>
      <c r="J188" s="19"/>
    </row>
    <row r="189" spans="2:11">
      <c r="D189" s="402" t="str">
        <f>Distribution!B9</f>
        <v>FT-GRDELCLOW</v>
      </c>
      <c r="E189" s="402" t="str">
        <f>Distribution!C9</f>
        <v>Power transmission line low voltage</v>
      </c>
      <c r="F189" s="398" t="s">
        <v>62</v>
      </c>
      <c r="G189" s="398" t="s">
        <v>1609</v>
      </c>
      <c r="H189" s="481" t="s">
        <v>1672</v>
      </c>
      <c r="I189" s="481"/>
      <c r="J189" s="481"/>
      <c r="K189" s="1"/>
    </row>
    <row r="190" spans="2:11" s="602" customFormat="1">
      <c r="D190" s="402" t="str">
        <f>Distribution!B10</f>
        <v>FT-GRDNGAT</v>
      </c>
      <c r="E190" s="402" t="str">
        <f>Distribution!C10</f>
        <v>Gas distribution grid transmission lines</v>
      </c>
      <c r="F190" s="398" t="s">
        <v>62</v>
      </c>
      <c r="G190" s="398" t="s">
        <v>1609</v>
      </c>
      <c r="H190" s="481"/>
      <c r="I190" s="481"/>
      <c r="J190" s="481"/>
      <c r="K190" s="1"/>
    </row>
    <row r="191" spans="2:11">
      <c r="D191" s="402" t="str">
        <f>Distribution!B11</f>
        <v>FT-GRDNGAD</v>
      </c>
      <c r="E191" s="402" t="str">
        <f>Distribution!C11</f>
        <v>Gas distribution grid distribution lines</v>
      </c>
      <c r="F191" s="398" t="s">
        <v>62</v>
      </c>
      <c r="G191" s="398" t="s">
        <v>1609</v>
      </c>
      <c r="H191" s="481"/>
      <c r="I191" s="481"/>
      <c r="J191" s="481"/>
      <c r="K191" s="1"/>
    </row>
    <row r="192" spans="2:11">
      <c r="D192" s="402" t="str">
        <f>Distribution!B12</f>
        <v>FT-GRDHETUPE</v>
      </c>
      <c r="E192" s="402" t="str">
        <f>Distribution!C12</f>
        <v>District heating distribution grid Urban lines existing</v>
      </c>
      <c r="F192" s="398" t="s">
        <v>62</v>
      </c>
      <c r="G192" s="398" t="s">
        <v>1609</v>
      </c>
      <c r="H192" s="481" t="s">
        <v>1672</v>
      </c>
      <c r="I192" s="481"/>
      <c r="J192" s="481"/>
      <c r="K192" s="1"/>
    </row>
    <row r="193" spans="1:11">
      <c r="D193" s="402" t="str">
        <f>Distribution!B13</f>
        <v>FT-GRDHETSPE</v>
      </c>
      <c r="E193" s="402" t="str">
        <f>Distribution!C13</f>
        <v>District heating distribution grid Suburban lines existing</v>
      </c>
      <c r="F193" s="398" t="s">
        <v>62</v>
      </c>
      <c r="G193" s="398" t="s">
        <v>1609</v>
      </c>
      <c r="H193" s="481" t="s">
        <v>1672</v>
      </c>
      <c r="I193" s="481"/>
      <c r="J193" s="481"/>
      <c r="K193" s="1"/>
    </row>
    <row r="194" spans="1:11">
      <c r="D194" s="402" t="str">
        <f>Distribution!B14</f>
        <v>FT-GRDHETRPE</v>
      </c>
      <c r="E194" s="402" t="str">
        <f>Distribution!C14</f>
        <v>District heating distribution grid Rural lines existing</v>
      </c>
      <c r="F194" s="398" t="s">
        <v>62</v>
      </c>
      <c r="G194" s="398" t="s">
        <v>1609</v>
      </c>
      <c r="H194" s="481" t="s">
        <v>1672</v>
      </c>
      <c r="I194" s="481"/>
      <c r="J194" s="481"/>
      <c r="K194" s="1"/>
    </row>
    <row r="195" spans="1:11">
      <c r="F195" s="1"/>
      <c r="G195" s="18"/>
      <c r="H195" s="481"/>
      <c r="I195" s="481"/>
      <c r="J195" s="481"/>
      <c r="K195" s="1"/>
    </row>
    <row r="196" spans="1:11">
      <c r="F196" s="1"/>
      <c r="G196" s="18"/>
      <c r="H196" s="481"/>
      <c r="I196" s="481"/>
      <c r="J196" s="481"/>
      <c r="K196" s="1"/>
    </row>
    <row r="197" spans="1:11">
      <c r="F197" s="1"/>
      <c r="G197" s="18"/>
      <c r="H197" s="481"/>
      <c r="I197" s="481"/>
      <c r="J197" s="481"/>
      <c r="K197" s="1"/>
    </row>
    <row r="198" spans="1:11">
      <c r="F198" s="1"/>
      <c r="G198" s="18"/>
      <c r="H198" s="481"/>
      <c r="I198" s="481"/>
      <c r="J198" s="481"/>
      <c r="K198" s="1"/>
    </row>
    <row r="199" spans="1:11" s="7" customFormat="1">
      <c r="A199" s="3"/>
      <c r="B199" s="20"/>
      <c r="C199" s="22"/>
      <c r="D199" s="398"/>
      <c r="E199" s="398"/>
      <c r="F199" s="20"/>
      <c r="G199" s="18"/>
      <c r="H199" s="20"/>
    </row>
    <row r="200" spans="1:11" s="7" customFormat="1">
      <c r="A200" s="3"/>
      <c r="B200" s="20"/>
      <c r="C200" s="22"/>
      <c r="D200" s="398"/>
      <c r="E200" s="398"/>
      <c r="F200" s="20"/>
      <c r="G200" s="18"/>
      <c r="H200" s="20"/>
    </row>
    <row r="201" spans="1:11" s="7" customFormat="1">
      <c r="A201" s="3"/>
      <c r="B201" s="20"/>
      <c r="C201" s="22"/>
      <c r="D201" s="398"/>
      <c r="E201" s="398"/>
      <c r="F201" s="20"/>
      <c r="G201" s="18"/>
      <c r="H201" s="20"/>
    </row>
    <row r="202" spans="1:11" s="7" customFormat="1">
      <c r="A202" s="3"/>
      <c r="B202" s="20"/>
      <c r="C202" s="22"/>
      <c r="D202" s="398"/>
      <c r="E202" s="398"/>
      <c r="F202" s="20"/>
      <c r="G202" s="18"/>
      <c r="H202" s="20"/>
    </row>
    <row r="203" spans="1:11" s="7" customFormat="1">
      <c r="A203" s="3"/>
      <c r="B203" s="20"/>
      <c r="C203" s="22"/>
      <c r="D203" s="398"/>
      <c r="E203" s="398"/>
      <c r="F203" s="20"/>
      <c r="G203" s="18"/>
      <c r="H203" s="20"/>
    </row>
    <row r="204" spans="1:11" s="7" customFormat="1">
      <c r="A204" s="3"/>
      <c r="B204" s="20"/>
      <c r="C204" s="22"/>
      <c r="D204" s="398"/>
      <c r="E204" s="398"/>
      <c r="F204" s="20"/>
      <c r="G204" s="18"/>
      <c r="H204" s="20"/>
    </row>
    <row r="205" spans="1:11" s="7" customFormat="1">
      <c r="A205" s="3"/>
      <c r="B205" s="20"/>
      <c r="C205" s="22"/>
      <c r="D205" s="398"/>
      <c r="E205" s="398"/>
      <c r="F205" s="20"/>
      <c r="G205" s="18"/>
      <c r="H205" s="20"/>
    </row>
    <row r="206" spans="1:11" s="7" customFormat="1">
      <c r="A206" s="3"/>
      <c r="B206" s="20"/>
      <c r="C206" s="22"/>
      <c r="D206" s="398"/>
      <c r="E206" s="398"/>
      <c r="F206" s="20"/>
      <c r="G206" s="18"/>
      <c r="H206" s="20"/>
    </row>
    <row r="207" spans="1:11" s="7" customFormat="1">
      <c r="A207" s="3"/>
      <c r="B207" s="20"/>
      <c r="C207" s="22"/>
      <c r="D207" s="398"/>
      <c r="E207" s="398"/>
      <c r="F207" s="20"/>
      <c r="G207" s="18"/>
      <c r="H207" s="20"/>
    </row>
    <row r="208" spans="1:11" s="7" customFormat="1">
      <c r="A208" s="3"/>
      <c r="B208" s="20"/>
      <c r="C208" s="22"/>
      <c r="D208" s="398"/>
      <c r="E208" s="398"/>
      <c r="F208" s="20"/>
      <c r="G208" s="18"/>
      <c r="H208" s="20"/>
    </row>
    <row r="209" spans="1:13" s="7" customFormat="1">
      <c r="A209" s="3"/>
      <c r="B209" s="20"/>
      <c r="C209" s="22"/>
      <c r="D209" s="398"/>
      <c r="E209" s="398"/>
      <c r="F209" s="20"/>
      <c r="G209" s="18"/>
      <c r="H209" s="20"/>
      <c r="I209" s="398"/>
      <c r="J209" s="398"/>
      <c r="K209" s="20"/>
      <c r="L209" s="18"/>
      <c r="M209" s="20"/>
    </row>
    <row r="210" spans="1:13" s="7" customFormat="1">
      <c r="A210" s="3"/>
      <c r="B210" s="20"/>
      <c r="C210" s="22"/>
      <c r="D210" s="398"/>
      <c r="E210" s="398"/>
      <c r="F210" s="20"/>
      <c r="G210" s="18"/>
      <c r="H210" s="20"/>
      <c r="I210" s="398"/>
      <c r="J210" s="398"/>
      <c r="K210" s="20"/>
      <c r="L210" s="18"/>
      <c r="M210" s="20"/>
    </row>
    <row r="211" spans="1:13" s="7" customFormat="1">
      <c r="A211" s="3"/>
      <c r="B211" s="20"/>
      <c r="C211" s="22"/>
      <c r="D211" s="398"/>
      <c r="E211" s="398"/>
      <c r="F211" s="20"/>
      <c r="G211" s="18"/>
      <c r="H211" s="20"/>
      <c r="I211" s="398"/>
      <c r="J211" s="398"/>
      <c r="K211" s="20"/>
      <c r="L211" s="18"/>
      <c r="M211" s="20"/>
    </row>
    <row r="212" spans="1:13" s="7" customFormat="1">
      <c r="A212" s="3"/>
      <c r="B212" s="20"/>
      <c r="C212" s="22"/>
      <c r="D212" s="398"/>
      <c r="E212" s="398"/>
      <c r="F212" s="20"/>
      <c r="G212" s="18"/>
      <c r="H212" s="20"/>
      <c r="I212" s="398"/>
      <c r="J212" s="398"/>
      <c r="K212" s="20"/>
      <c r="L212" s="18"/>
      <c r="M212" s="20"/>
    </row>
    <row r="213" spans="1:13" s="7" customFormat="1">
      <c r="A213" s="3"/>
      <c r="B213" s="20"/>
      <c r="C213" s="22"/>
      <c r="D213" s="398"/>
      <c r="E213" s="398"/>
      <c r="F213" s="20"/>
      <c r="G213" s="18"/>
      <c r="H213" s="20"/>
      <c r="I213" s="20"/>
      <c r="J213" s="20"/>
      <c r="K213" s="3"/>
    </row>
    <row r="214" spans="1:13" s="7" customFormat="1">
      <c r="A214" s="3"/>
      <c r="B214" s="20"/>
      <c r="C214" s="22"/>
      <c r="D214" s="398"/>
      <c r="E214" s="398"/>
      <c r="F214" s="20"/>
      <c r="G214" s="18"/>
      <c r="H214" s="20"/>
      <c r="I214" s="20"/>
      <c r="J214" s="20"/>
      <c r="K214" s="3"/>
    </row>
    <row r="215" spans="1:13" s="7" customFormat="1">
      <c r="A215" s="3"/>
      <c r="B215" s="20"/>
      <c r="C215" s="22"/>
      <c r="D215" s="398"/>
      <c r="E215" s="398"/>
      <c r="F215" s="20"/>
      <c r="G215" s="18"/>
      <c r="H215" s="20"/>
      <c r="I215" s="20"/>
      <c r="J215" s="20"/>
      <c r="K215" s="3"/>
    </row>
    <row r="216" spans="1:13" s="7" customFormat="1">
      <c r="A216" s="3"/>
      <c r="B216" s="20"/>
      <c r="C216" s="22"/>
      <c r="D216" s="398"/>
      <c r="E216" s="398"/>
      <c r="F216" s="20"/>
      <c r="G216" s="18"/>
      <c r="H216" s="20"/>
      <c r="I216" s="20"/>
      <c r="J216" s="20"/>
      <c r="K216" s="3"/>
    </row>
    <row r="217" spans="1:13" s="7" customFormat="1">
      <c r="A217" s="3"/>
      <c r="B217" s="20"/>
      <c r="C217" s="22"/>
      <c r="D217" s="398"/>
      <c r="E217" s="398"/>
      <c r="F217" s="20"/>
      <c r="G217" s="18"/>
      <c r="H217" s="20"/>
      <c r="I217" s="20"/>
      <c r="J217" s="20"/>
      <c r="K217" s="3"/>
    </row>
    <row r="218" spans="1:13" s="7" customFormat="1">
      <c r="A218" s="3"/>
      <c r="B218" s="20"/>
      <c r="C218" s="22"/>
      <c r="D218" s="398"/>
      <c r="E218" s="398"/>
      <c r="F218" s="20"/>
      <c r="G218" s="18"/>
      <c r="H218" s="20"/>
      <c r="I218" s="20"/>
      <c r="J218" s="20"/>
      <c r="K218" s="3"/>
    </row>
    <row r="219" spans="1:13" s="7" customFormat="1">
      <c r="A219" s="3"/>
      <c r="B219" s="20"/>
      <c r="C219" s="22"/>
      <c r="D219" s="398"/>
      <c r="E219" s="398"/>
      <c r="F219" s="20"/>
      <c r="G219" s="18"/>
      <c r="H219" s="20"/>
      <c r="I219" s="20"/>
      <c r="J219" s="20"/>
      <c r="K219" s="3"/>
    </row>
    <row r="220" spans="1:13" s="7" customFormat="1">
      <c r="A220" s="3"/>
      <c r="B220" s="20"/>
      <c r="C220" s="22"/>
      <c r="D220" s="398"/>
      <c r="E220" s="398"/>
      <c r="F220" s="20"/>
      <c r="G220" s="18"/>
      <c r="H220" s="20"/>
      <c r="I220" s="20"/>
      <c r="J220" s="20"/>
      <c r="K220" s="3"/>
    </row>
    <row r="221" spans="1:13" s="7" customFormat="1">
      <c r="A221" s="3"/>
      <c r="B221" s="20"/>
      <c r="C221" s="22"/>
      <c r="D221" s="398"/>
      <c r="E221" s="398"/>
      <c r="F221" s="20"/>
      <c r="G221" s="18"/>
      <c r="H221" s="20"/>
      <c r="I221" s="20"/>
      <c r="J221" s="20"/>
      <c r="K221" s="3"/>
    </row>
    <row r="222" spans="1:13" s="7" customFormat="1">
      <c r="A222" s="3"/>
      <c r="B222" s="20"/>
      <c r="C222" s="22"/>
      <c r="D222" s="398"/>
      <c r="E222" s="398"/>
      <c r="F222" s="20"/>
      <c r="G222" s="18"/>
      <c r="H222" s="20"/>
      <c r="I222" s="20"/>
      <c r="J222" s="20"/>
      <c r="K222" s="3"/>
    </row>
    <row r="223" spans="1:13">
      <c r="F223" s="1"/>
      <c r="G223" s="1"/>
      <c r="H223" s="1"/>
      <c r="I223" s="1"/>
      <c r="J223" s="1"/>
      <c r="K223" s="1"/>
    </row>
    <row r="224" spans="1:13">
      <c r="F224" s="1"/>
      <c r="G224" s="1"/>
      <c r="H224" s="1"/>
      <c r="I224" s="1"/>
      <c r="J224" s="1"/>
      <c r="K224" s="1"/>
    </row>
    <row r="225" spans="6:11">
      <c r="F225" s="1"/>
      <c r="G225" s="1"/>
      <c r="H225" s="1"/>
      <c r="I225" s="1"/>
      <c r="J225" s="1"/>
      <c r="K225" s="1"/>
    </row>
    <row r="226" spans="6:11">
      <c r="F226" s="1"/>
      <c r="G226" s="1"/>
      <c r="H226" s="1"/>
      <c r="I226" s="1"/>
      <c r="J226" s="1"/>
      <c r="K226" s="1"/>
    </row>
    <row r="227" spans="6:11">
      <c r="F227" s="1"/>
      <c r="G227" s="1"/>
      <c r="H227" s="1"/>
      <c r="I227" s="1"/>
      <c r="J227" s="1"/>
      <c r="K227" s="1"/>
    </row>
    <row r="228" spans="6:11">
      <c r="F228" s="1"/>
      <c r="G228" s="1"/>
      <c r="H228" s="1"/>
      <c r="I228" s="1"/>
      <c r="J228" s="1"/>
      <c r="K228" s="1"/>
    </row>
    <row r="229" spans="6:11">
      <c r="F229" s="1"/>
      <c r="G229" s="1"/>
      <c r="H229" s="1"/>
      <c r="I229" s="1"/>
      <c r="J229" s="1"/>
      <c r="K229" s="1"/>
    </row>
    <row r="230" spans="6:11">
      <c r="F230" s="1"/>
      <c r="G230" s="1"/>
      <c r="H230" s="1"/>
      <c r="I230" s="1"/>
      <c r="J230" s="1"/>
      <c r="K230" s="1"/>
    </row>
    <row r="231" spans="6:11">
      <c r="F231" s="1"/>
      <c r="G231" s="1"/>
      <c r="H231" s="1"/>
      <c r="I231" s="1"/>
      <c r="J231" s="1"/>
      <c r="K231" s="1"/>
    </row>
    <row r="232" spans="6:11">
      <c r="F232" s="1"/>
      <c r="G232" s="1"/>
      <c r="H232" s="1"/>
      <c r="I232" s="1"/>
      <c r="J232" s="1"/>
      <c r="K232" s="1"/>
    </row>
  </sheetData>
  <phoneticPr fontId="33" type="noConversion"/>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3:J67"/>
  <sheetViews>
    <sheetView topLeftCell="A13" workbookViewId="0">
      <selection activeCell="L31" sqref="L31"/>
    </sheetView>
  </sheetViews>
  <sheetFormatPr defaultColWidth="8.77734375" defaultRowHeight="13.2"/>
  <cols>
    <col min="2" max="2" width="17.109375" customWidth="1"/>
    <col min="3" max="3" width="36.6640625" customWidth="1"/>
    <col min="9" max="9" width="6.77734375" bestFit="1" customWidth="1"/>
  </cols>
  <sheetData>
    <row r="3" spans="2:10" ht="13.8">
      <c r="B3" s="9"/>
      <c r="C3" s="102"/>
      <c r="D3" s="102"/>
      <c r="E3" s="10" t="s">
        <v>7</v>
      </c>
      <c r="G3" s="102"/>
      <c r="H3" s="602"/>
      <c r="I3" s="602"/>
      <c r="J3" s="602"/>
    </row>
    <row r="4" spans="2:10" ht="27.6">
      <c r="B4" s="11" t="s">
        <v>1</v>
      </c>
      <c r="C4" s="11" t="s">
        <v>21</v>
      </c>
      <c r="D4" s="11" t="s">
        <v>81</v>
      </c>
      <c r="E4" s="103" t="s">
        <v>13</v>
      </c>
      <c r="F4" s="54" t="s">
        <v>82</v>
      </c>
      <c r="G4" s="11" t="s">
        <v>1655</v>
      </c>
      <c r="H4" s="11" t="s">
        <v>1787</v>
      </c>
      <c r="I4" s="11" t="s">
        <v>1788</v>
      </c>
      <c r="J4" s="1228" t="s">
        <v>63</v>
      </c>
    </row>
    <row r="5" spans="2:10" ht="13.8" thickBot="1">
      <c r="B5" s="104" t="s">
        <v>214</v>
      </c>
      <c r="C5" s="105"/>
      <c r="D5" s="105"/>
      <c r="E5" s="106"/>
      <c r="F5" s="107"/>
      <c r="G5" s="105"/>
      <c r="H5" s="105"/>
      <c r="I5" s="105"/>
      <c r="J5" s="105"/>
    </row>
    <row r="6" spans="2:10" ht="13.8" thickBot="1">
      <c r="B6" s="108" t="s">
        <v>22</v>
      </c>
      <c r="C6" s="109"/>
      <c r="D6" s="109"/>
      <c r="E6" s="109"/>
      <c r="F6" s="110"/>
      <c r="G6" s="109"/>
      <c r="H6" s="109"/>
      <c r="I6" s="109"/>
      <c r="J6" s="109"/>
    </row>
    <row r="7" spans="2:10">
      <c r="B7" s="524" t="s">
        <v>2161</v>
      </c>
      <c r="C7" s="602" t="str">
        <f>Processes!E56</f>
        <v xml:space="preserve">Import technology - Electricity to DE2 North </v>
      </c>
      <c r="D7" s="602"/>
      <c r="E7" s="602" t="s">
        <v>215</v>
      </c>
      <c r="F7" s="602">
        <v>1</v>
      </c>
      <c r="G7" s="602">
        <v>50</v>
      </c>
      <c r="H7" s="602">
        <v>0.95</v>
      </c>
      <c r="I7" s="1139">
        <f t="shared" ref="I7:I35" si="0">3.6*8760/1000000</f>
        <v>3.1536000000000002E-2</v>
      </c>
      <c r="J7" s="1296">
        <v>15</v>
      </c>
    </row>
    <row r="8" spans="2:10">
      <c r="B8" s="524" t="s">
        <v>2166</v>
      </c>
      <c r="C8" s="602" t="str">
        <f>Processes!E57</f>
        <v xml:space="preserve">Import technology - Electricity to DE2 North </v>
      </c>
      <c r="D8" s="602"/>
      <c r="E8" s="602" t="s">
        <v>215</v>
      </c>
      <c r="F8" s="602">
        <v>1</v>
      </c>
      <c r="G8" s="602">
        <v>50</v>
      </c>
      <c r="H8" s="602">
        <v>0.95</v>
      </c>
      <c r="I8" s="1139">
        <f t="shared" si="0"/>
        <v>3.1536000000000002E-2</v>
      </c>
      <c r="J8" s="1296">
        <v>15</v>
      </c>
    </row>
    <row r="9" spans="2:10">
      <c r="B9" s="524" t="s">
        <v>2143</v>
      </c>
      <c r="C9" s="602" t="str">
        <f>Processes!E58</f>
        <v>Import technology - Electricity to DE3 East</v>
      </c>
      <c r="D9" s="602"/>
      <c r="E9" s="602" t="s">
        <v>215</v>
      </c>
      <c r="F9" s="602">
        <v>1</v>
      </c>
      <c r="G9" s="602">
        <v>50</v>
      </c>
      <c r="H9" s="602">
        <v>0.95</v>
      </c>
      <c r="I9" s="1139">
        <f t="shared" si="0"/>
        <v>3.1536000000000002E-2</v>
      </c>
      <c r="J9" s="602">
        <v>15</v>
      </c>
    </row>
    <row r="10" spans="2:10">
      <c r="B10" s="524" t="s">
        <v>2144</v>
      </c>
      <c r="C10" s="602" t="str">
        <f>Processes!E59</f>
        <v>Import technology - Electricity to DE4 South</v>
      </c>
      <c r="D10" s="602"/>
      <c r="E10" s="602" t="s">
        <v>215</v>
      </c>
      <c r="F10" s="602">
        <v>1</v>
      </c>
      <c r="G10" s="602">
        <v>50</v>
      </c>
      <c r="H10" s="602">
        <v>0.95</v>
      </c>
      <c r="I10" s="1139">
        <f t="shared" si="0"/>
        <v>3.1536000000000002E-2</v>
      </c>
      <c r="J10" s="602">
        <v>15</v>
      </c>
    </row>
    <row r="11" spans="2:10">
      <c r="B11" s="524" t="s">
        <v>2145</v>
      </c>
      <c r="C11" s="602" t="str">
        <f>Processes!E60</f>
        <v>Import technology - Electricity to DE4 South</v>
      </c>
      <c r="D11" s="602"/>
      <c r="E11" s="602" t="s">
        <v>215</v>
      </c>
      <c r="F11" s="602">
        <v>1</v>
      </c>
      <c r="G11" s="602">
        <v>50</v>
      </c>
      <c r="H11" s="602">
        <v>0.95</v>
      </c>
      <c r="I11" s="1139">
        <f t="shared" si="0"/>
        <v>3.1536000000000002E-2</v>
      </c>
      <c r="J11" s="602">
        <v>15</v>
      </c>
    </row>
    <row r="12" spans="2:10">
      <c r="B12" s="524" t="s">
        <v>2146</v>
      </c>
      <c r="C12" s="602" t="str">
        <f>Processes!E61</f>
        <v>Import technology - Electricity to DE4 South</v>
      </c>
      <c r="D12" s="602"/>
      <c r="E12" s="602" t="s">
        <v>215</v>
      </c>
      <c r="F12" s="602">
        <v>1</v>
      </c>
      <c r="G12" s="602">
        <v>50</v>
      </c>
      <c r="H12" s="602">
        <v>0.95</v>
      </c>
      <c r="I12" s="1139">
        <f t="shared" si="0"/>
        <v>3.1536000000000002E-2</v>
      </c>
      <c r="J12" s="602">
        <v>15</v>
      </c>
    </row>
    <row r="13" spans="2:10">
      <c r="B13" s="524" t="s">
        <v>2147</v>
      </c>
      <c r="C13" s="602" t="str">
        <f>Processes!E62</f>
        <v>Import technology - Electricity to DE4 South</v>
      </c>
      <c r="D13" s="602"/>
      <c r="E13" s="602" t="s">
        <v>215</v>
      </c>
      <c r="F13" s="602">
        <v>1</v>
      </c>
      <c r="G13" s="602">
        <v>50</v>
      </c>
      <c r="H13" s="602">
        <v>0.95</v>
      </c>
      <c r="I13" s="1139">
        <f t="shared" si="0"/>
        <v>3.1536000000000002E-2</v>
      </c>
      <c r="J13" s="602">
        <v>15</v>
      </c>
    </row>
    <row r="14" spans="2:10">
      <c r="B14" s="524" t="s">
        <v>2148</v>
      </c>
      <c r="C14" s="602" t="str">
        <f>Processes!E63</f>
        <v>Import technology - Electricity to DE5 East</v>
      </c>
      <c r="D14" s="602"/>
      <c r="E14" s="602" t="s">
        <v>215</v>
      </c>
      <c r="F14" s="602">
        <v>1</v>
      </c>
      <c r="G14" s="602">
        <v>50</v>
      </c>
      <c r="H14" s="602">
        <v>0.95</v>
      </c>
      <c r="I14" s="1139">
        <f t="shared" si="0"/>
        <v>3.1536000000000002E-2</v>
      </c>
      <c r="J14" s="602">
        <v>15</v>
      </c>
    </row>
    <row r="15" spans="2:10">
      <c r="B15" s="524" t="s">
        <v>2149</v>
      </c>
      <c r="C15" s="602" t="str">
        <f>Processes!E64</f>
        <v>Import technology - Electricity to DE5 East</v>
      </c>
      <c r="D15" s="602"/>
      <c r="E15" s="602" t="s">
        <v>215</v>
      </c>
      <c r="F15" s="602">
        <v>1</v>
      </c>
      <c r="G15" s="602">
        <v>50</v>
      </c>
      <c r="H15" s="602">
        <v>0.95</v>
      </c>
      <c r="I15" s="1139">
        <f t="shared" si="0"/>
        <v>3.1536000000000002E-2</v>
      </c>
      <c r="J15" s="602">
        <v>15</v>
      </c>
    </row>
    <row r="16" spans="2:10">
      <c r="B16" s="524" t="s">
        <v>2150</v>
      </c>
      <c r="C16" s="602" t="str">
        <f>Processes!E65</f>
        <v>Import technology - Electricity to DE5 East</v>
      </c>
      <c r="D16" s="602"/>
      <c r="E16" s="602" t="s">
        <v>215</v>
      </c>
      <c r="F16" s="602">
        <v>1</v>
      </c>
      <c r="G16" s="602">
        <v>50</v>
      </c>
      <c r="H16" s="602">
        <v>0.95</v>
      </c>
      <c r="I16" s="1139">
        <f t="shared" si="0"/>
        <v>3.1536000000000002E-2</v>
      </c>
      <c r="J16" s="602">
        <v>15</v>
      </c>
    </row>
    <row r="17" spans="2:10" s="602" customFormat="1">
      <c r="B17" s="524" t="s">
        <v>2159</v>
      </c>
      <c r="C17" s="602" t="str">
        <f>Processes!E66</f>
        <v>Import technology - Electricity to DE3 West</v>
      </c>
      <c r="E17" s="602" t="s">
        <v>215</v>
      </c>
      <c r="F17" s="602">
        <v>1</v>
      </c>
      <c r="G17" s="602">
        <v>50</v>
      </c>
      <c r="H17" s="602">
        <v>0.95</v>
      </c>
      <c r="I17" s="1139">
        <f t="shared" si="0"/>
        <v>3.1536000000000002E-2</v>
      </c>
      <c r="J17" s="602">
        <v>15</v>
      </c>
    </row>
    <row r="18" spans="2:10" s="602" customFormat="1">
      <c r="B18" s="524" t="s">
        <v>2160</v>
      </c>
      <c r="C18" s="602" t="str">
        <f>Processes!E67</f>
        <v xml:space="preserve">Import technology - Electricity to DE2 North </v>
      </c>
      <c r="E18" s="602" t="s">
        <v>215</v>
      </c>
      <c r="F18" s="602">
        <v>1</v>
      </c>
      <c r="G18" s="602">
        <v>50</v>
      </c>
      <c r="H18" s="602">
        <v>0.95</v>
      </c>
      <c r="I18" s="1139">
        <f t="shared" si="0"/>
        <v>3.1536000000000002E-2</v>
      </c>
      <c r="J18" s="602">
        <v>15</v>
      </c>
    </row>
    <row r="19" spans="2:10" s="602" customFormat="1">
      <c r="B19" s="1297" t="s">
        <v>2171</v>
      </c>
      <c r="C19" s="602" t="str">
        <f>Processes!E68</f>
        <v>Import technology - Electricity to DE5 East</v>
      </c>
      <c r="E19" s="602" t="s">
        <v>215</v>
      </c>
      <c r="F19" s="602">
        <v>1</v>
      </c>
      <c r="G19" s="602">
        <v>50</v>
      </c>
      <c r="H19" s="602">
        <v>0.95</v>
      </c>
      <c r="I19" s="1139">
        <f t="shared" si="0"/>
        <v>3.1536000000000002E-2</v>
      </c>
      <c r="J19" s="602">
        <v>15</v>
      </c>
    </row>
    <row r="20" spans="2:10" s="602" customFormat="1">
      <c r="B20" s="1297" t="s">
        <v>2172</v>
      </c>
      <c r="C20" s="602" t="str">
        <f>Processes!E69</f>
        <v>Import technology - Electricity to DE5 East</v>
      </c>
      <c r="E20" s="602" t="s">
        <v>215</v>
      </c>
      <c r="F20" s="602">
        <v>1</v>
      </c>
      <c r="G20" s="602">
        <v>50</v>
      </c>
      <c r="H20" s="602">
        <v>0.95</v>
      </c>
      <c r="I20" s="1139">
        <f t="shared" si="0"/>
        <v>3.1536000000000002E-2</v>
      </c>
      <c r="J20" s="602">
        <v>15</v>
      </c>
    </row>
    <row r="21" spans="2:10">
      <c r="B21" s="602" t="str">
        <f>Processes!D128</f>
        <v>EXPELC-DK1DE2</v>
      </c>
      <c r="C21" s="602" t="str">
        <f>Processes!E128</f>
        <v>Export technology - Electricity to Denmark1</v>
      </c>
      <c r="D21" s="602" t="s">
        <v>215</v>
      </c>
      <c r="E21" s="602"/>
      <c r="F21" s="602">
        <v>1</v>
      </c>
      <c r="G21" s="602">
        <v>50</v>
      </c>
      <c r="H21" s="602">
        <v>0.95</v>
      </c>
      <c r="I21" s="1139">
        <f t="shared" si="0"/>
        <v>3.1536000000000002E-2</v>
      </c>
      <c r="J21" s="602">
        <v>15</v>
      </c>
    </row>
    <row r="22" spans="2:10">
      <c r="B22" s="602" t="str">
        <f>Processes!D129</f>
        <v>EXPELC-SE4DE2</v>
      </c>
      <c r="C22" s="602" t="str">
        <f>Processes!E129</f>
        <v>Export technology - Electricity to Sweden4</v>
      </c>
      <c r="D22" s="602" t="s">
        <v>215</v>
      </c>
      <c r="E22" s="602"/>
      <c r="F22" s="602">
        <v>1</v>
      </c>
      <c r="G22" s="602">
        <v>50</v>
      </c>
      <c r="H22" s="602">
        <v>0.95</v>
      </c>
      <c r="I22" s="1139">
        <f t="shared" si="0"/>
        <v>3.1536000000000002E-2</v>
      </c>
      <c r="J22" s="602">
        <v>15</v>
      </c>
    </row>
    <row r="23" spans="2:10">
      <c r="B23" s="602" t="str">
        <f>Processes!D130</f>
        <v>EXPELC-NLDE3</v>
      </c>
      <c r="C23" s="602" t="str">
        <f>Processes!E130</f>
        <v>Export technology - Electricity to Holland</v>
      </c>
      <c r="D23" s="602" t="s">
        <v>215</v>
      </c>
      <c r="E23" s="602"/>
      <c r="F23" s="602">
        <v>1</v>
      </c>
      <c r="G23" s="602">
        <v>50</v>
      </c>
      <c r="H23" s="602">
        <v>0.95</v>
      </c>
      <c r="I23" s="1139">
        <f t="shared" si="0"/>
        <v>3.1536000000000002E-2</v>
      </c>
      <c r="J23" s="602">
        <v>15</v>
      </c>
    </row>
    <row r="24" spans="2:10">
      <c r="B24" s="602" t="str">
        <f>Processes!D131</f>
        <v>EXPELC-FRDE4</v>
      </c>
      <c r="C24" s="602" t="str">
        <f>Processes!E131</f>
        <v>Export technology - Electricity to France</v>
      </c>
      <c r="D24" s="602" t="s">
        <v>215</v>
      </c>
      <c r="E24" s="602"/>
      <c r="F24" s="602">
        <v>1</v>
      </c>
      <c r="G24" s="602">
        <v>50</v>
      </c>
      <c r="H24" s="602">
        <v>0.95</v>
      </c>
      <c r="I24" s="1139">
        <f t="shared" si="0"/>
        <v>3.1536000000000002E-2</v>
      </c>
      <c r="J24" s="602">
        <v>15</v>
      </c>
    </row>
    <row r="25" spans="2:10">
      <c r="B25" s="602" t="str">
        <f>Processes!D132</f>
        <v>EXPELC-CHDE4</v>
      </c>
      <c r="C25" s="602" t="str">
        <f>Processes!E132</f>
        <v>Export technology - Electricity to Switzerland</v>
      </c>
      <c r="D25" s="602" t="s">
        <v>215</v>
      </c>
      <c r="E25" s="602"/>
      <c r="F25" s="602">
        <v>1</v>
      </c>
      <c r="G25" s="602">
        <v>50</v>
      </c>
      <c r="H25" s="602">
        <v>0.95</v>
      </c>
      <c r="I25" s="1139">
        <f t="shared" si="0"/>
        <v>3.1536000000000002E-2</v>
      </c>
      <c r="J25" s="602">
        <v>15</v>
      </c>
    </row>
    <row r="26" spans="2:10">
      <c r="B26" s="602" t="str">
        <f>Processes!D133</f>
        <v>EXPELC-ATDE4</v>
      </c>
      <c r="C26" s="602" t="str">
        <f>Processes!E133</f>
        <v>Export technology - Electricity to Austria</v>
      </c>
      <c r="D26" s="602" t="s">
        <v>215</v>
      </c>
      <c r="E26" s="602"/>
      <c r="F26" s="602">
        <v>1</v>
      </c>
      <c r="G26" s="602">
        <v>50</v>
      </c>
      <c r="H26" s="602">
        <v>0.95</v>
      </c>
      <c r="I26" s="1139">
        <f t="shared" si="0"/>
        <v>3.1536000000000002E-2</v>
      </c>
      <c r="J26" s="602">
        <v>15</v>
      </c>
    </row>
    <row r="27" spans="2:10">
      <c r="B27" s="602" t="str">
        <f>Processes!D134</f>
        <v>EXPELC-CZDE4</v>
      </c>
      <c r="C27" s="602" t="str">
        <f>Processes!E134</f>
        <v>Export technology - Electricity to Czech</v>
      </c>
      <c r="D27" s="602" t="s">
        <v>215</v>
      </c>
      <c r="E27" s="602"/>
      <c r="F27" s="602">
        <v>1</v>
      </c>
      <c r="G27" s="602">
        <v>50</v>
      </c>
      <c r="H27" s="602">
        <v>0.95</v>
      </c>
      <c r="I27" s="1139">
        <f t="shared" si="0"/>
        <v>3.1536000000000002E-2</v>
      </c>
      <c r="J27" s="602">
        <v>15</v>
      </c>
    </row>
    <row r="28" spans="2:10">
      <c r="B28" s="602" t="str">
        <f>Processes!D135</f>
        <v>EXPELC-DK2DE5</v>
      </c>
      <c r="C28" s="602" t="str">
        <f>Processes!E135</f>
        <v>Export technology - Electricity to Denmark2</v>
      </c>
      <c r="D28" s="602" t="s">
        <v>215</v>
      </c>
      <c r="E28" s="602"/>
      <c r="F28" s="602">
        <v>1</v>
      </c>
      <c r="G28" s="602">
        <v>50</v>
      </c>
      <c r="H28" s="602">
        <v>0.95</v>
      </c>
      <c r="I28" s="1139">
        <f t="shared" si="0"/>
        <v>3.1536000000000002E-2</v>
      </c>
      <c r="J28" s="602">
        <v>15</v>
      </c>
    </row>
    <row r="29" spans="2:10">
      <c r="B29" s="602" t="str">
        <f>Processes!D136</f>
        <v>EXPELC-PLDE5</v>
      </c>
      <c r="C29" s="602" t="str">
        <f>Processes!E136</f>
        <v>Export technology - Electricity to Poland</v>
      </c>
      <c r="D29" s="602" t="s">
        <v>215</v>
      </c>
      <c r="E29" s="602"/>
      <c r="F29" s="602">
        <v>1</v>
      </c>
      <c r="G29" s="602">
        <v>50</v>
      </c>
      <c r="H29" s="602">
        <v>0.95</v>
      </c>
      <c r="I29" s="1139">
        <f t="shared" si="0"/>
        <v>3.1536000000000002E-2</v>
      </c>
      <c r="J29" s="602">
        <v>15</v>
      </c>
    </row>
    <row r="30" spans="2:10">
      <c r="B30" s="602" t="str">
        <f>Processes!D137</f>
        <v>EXPELC-CZDE5</v>
      </c>
      <c r="C30" s="602" t="str">
        <f>Processes!E137</f>
        <v>Export technology - Electricity to Czech</v>
      </c>
      <c r="D30" s="602" t="s">
        <v>215</v>
      </c>
      <c r="E30" s="602"/>
      <c r="F30" s="602">
        <v>1</v>
      </c>
      <c r="G30" s="602">
        <v>50</v>
      </c>
      <c r="H30" s="602">
        <v>0.95</v>
      </c>
      <c r="I30" s="1139">
        <f t="shared" si="0"/>
        <v>3.1536000000000002E-2</v>
      </c>
      <c r="J30" s="602">
        <v>15</v>
      </c>
    </row>
    <row r="31" spans="2:10">
      <c r="B31" s="602" t="str">
        <f>Processes!D138</f>
        <v>EXPELC-BEDE3</v>
      </c>
      <c r="C31" s="602" t="str">
        <f>Processes!E138</f>
        <v>Export technology - Electricity to Belgium</v>
      </c>
      <c r="D31" s="602" t="s">
        <v>215</v>
      </c>
      <c r="E31" s="602"/>
      <c r="F31" s="602">
        <v>1</v>
      </c>
      <c r="G31" s="602">
        <v>50</v>
      </c>
      <c r="H31" s="602">
        <v>0.95</v>
      </c>
      <c r="I31" s="1139">
        <f t="shared" si="0"/>
        <v>3.1536000000000002E-2</v>
      </c>
      <c r="J31" s="602">
        <v>15</v>
      </c>
    </row>
    <row r="32" spans="2:10">
      <c r="B32" s="602" t="str">
        <f>Processes!D139</f>
        <v>EXPELC-NODE2</v>
      </c>
      <c r="C32" s="602" t="str">
        <f>Processes!E139</f>
        <v>Export technology - Electricity to Norway</v>
      </c>
      <c r="D32" s="602" t="s">
        <v>215</v>
      </c>
      <c r="E32" s="602"/>
      <c r="F32" s="602">
        <v>1</v>
      </c>
      <c r="G32" s="602">
        <v>50</v>
      </c>
      <c r="H32" s="602">
        <v>0.95</v>
      </c>
      <c r="I32" s="1139">
        <f t="shared" si="0"/>
        <v>3.1536000000000002E-2</v>
      </c>
      <c r="J32" s="602">
        <v>15</v>
      </c>
    </row>
    <row r="33" spans="2:10">
      <c r="B33" s="602" t="str">
        <f>Processes!D140</f>
        <v>EXPELC-SE4DE5</v>
      </c>
      <c r="C33" s="602" t="str">
        <f>Processes!E140</f>
        <v>Export technology - Electricity to Sweden4</v>
      </c>
      <c r="D33" s="602" t="s">
        <v>215</v>
      </c>
      <c r="E33" s="602"/>
      <c r="F33" s="602">
        <v>1</v>
      </c>
      <c r="G33" s="602">
        <v>50</v>
      </c>
      <c r="H33" s="602">
        <v>0.95</v>
      </c>
      <c r="I33" s="1139">
        <f t="shared" si="0"/>
        <v>3.1536000000000002E-2</v>
      </c>
      <c r="J33" s="602">
        <v>15</v>
      </c>
    </row>
    <row r="34" spans="2:10">
      <c r="B34" s="602" t="str">
        <f>Processes!D141</f>
        <v>EXPELC-DK2DE5</v>
      </c>
      <c r="C34" s="602" t="str">
        <f>Processes!E141</f>
        <v xml:space="preserve">Export technology - Electricity to Denmark2 </v>
      </c>
      <c r="D34" s="602" t="s">
        <v>215</v>
      </c>
      <c r="E34" s="602"/>
      <c r="F34" s="602">
        <v>1</v>
      </c>
      <c r="G34" s="602">
        <v>50</v>
      </c>
      <c r="H34" s="602">
        <v>0.95</v>
      </c>
      <c r="I34" s="1139">
        <f t="shared" si="0"/>
        <v>3.1536000000000002E-2</v>
      </c>
      <c r="J34" s="602">
        <v>15</v>
      </c>
    </row>
    <row r="35" spans="2:10">
      <c r="B35" s="602" t="str">
        <f>Processes!D142</f>
        <v>EXPELC-UKDE3</v>
      </c>
      <c r="C35" s="602" t="str">
        <f>Processes!E142</f>
        <v>Export technology - Electricity to United Kingdom</v>
      </c>
      <c r="D35" s="602" t="s">
        <v>215</v>
      </c>
      <c r="E35" s="602"/>
      <c r="F35" s="602">
        <v>1</v>
      </c>
      <c r="G35" s="602">
        <v>50</v>
      </c>
      <c r="H35" s="602">
        <v>0.95</v>
      </c>
      <c r="I35" s="1139">
        <f t="shared" si="0"/>
        <v>3.1536000000000002E-2</v>
      </c>
      <c r="J35" s="602">
        <v>15</v>
      </c>
    </row>
    <row r="36" spans="2:10">
      <c r="B36" s="602"/>
      <c r="C36" s="602"/>
      <c r="D36" s="602"/>
      <c r="E36" s="602"/>
      <c r="F36" s="602"/>
      <c r="G36" s="602"/>
      <c r="H36" s="602"/>
      <c r="I36" s="1139"/>
      <c r="J36" s="602"/>
    </row>
    <row r="37" spans="2:10">
      <c r="B37" s="602"/>
      <c r="C37" s="602"/>
      <c r="D37" s="602"/>
      <c r="E37" s="602"/>
      <c r="F37" s="602"/>
      <c r="G37" s="602"/>
      <c r="H37" s="602"/>
      <c r="I37" s="1139"/>
      <c r="J37" s="602"/>
    </row>
    <row r="38" spans="2:10">
      <c r="B38" s="602"/>
      <c r="C38" s="602"/>
      <c r="D38" s="602"/>
      <c r="E38" s="602"/>
      <c r="F38" s="602"/>
      <c r="G38" s="602"/>
      <c r="H38" s="602"/>
      <c r="I38" s="1139"/>
      <c r="J38" s="602"/>
    </row>
    <row r="39" spans="2:10">
      <c r="B39" s="602"/>
      <c r="C39" s="602"/>
      <c r="D39" s="602"/>
      <c r="E39" s="602"/>
      <c r="F39" s="602"/>
      <c r="G39" s="602"/>
      <c r="H39" s="602"/>
      <c r="I39" s="1139"/>
      <c r="J39" s="602"/>
    </row>
    <row r="40" spans="2:10">
      <c r="B40" s="602"/>
      <c r="C40" s="602"/>
      <c r="D40" s="602"/>
      <c r="E40" s="602"/>
      <c r="F40" s="602"/>
      <c r="G40" s="602"/>
      <c r="H40" s="602"/>
      <c r="I40" s="1139"/>
      <c r="J40" s="602"/>
    </row>
    <row r="41" spans="2:10">
      <c r="B41" s="602"/>
      <c r="C41" s="602"/>
      <c r="D41" s="602"/>
      <c r="E41" s="602"/>
      <c r="F41" s="602"/>
      <c r="G41" s="602"/>
      <c r="H41" s="602"/>
      <c r="I41" s="1139"/>
      <c r="J41" s="602"/>
    </row>
    <row r="42" spans="2:10">
      <c r="B42" s="602"/>
      <c r="C42" s="602"/>
      <c r="D42" s="602"/>
      <c r="E42" s="602"/>
      <c r="F42" s="602"/>
      <c r="G42" s="602"/>
      <c r="H42" s="602"/>
      <c r="I42" s="1139"/>
      <c r="J42" s="602"/>
    </row>
    <row r="43" spans="2:10">
      <c r="B43" s="602"/>
      <c r="C43" s="602"/>
      <c r="D43" s="602"/>
      <c r="E43" s="602"/>
      <c r="F43" s="602"/>
      <c r="G43" s="602"/>
      <c r="H43" s="602"/>
      <c r="I43" s="1139"/>
      <c r="J43" s="602"/>
    </row>
    <row r="44" spans="2:10">
      <c r="B44" s="602"/>
      <c r="C44" s="602"/>
      <c r="D44" s="602"/>
      <c r="E44" s="602"/>
      <c r="F44" s="602"/>
      <c r="G44" s="602"/>
      <c r="H44" s="602"/>
      <c r="I44" s="1139"/>
      <c r="J44" s="602"/>
    </row>
    <row r="45" spans="2:10">
      <c r="B45" s="602"/>
      <c r="C45" s="602"/>
      <c r="D45" s="602"/>
      <c r="E45" s="602"/>
      <c r="F45" s="602"/>
      <c r="G45" s="602"/>
      <c r="H45" s="602"/>
      <c r="I45" s="1139"/>
      <c r="J45" s="602"/>
    </row>
    <row r="46" spans="2:10">
      <c r="B46" s="602"/>
      <c r="C46" s="602"/>
      <c r="D46" s="602"/>
      <c r="E46" s="602"/>
      <c r="F46" s="602"/>
      <c r="G46" s="602"/>
      <c r="H46" s="602"/>
      <c r="I46" s="1139"/>
      <c r="J46" s="602"/>
    </row>
    <row r="47" spans="2:10">
      <c r="B47" s="602"/>
      <c r="C47" s="602"/>
      <c r="D47" s="602"/>
      <c r="E47" s="602"/>
      <c r="F47" s="602"/>
      <c r="G47" s="602"/>
      <c r="H47" s="602"/>
      <c r="I47" s="1139"/>
      <c r="J47" s="602"/>
    </row>
    <row r="48" spans="2:10">
      <c r="B48" s="602"/>
      <c r="C48" s="602"/>
      <c r="D48" s="602"/>
      <c r="E48" s="602"/>
      <c r="F48" s="602"/>
      <c r="G48" s="602"/>
      <c r="H48" s="602"/>
      <c r="I48" s="1139"/>
      <c r="J48" s="602"/>
    </row>
    <row r="49" spans="2:10">
      <c r="B49" s="602"/>
      <c r="C49" s="602"/>
      <c r="D49" s="602"/>
      <c r="E49" s="602"/>
      <c r="F49" s="602"/>
      <c r="G49" s="602"/>
      <c r="H49" s="602"/>
      <c r="I49" s="1139"/>
      <c r="J49" s="602"/>
    </row>
    <row r="50" spans="2:10">
      <c r="B50" s="602"/>
      <c r="C50" s="602"/>
      <c r="D50" s="602"/>
      <c r="E50" s="602"/>
      <c r="F50" s="602"/>
      <c r="G50" s="602"/>
      <c r="H50" s="602"/>
      <c r="I50" s="1139"/>
      <c r="J50" s="602"/>
    </row>
    <row r="51" spans="2:10">
      <c r="B51" s="602"/>
      <c r="C51" s="602"/>
      <c r="D51" s="602"/>
      <c r="E51" s="602"/>
      <c r="F51" s="602"/>
      <c r="G51" s="602"/>
      <c r="H51" s="602"/>
      <c r="I51" s="1139"/>
      <c r="J51" s="602"/>
    </row>
    <row r="52" spans="2:10">
      <c r="B52" s="602"/>
      <c r="C52" s="602"/>
      <c r="D52" s="602"/>
      <c r="E52" s="602"/>
      <c r="F52" s="602"/>
      <c r="G52" s="602"/>
      <c r="H52" s="602"/>
      <c r="I52" s="1139"/>
      <c r="J52" s="602"/>
    </row>
    <row r="53" spans="2:10">
      <c r="B53" s="602"/>
      <c r="C53" s="602"/>
      <c r="D53" s="602"/>
      <c r="E53" s="602"/>
      <c r="F53" s="602"/>
      <c r="G53" s="602"/>
      <c r="H53" s="602"/>
      <c r="I53" s="1139"/>
      <c r="J53" s="602"/>
    </row>
    <row r="54" spans="2:10">
      <c r="B54" s="602"/>
      <c r="C54" s="602"/>
      <c r="D54" s="602"/>
      <c r="E54" s="602"/>
      <c r="F54" s="602"/>
      <c r="G54" s="602"/>
      <c r="H54" s="602"/>
      <c r="I54" s="1139"/>
      <c r="J54" s="602"/>
    </row>
    <row r="55" spans="2:10">
      <c r="B55" s="602"/>
      <c r="C55" s="602"/>
      <c r="D55" s="602"/>
      <c r="E55" s="602"/>
      <c r="F55" s="602"/>
      <c r="G55" s="602"/>
      <c r="H55" s="602"/>
      <c r="I55" s="1139"/>
      <c r="J55" s="602"/>
    </row>
    <row r="56" spans="2:10">
      <c r="B56" s="602"/>
      <c r="C56" s="602"/>
      <c r="D56" s="602"/>
      <c r="E56" s="602"/>
      <c r="F56" s="602"/>
      <c r="G56" s="602"/>
      <c r="H56" s="602"/>
      <c r="I56" s="1139"/>
      <c r="J56" s="602"/>
    </row>
    <row r="57" spans="2:10">
      <c r="B57" s="602"/>
      <c r="C57" s="602"/>
      <c r="D57" s="602"/>
      <c r="E57" s="602"/>
      <c r="F57" s="602"/>
      <c r="G57" s="602"/>
      <c r="H57" s="602"/>
      <c r="I57" s="1139"/>
      <c r="J57" s="602"/>
    </row>
    <row r="58" spans="2:10">
      <c r="B58" s="602"/>
      <c r="C58" s="602"/>
      <c r="D58" s="602"/>
      <c r="E58" s="602"/>
      <c r="F58" s="602"/>
      <c r="G58" s="602"/>
      <c r="H58" s="602"/>
      <c r="I58" s="1139"/>
      <c r="J58" s="602"/>
    </row>
    <row r="59" spans="2:10">
      <c r="B59" s="602"/>
      <c r="C59" s="602"/>
      <c r="D59" s="602"/>
      <c r="E59" s="602"/>
      <c r="F59" s="602"/>
      <c r="G59" s="602"/>
      <c r="H59" s="602"/>
      <c r="I59" s="1139"/>
      <c r="J59" s="602"/>
    </row>
    <row r="60" spans="2:10">
      <c r="B60" s="602"/>
      <c r="C60" s="602"/>
      <c r="D60" s="602"/>
      <c r="E60" s="602"/>
      <c r="F60" s="602"/>
      <c r="G60" s="602"/>
      <c r="H60" s="602"/>
      <c r="I60" s="1139"/>
      <c r="J60" s="602"/>
    </row>
    <row r="61" spans="2:10">
      <c r="B61" s="602"/>
      <c r="C61" s="602"/>
      <c r="D61" s="602"/>
      <c r="E61" s="602"/>
      <c r="F61" s="602"/>
      <c r="G61" s="602"/>
      <c r="H61" s="602"/>
      <c r="I61" s="1139"/>
      <c r="J61" s="602"/>
    </row>
    <row r="62" spans="2:10">
      <c r="B62" s="602"/>
      <c r="C62" s="602"/>
      <c r="D62" s="602"/>
      <c r="E62" s="602"/>
      <c r="F62" s="602"/>
      <c r="G62" s="602"/>
      <c r="H62" s="602"/>
      <c r="I62" s="1139"/>
      <c r="J62" s="602"/>
    </row>
    <row r="63" spans="2:10">
      <c r="B63" s="602"/>
      <c r="C63" s="602"/>
      <c r="D63" s="602"/>
      <c r="E63" s="602"/>
      <c r="F63" s="602"/>
      <c r="G63" s="602"/>
      <c r="H63" s="602"/>
      <c r="I63" s="1139"/>
      <c r="J63" s="602"/>
    </row>
    <row r="64" spans="2:10">
      <c r="B64" s="602"/>
      <c r="C64" s="602"/>
      <c r="D64" s="602"/>
      <c r="E64" s="602"/>
      <c r="F64" s="602"/>
      <c r="G64" s="602"/>
      <c r="H64" s="602"/>
      <c r="I64" s="1139"/>
      <c r="J64" s="602"/>
    </row>
    <row r="65" spans="2:10">
      <c r="B65" s="602"/>
      <c r="C65" s="602"/>
      <c r="D65" s="602"/>
      <c r="E65" s="602"/>
      <c r="F65" s="602"/>
      <c r="G65" s="602"/>
      <c r="H65" s="602"/>
      <c r="I65" s="1139"/>
      <c r="J65" s="602"/>
    </row>
    <row r="66" spans="2:10">
      <c r="B66" s="602"/>
      <c r="C66" s="602"/>
      <c r="D66" s="602"/>
      <c r="E66" s="602"/>
      <c r="F66" s="602"/>
      <c r="G66" s="602"/>
      <c r="H66" s="602"/>
      <c r="I66" s="1139"/>
      <c r="J66" s="602"/>
    </row>
    <row r="67" spans="2:10">
      <c r="B67" s="602"/>
      <c r="C67" s="602"/>
      <c r="D67" s="602"/>
      <c r="E67" s="602"/>
      <c r="F67" s="602"/>
      <c r="G67" s="602"/>
      <c r="H67" s="602"/>
      <c r="I67" s="1139"/>
      <c r="J67" s="60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3:AT16"/>
  <sheetViews>
    <sheetView workbookViewId="0">
      <selection activeCell="E7" sqref="E7"/>
    </sheetView>
  </sheetViews>
  <sheetFormatPr defaultColWidth="8.77734375" defaultRowHeight="13.2"/>
  <cols>
    <col min="1" max="1" width="8.77734375" style="606"/>
    <col min="2" max="2" width="15.88671875" style="606" bestFit="1" customWidth="1"/>
    <col min="3" max="3" width="30.109375" style="606" bestFit="1" customWidth="1"/>
    <col min="4" max="5" width="8.77734375" style="606"/>
    <col min="6" max="6" width="8.44140625" style="606" bestFit="1" customWidth="1"/>
    <col min="7" max="8" width="9.77734375" style="606" customWidth="1"/>
    <col min="9" max="22" width="6.77734375" style="606" customWidth="1"/>
    <col min="23" max="23" width="8.77734375" style="606"/>
    <col min="24" max="24" width="12.44140625" style="606" bestFit="1" customWidth="1"/>
    <col min="25" max="25" width="9.5546875" style="606" bestFit="1" customWidth="1"/>
    <col min="26" max="26" width="17.5546875" style="606" customWidth="1"/>
    <col min="27" max="28" width="19.44140625" style="606" bestFit="1" customWidth="1"/>
    <col min="29" max="29" width="19.44140625" style="606" customWidth="1"/>
    <col min="30" max="30" width="8.77734375" style="606"/>
    <col min="31" max="31" width="9.6640625" style="606" customWidth="1"/>
    <col min="32" max="32" width="11.21875" style="606" customWidth="1"/>
    <col min="33" max="33" width="8.77734375" style="606"/>
    <col min="34" max="34" width="9.77734375" style="606" bestFit="1" customWidth="1"/>
    <col min="35" max="16384" width="8.77734375" style="606"/>
  </cols>
  <sheetData>
    <row r="3" spans="2:46" ht="13.8">
      <c r="C3" s="1294"/>
      <c r="D3" s="1294"/>
      <c r="F3" s="609" t="s">
        <v>7</v>
      </c>
    </row>
    <row r="4" spans="2:46" ht="41.4">
      <c r="B4" s="610" t="s">
        <v>1</v>
      </c>
      <c r="C4" s="610" t="s">
        <v>21</v>
      </c>
      <c r="D4" s="610" t="s">
        <v>81</v>
      </c>
      <c r="E4" s="1293" t="s">
        <v>13</v>
      </c>
      <c r="F4" s="610" t="s">
        <v>205</v>
      </c>
      <c r="G4" s="1292" t="s">
        <v>82</v>
      </c>
      <c r="H4" s="1292" t="s">
        <v>2179</v>
      </c>
      <c r="I4" s="1292" t="s">
        <v>2180</v>
      </c>
      <c r="J4" s="1292" t="s">
        <v>2181</v>
      </c>
      <c r="K4" s="1292" t="s">
        <v>2190</v>
      </c>
      <c r="L4" s="1292" t="s">
        <v>2191</v>
      </c>
      <c r="M4" s="1292" t="s">
        <v>2182</v>
      </c>
      <c r="N4" s="1292" t="s">
        <v>2183</v>
      </c>
      <c r="O4" s="1292" t="s">
        <v>2184</v>
      </c>
      <c r="P4" s="1292" t="s">
        <v>2192</v>
      </c>
      <c r="Q4" s="1292" t="s">
        <v>2193</v>
      </c>
      <c r="R4" s="1292" t="s">
        <v>2185</v>
      </c>
      <c r="S4" s="1292" t="s">
        <v>2186</v>
      </c>
      <c r="T4" s="1292" t="s">
        <v>2187</v>
      </c>
      <c r="U4" s="1292" t="s">
        <v>2194</v>
      </c>
      <c r="V4" s="1292" t="s">
        <v>2195</v>
      </c>
      <c r="W4" s="1291" t="s">
        <v>1655</v>
      </c>
      <c r="X4" s="610" t="s">
        <v>1654</v>
      </c>
      <c r="Y4" s="1290" t="s">
        <v>1653</v>
      </c>
      <c r="Z4" s="1290" t="s">
        <v>1652</v>
      </c>
      <c r="AA4" s="1290" t="s">
        <v>83</v>
      </c>
      <c r="AB4" s="1289" t="s">
        <v>1859</v>
      </c>
      <c r="AC4" s="1289" t="s">
        <v>1858</v>
      </c>
      <c r="AD4" s="1289" t="s">
        <v>1857</v>
      </c>
      <c r="AE4" s="1289" t="s">
        <v>1868</v>
      </c>
      <c r="AF4" s="1289" t="s">
        <v>1869</v>
      </c>
      <c r="AH4" s="1287" t="s">
        <v>1770</v>
      </c>
      <c r="AI4" s="606" t="s">
        <v>1673</v>
      </c>
      <c r="AJ4" s="1288"/>
      <c r="AK4" s="1288"/>
      <c r="AL4" s="1287"/>
      <c r="AM4" s="1287"/>
      <c r="AN4" s="1287"/>
      <c r="AO4" s="1287"/>
      <c r="AP4" s="606" t="s">
        <v>1666</v>
      </c>
    </row>
    <row r="5" spans="2:46" ht="24.6" thickBot="1">
      <c r="B5" s="1286" t="s">
        <v>214</v>
      </c>
      <c r="C5" s="1284"/>
      <c r="D5" s="1284"/>
      <c r="E5" s="1285"/>
      <c r="F5" s="1284"/>
      <c r="G5" s="1283"/>
      <c r="H5" s="1283"/>
      <c r="I5" s="1283"/>
      <c r="J5" s="1283"/>
      <c r="K5" s="1283"/>
      <c r="L5" s="1283"/>
      <c r="M5" s="1283"/>
      <c r="N5" s="1283"/>
      <c r="O5" s="1283"/>
      <c r="P5" s="1283"/>
      <c r="Q5" s="1283"/>
      <c r="R5" s="1283"/>
      <c r="S5" s="1283"/>
      <c r="T5" s="1283"/>
      <c r="U5" s="1283"/>
      <c r="V5" s="1283"/>
      <c r="W5" s="1283"/>
      <c r="X5" s="1283" t="s">
        <v>1681</v>
      </c>
      <c r="Y5" s="1283"/>
      <c r="Z5" s="1283" t="s">
        <v>1675</v>
      </c>
      <c r="AA5" s="1283" t="s">
        <v>1682</v>
      </c>
      <c r="AB5" s="1283" t="s">
        <v>1769</v>
      </c>
      <c r="AC5" s="1283" t="s">
        <v>1769</v>
      </c>
      <c r="AD5" s="1283" t="s">
        <v>1769</v>
      </c>
      <c r="AE5" s="1282"/>
      <c r="AF5" s="1282"/>
      <c r="AI5" s="1281" t="s">
        <v>1674</v>
      </c>
      <c r="AJ5" s="1280"/>
      <c r="AK5" s="1280"/>
      <c r="AL5" s="1280"/>
      <c r="AM5" s="1280"/>
      <c r="AN5" s="1280"/>
      <c r="AO5" s="1280"/>
    </row>
    <row r="6" spans="2:46" ht="13.8" thickBot="1">
      <c r="B6" s="1279" t="s">
        <v>22</v>
      </c>
      <c r="C6" s="1276"/>
      <c r="D6" s="1276"/>
      <c r="E6" s="1276"/>
      <c r="F6" s="1277"/>
      <c r="G6" s="1278"/>
      <c r="H6" s="1278"/>
      <c r="I6" s="1278"/>
      <c r="J6" s="1278"/>
      <c r="K6" s="1278"/>
      <c r="L6" s="1278"/>
      <c r="M6" s="1278"/>
      <c r="N6" s="1278"/>
      <c r="O6" s="1278"/>
      <c r="P6" s="1278"/>
      <c r="Q6" s="1278"/>
      <c r="R6" s="1278"/>
      <c r="S6" s="1278"/>
      <c r="T6" s="1278"/>
      <c r="U6" s="1278"/>
      <c r="V6" s="1278"/>
      <c r="W6" s="1278"/>
      <c r="X6" s="1277"/>
      <c r="Y6" s="1276"/>
      <c r="Z6" s="1276" t="s">
        <v>1676</v>
      </c>
      <c r="AA6" s="1276" t="s">
        <v>1683</v>
      </c>
      <c r="AB6" s="1276" t="s">
        <v>1767</v>
      </c>
      <c r="AC6" s="1276" t="s">
        <v>1767</v>
      </c>
      <c r="AD6" s="1276" t="s">
        <v>1767</v>
      </c>
      <c r="AE6" s="1275"/>
      <c r="AF6" s="1275"/>
      <c r="AH6" s="1274" t="s">
        <v>1771</v>
      </c>
      <c r="AI6" s="606" t="s">
        <v>89</v>
      </c>
      <c r="AJ6" s="1274" t="s">
        <v>1778</v>
      </c>
      <c r="AK6" s="1274"/>
      <c r="AL6" s="1274"/>
      <c r="AM6" s="1274"/>
      <c r="AN6" s="1274"/>
      <c r="AO6" s="1274"/>
      <c r="AS6" s="606" t="s">
        <v>1668</v>
      </c>
    </row>
    <row r="7" spans="2:46">
      <c r="B7" s="606" t="s">
        <v>2189</v>
      </c>
      <c r="C7" s="606" t="s">
        <v>2178</v>
      </c>
      <c r="D7" s="606" t="s">
        <v>215</v>
      </c>
      <c r="E7" s="606" t="s">
        <v>1656</v>
      </c>
      <c r="F7" s="606" t="s">
        <v>1684</v>
      </c>
      <c r="G7" s="628">
        <f>1-(1-AI7)*$AS$7/$AS$8</f>
        <v>0.9864033566304371</v>
      </c>
      <c r="H7" s="647">
        <f>ROUNDUP(AH7/Y7/X7,0)</f>
        <v>7046620441</v>
      </c>
      <c r="I7" s="647">
        <f>H7*0.1</f>
        <v>704662044.10000002</v>
      </c>
      <c r="J7" s="647">
        <f>H7</f>
        <v>7046620441</v>
      </c>
      <c r="K7" s="647">
        <f t="shared" ref="K7:L11" si="0">H7</f>
        <v>7046620441</v>
      </c>
      <c r="L7" s="647">
        <f t="shared" si="0"/>
        <v>704662044.10000002</v>
      </c>
      <c r="M7" s="647">
        <f t="shared" ref="M7:M14" si="1">H7</f>
        <v>7046620441</v>
      </c>
      <c r="N7" s="647">
        <f>M7*0.1</f>
        <v>704662044.10000002</v>
      </c>
      <c r="O7" s="647">
        <f>M7</f>
        <v>7046620441</v>
      </c>
      <c r="P7" s="647">
        <f t="shared" ref="P7:Q11" si="2">M7</f>
        <v>7046620441</v>
      </c>
      <c r="Q7" s="647">
        <f t="shared" si="2"/>
        <v>704662044.10000002</v>
      </c>
      <c r="R7" s="647">
        <v>0</v>
      </c>
      <c r="S7" s="647">
        <v>0</v>
      </c>
      <c r="T7" s="647">
        <f>R7</f>
        <v>0</v>
      </c>
      <c r="U7" s="647">
        <f t="shared" ref="U7:V11" si="3">R7</f>
        <v>0</v>
      </c>
      <c r="V7" s="647">
        <f t="shared" si="3"/>
        <v>0</v>
      </c>
      <c r="W7" s="606">
        <v>50</v>
      </c>
      <c r="X7" s="608">
        <v>0.45</v>
      </c>
      <c r="Y7" s="758">
        <f>8760*3.6/1000000</f>
        <v>3.1536000000000002E-2</v>
      </c>
      <c r="Z7" s="758">
        <v>1.08953E-3</v>
      </c>
      <c r="AA7" s="758"/>
      <c r="AB7" s="758"/>
      <c r="AC7" s="758"/>
      <c r="AD7" s="758"/>
      <c r="AE7" s="647">
        <v>0</v>
      </c>
      <c r="AF7" s="647">
        <v>5</v>
      </c>
      <c r="AH7" s="606">
        <v>100000000</v>
      </c>
      <c r="AI7" s="606">
        <v>0.99149999999999994</v>
      </c>
      <c r="AJ7" s="1273"/>
      <c r="AP7" s="606" t="s">
        <v>1667</v>
      </c>
      <c r="AS7" s="606">
        <v>0.10390000000000001</v>
      </c>
      <c r="AT7" s="606" t="s">
        <v>1670</v>
      </c>
    </row>
    <row r="8" spans="2:46">
      <c r="B8" s="606" t="s">
        <v>1861</v>
      </c>
      <c r="C8" s="606" t="s">
        <v>1657</v>
      </c>
      <c r="D8" s="606" t="s">
        <v>1656</v>
      </c>
      <c r="E8" s="606" t="s">
        <v>1658</v>
      </c>
      <c r="F8" s="606" t="s">
        <v>1684</v>
      </c>
      <c r="G8" s="628">
        <f>1-(1-AI8)*$AS$7/$AS$8</f>
        <v>0.98000493622123097</v>
      </c>
      <c r="H8" s="647">
        <f t="shared" ref="H8:H14" si="4">ROUNDUP(AH8/Y8/X8,0)</f>
        <v>7046620441</v>
      </c>
      <c r="I8" s="647">
        <f>H8*0.1</f>
        <v>704662044.10000002</v>
      </c>
      <c r="J8" s="647">
        <f>H8</f>
        <v>7046620441</v>
      </c>
      <c r="K8" s="647">
        <f t="shared" si="0"/>
        <v>7046620441</v>
      </c>
      <c r="L8" s="647">
        <f t="shared" si="0"/>
        <v>704662044.10000002</v>
      </c>
      <c r="M8" s="647">
        <f t="shared" si="1"/>
        <v>7046620441</v>
      </c>
      <c r="N8" s="647">
        <f>M8*0.1</f>
        <v>704662044.10000002</v>
      </c>
      <c r="O8" s="647">
        <f>M8</f>
        <v>7046620441</v>
      </c>
      <c r="P8" s="647">
        <f t="shared" si="2"/>
        <v>7046620441</v>
      </c>
      <c r="Q8" s="647">
        <f t="shared" si="2"/>
        <v>704662044.10000002</v>
      </c>
      <c r="R8" s="647">
        <v>0</v>
      </c>
      <c r="S8" s="647">
        <f>R8*0.1</f>
        <v>0</v>
      </c>
      <c r="T8" s="647">
        <f>R8</f>
        <v>0</v>
      </c>
      <c r="U8" s="647">
        <f t="shared" si="3"/>
        <v>0</v>
      </c>
      <c r="V8" s="647">
        <f t="shared" si="3"/>
        <v>0</v>
      </c>
      <c r="W8" s="606">
        <v>50</v>
      </c>
      <c r="X8" s="608">
        <v>0.45</v>
      </c>
      <c r="Y8" s="758">
        <f>8760*3.6/1000000</f>
        <v>3.1536000000000002E-2</v>
      </c>
      <c r="Z8" s="758">
        <v>6.5371800000000007E-4</v>
      </c>
      <c r="AA8" s="1271"/>
      <c r="AB8" s="1271"/>
      <c r="AC8" s="1271"/>
      <c r="AD8" s="1271"/>
      <c r="AE8" s="647">
        <v>0</v>
      </c>
      <c r="AF8" s="647">
        <v>5</v>
      </c>
      <c r="AH8" s="606">
        <v>100000000</v>
      </c>
      <c r="AI8" s="606">
        <v>0.98749999999999982</v>
      </c>
      <c r="AP8" s="606" t="s">
        <v>1667</v>
      </c>
      <c r="AS8" s="606">
        <f>1-0.93504646875</f>
        <v>6.4953531250000029E-2</v>
      </c>
      <c r="AT8" s="606" t="s">
        <v>1669</v>
      </c>
    </row>
    <row r="9" spans="2:46">
      <c r="B9" s="606" t="s">
        <v>1862</v>
      </c>
      <c r="C9" s="606" t="s">
        <v>1659</v>
      </c>
      <c r="D9" s="606" t="s">
        <v>1658</v>
      </c>
      <c r="E9" s="606" t="s">
        <v>1660</v>
      </c>
      <c r="F9" s="606" t="s">
        <v>1684</v>
      </c>
      <c r="G9" s="628">
        <f>1-(1-AI9)*$AS$7/$AS$8</f>
        <v>0.92801777039643241</v>
      </c>
      <c r="H9" s="647">
        <f t="shared" si="4"/>
        <v>6675745681</v>
      </c>
      <c r="I9" s="647">
        <f>H9*0.1</f>
        <v>667574568.10000002</v>
      </c>
      <c r="J9" s="647">
        <f>H9</f>
        <v>6675745681</v>
      </c>
      <c r="K9" s="647">
        <f t="shared" si="0"/>
        <v>6675745681</v>
      </c>
      <c r="L9" s="647">
        <f t="shared" si="0"/>
        <v>667574568.10000002</v>
      </c>
      <c r="M9" s="647">
        <f t="shared" si="1"/>
        <v>6675745681</v>
      </c>
      <c r="N9" s="647">
        <f>M9*0.1</f>
        <v>667574568.10000002</v>
      </c>
      <c r="O9" s="647">
        <f>M9</f>
        <v>6675745681</v>
      </c>
      <c r="P9" s="647">
        <f t="shared" si="2"/>
        <v>6675745681</v>
      </c>
      <c r="Q9" s="647">
        <f t="shared" si="2"/>
        <v>667574568.10000002</v>
      </c>
      <c r="R9" s="647">
        <v>0</v>
      </c>
      <c r="S9" s="647">
        <f>R9*0.1</f>
        <v>0</v>
      </c>
      <c r="T9" s="647">
        <f>R9</f>
        <v>0</v>
      </c>
      <c r="U9" s="647">
        <f t="shared" si="3"/>
        <v>0</v>
      </c>
      <c r="V9" s="647">
        <f t="shared" si="3"/>
        <v>0</v>
      </c>
      <c r="W9" s="606">
        <v>50</v>
      </c>
      <c r="X9" s="608">
        <v>0.47499999999999998</v>
      </c>
      <c r="Y9" s="758">
        <f>8760*3.6/1000000</f>
        <v>3.1536000000000002E-2</v>
      </c>
      <c r="Z9" s="758">
        <v>2.1034229310113715E-3</v>
      </c>
      <c r="AA9" s="808"/>
      <c r="AB9" s="808"/>
      <c r="AC9" s="808"/>
      <c r="AD9" s="808"/>
      <c r="AE9" s="647">
        <v>0</v>
      </c>
      <c r="AF9" s="647">
        <v>5</v>
      </c>
      <c r="AH9" s="606">
        <v>100000000</v>
      </c>
      <c r="AI9" s="606">
        <v>0.95499999999999996</v>
      </c>
      <c r="AP9" s="606" t="s">
        <v>1667</v>
      </c>
    </row>
    <row r="10" spans="2:46">
      <c r="B10" s="606" t="s">
        <v>1867</v>
      </c>
      <c r="C10" s="606" t="s">
        <v>1664</v>
      </c>
      <c r="D10" s="606" t="s">
        <v>41</v>
      </c>
      <c r="E10" s="606" t="s">
        <v>1665</v>
      </c>
      <c r="F10" s="606" t="s">
        <v>1684</v>
      </c>
      <c r="G10" s="628">
        <f>1-'2019'!P26/'2019'!P6</f>
        <v>0.9705967007147358</v>
      </c>
      <c r="H10" s="647">
        <f t="shared" si="4"/>
        <v>15854895992</v>
      </c>
      <c r="I10" s="647">
        <f>H10*0.1</f>
        <v>1585489599.2</v>
      </c>
      <c r="J10" s="647">
        <f>H10</f>
        <v>15854895992</v>
      </c>
      <c r="K10" s="647">
        <f t="shared" si="0"/>
        <v>15854895992</v>
      </c>
      <c r="L10" s="647">
        <f t="shared" si="0"/>
        <v>1585489599.2</v>
      </c>
      <c r="M10" s="647">
        <f t="shared" si="1"/>
        <v>15854895992</v>
      </c>
      <c r="N10" s="647">
        <f>M10*0.1</f>
        <v>1585489599.2</v>
      </c>
      <c r="O10" s="647">
        <f>M10</f>
        <v>15854895992</v>
      </c>
      <c r="P10" s="647">
        <f t="shared" si="2"/>
        <v>15854895992</v>
      </c>
      <c r="Q10" s="647">
        <f t="shared" si="2"/>
        <v>1585489599.2</v>
      </c>
      <c r="R10" s="647">
        <v>0</v>
      </c>
      <c r="S10" s="647">
        <f>R10*0.1</f>
        <v>0</v>
      </c>
      <c r="T10" s="647">
        <f>R10</f>
        <v>0</v>
      </c>
      <c r="U10" s="647">
        <f t="shared" si="3"/>
        <v>0</v>
      </c>
      <c r="V10" s="647">
        <f t="shared" si="3"/>
        <v>0</v>
      </c>
      <c r="W10" s="606">
        <v>50</v>
      </c>
      <c r="X10" s="608">
        <v>0.2</v>
      </c>
      <c r="Y10" s="758">
        <v>3.1536000000000002E-2</v>
      </c>
      <c r="Z10" s="1272">
        <f>6.04934202846487E-06</f>
        <v>6.0493420284648697E-6</v>
      </c>
      <c r="AA10" s="808">
        <v>0.15631479862069877</v>
      </c>
      <c r="AB10" s="808">
        <f>'2010'!P26/'2010'!P6*(1000/53.6)*25</f>
        <v>31.248000428778433</v>
      </c>
      <c r="AC10" s="808">
        <f>'2019'!P26/'2019'!P6*(1000/53.6)*25</f>
        <v>13.714225412903067</v>
      </c>
      <c r="AD10" s="808">
        <v>5</v>
      </c>
      <c r="AE10" s="647">
        <v>0</v>
      </c>
      <c r="AF10" s="647">
        <v>5</v>
      </c>
      <c r="AH10" s="606">
        <v>100000000</v>
      </c>
      <c r="AI10" s="606">
        <v>0.999</v>
      </c>
      <c r="AJ10" s="606" t="s">
        <v>1779</v>
      </c>
      <c r="AP10" s="606" t="s">
        <v>1667</v>
      </c>
    </row>
    <row r="11" spans="2:46">
      <c r="B11" s="606" t="s">
        <v>1865</v>
      </c>
      <c r="C11" s="606" t="s">
        <v>1678</v>
      </c>
      <c r="D11" s="606" t="s">
        <v>1665</v>
      </c>
      <c r="E11" s="606" t="s">
        <v>1677</v>
      </c>
      <c r="F11" s="606" t="s">
        <v>1684</v>
      </c>
      <c r="G11" s="606">
        <f>AI11</f>
        <v>0.997</v>
      </c>
      <c r="H11" s="647">
        <f t="shared" si="4"/>
        <v>6675745681</v>
      </c>
      <c r="I11" s="647">
        <f>H11*0.1</f>
        <v>667574568.10000002</v>
      </c>
      <c r="J11" s="647">
        <f>H11</f>
        <v>6675745681</v>
      </c>
      <c r="K11" s="647">
        <f t="shared" si="0"/>
        <v>6675745681</v>
      </c>
      <c r="L11" s="647">
        <f t="shared" si="0"/>
        <v>667574568.10000002</v>
      </c>
      <c r="M11" s="647">
        <f t="shared" si="1"/>
        <v>6675745681</v>
      </c>
      <c r="N11" s="647">
        <f>M11*0.1</f>
        <v>667574568.10000002</v>
      </c>
      <c r="O11" s="647">
        <f>M11</f>
        <v>6675745681</v>
      </c>
      <c r="P11" s="647">
        <f t="shared" si="2"/>
        <v>6675745681</v>
      </c>
      <c r="Q11" s="647">
        <f t="shared" si="2"/>
        <v>667574568.10000002</v>
      </c>
      <c r="R11" s="647">
        <v>0</v>
      </c>
      <c r="S11" s="647">
        <f>R11*0.1</f>
        <v>0</v>
      </c>
      <c r="T11" s="647">
        <f>R11</f>
        <v>0</v>
      </c>
      <c r="U11" s="647">
        <f t="shared" si="3"/>
        <v>0</v>
      </c>
      <c r="V11" s="647">
        <f t="shared" si="3"/>
        <v>0</v>
      </c>
      <c r="W11" s="606">
        <v>50</v>
      </c>
      <c r="X11" s="608">
        <v>0.47499999999999998</v>
      </c>
      <c r="Y11" s="758">
        <v>3.1536000000000002E-2</v>
      </c>
      <c r="Z11" s="1271">
        <v>3.5340000000000002E-4</v>
      </c>
      <c r="AA11" s="808"/>
      <c r="AB11" s="1270">
        <f>(1-G11)*1000/53.6*25</f>
        <v>1.3992537313432849</v>
      </c>
      <c r="AC11" s="1270">
        <f>(1-G11)*1000/53.6*25</f>
        <v>1.3992537313432849</v>
      </c>
      <c r="AD11" s="1270">
        <v>5</v>
      </c>
      <c r="AE11" s="647">
        <v>0</v>
      </c>
      <c r="AF11" s="647">
        <v>5</v>
      </c>
      <c r="AH11" s="606">
        <v>100000000</v>
      </c>
      <c r="AI11" s="606">
        <v>0.997</v>
      </c>
      <c r="AP11" s="606" t="s">
        <v>1667</v>
      </c>
    </row>
    <row r="12" spans="2:46">
      <c r="B12" s="606" t="s">
        <v>1866</v>
      </c>
      <c r="C12" s="606" t="s">
        <v>1780</v>
      </c>
      <c r="D12" s="606" t="s">
        <v>1783</v>
      </c>
      <c r="E12" s="606" t="s">
        <v>1650</v>
      </c>
      <c r="F12" s="606" t="s">
        <v>1684</v>
      </c>
      <c r="G12" s="628">
        <f>1-'2019'!R26/'2019'!R16</f>
        <v>0.94300085616438356</v>
      </c>
      <c r="H12" s="647">
        <f>ROUNDUP(AH12/Y12/X12,0)</f>
        <v>15854895992</v>
      </c>
      <c r="I12" s="647" t="e">
        <f t="shared" ref="I12:L12" si="5">ROUNDUP(AI12/Z12/Y12,0)</f>
        <v>#DIV/0!</v>
      </c>
      <c r="J12" s="647" t="e">
        <f t="shared" si="5"/>
        <v>#DIV/0!</v>
      </c>
      <c r="K12" s="647" t="e">
        <f t="shared" si="5"/>
        <v>#DIV/0!</v>
      </c>
      <c r="L12" s="647" t="e">
        <f t="shared" si="5"/>
        <v>#DIV/0!</v>
      </c>
      <c r="M12" s="647">
        <f t="shared" si="1"/>
        <v>15854895992</v>
      </c>
      <c r="N12" s="647" t="e">
        <f t="shared" ref="N12" si="6">I12</f>
        <v>#DIV/0!</v>
      </c>
      <c r="O12" s="647" t="e">
        <f t="shared" ref="O12" si="7">J12</f>
        <v>#DIV/0!</v>
      </c>
      <c r="P12" s="647" t="e">
        <f t="shared" ref="P12" si="8">K12</f>
        <v>#DIV/0!</v>
      </c>
      <c r="Q12" s="647" t="e">
        <f t="shared" ref="Q12" si="9">L12</f>
        <v>#DIV/0!</v>
      </c>
      <c r="R12" s="647">
        <v>0</v>
      </c>
      <c r="S12" s="647">
        <v>0</v>
      </c>
      <c r="T12" s="647">
        <v>0</v>
      </c>
      <c r="U12" s="647">
        <v>0</v>
      </c>
      <c r="V12" s="647">
        <v>0</v>
      </c>
      <c r="W12" s="606">
        <v>80</v>
      </c>
      <c r="X12" s="608">
        <v>0.2</v>
      </c>
      <c r="Y12" s="758">
        <v>3.1536000000000002E-2</v>
      </c>
      <c r="Z12" s="628"/>
      <c r="AA12" s="808">
        <v>0.41666666666666663</v>
      </c>
      <c r="AB12" s="808"/>
      <c r="AC12" s="1269"/>
      <c r="AD12" s="1269"/>
      <c r="AE12" s="647">
        <v>0</v>
      </c>
      <c r="AF12" s="647">
        <v>5</v>
      </c>
      <c r="AH12" s="606">
        <v>100000000</v>
      </c>
      <c r="AI12" s="606">
        <v>0.9</v>
      </c>
      <c r="AP12" s="606" t="s">
        <v>1667</v>
      </c>
    </row>
    <row r="13" spans="2:46">
      <c r="B13" s="606" t="s">
        <v>1863</v>
      </c>
      <c r="C13" s="606" t="s">
        <v>1781</v>
      </c>
      <c r="D13" s="606" t="s">
        <v>1783</v>
      </c>
      <c r="E13" s="606" t="s">
        <v>1870</v>
      </c>
      <c r="F13" s="606" t="s">
        <v>1684</v>
      </c>
      <c r="G13" s="628">
        <f>AI13</f>
        <v>0.81</v>
      </c>
      <c r="H13" s="647">
        <f t="shared" si="4"/>
        <v>0</v>
      </c>
      <c r="I13" s="647">
        <v>0</v>
      </c>
      <c r="J13" s="647">
        <v>0</v>
      </c>
      <c r="K13" s="647">
        <v>0</v>
      </c>
      <c r="L13" s="647">
        <v>0</v>
      </c>
      <c r="M13" s="647">
        <f t="shared" si="1"/>
        <v>0</v>
      </c>
      <c r="N13" s="647">
        <v>0</v>
      </c>
      <c r="O13" s="647">
        <v>0</v>
      </c>
      <c r="P13" s="647">
        <v>0</v>
      </c>
      <c r="Q13" s="647">
        <v>0</v>
      </c>
      <c r="R13" s="647">
        <v>0</v>
      </c>
      <c r="S13" s="647">
        <v>0</v>
      </c>
      <c r="T13" s="647">
        <v>0</v>
      </c>
      <c r="U13" s="647">
        <v>0</v>
      </c>
      <c r="V13" s="647">
        <v>0</v>
      </c>
      <c r="W13" s="606">
        <v>80</v>
      </c>
      <c r="X13" s="608">
        <v>0.2</v>
      </c>
      <c r="Y13" s="758">
        <v>3.1536000000000002E-2</v>
      </c>
      <c r="Z13" s="628"/>
      <c r="AA13" s="808">
        <v>0.41666666666666663</v>
      </c>
      <c r="AB13" s="808"/>
      <c r="AC13" s="808"/>
      <c r="AD13" s="808"/>
      <c r="AE13" s="647">
        <v>0</v>
      </c>
      <c r="AF13" s="647">
        <v>5</v>
      </c>
      <c r="AI13" s="606">
        <v>0.81</v>
      </c>
      <c r="AP13" s="606" t="s">
        <v>1667</v>
      </c>
    </row>
    <row r="14" spans="2:46">
      <c r="B14" s="606" t="s">
        <v>1864</v>
      </c>
      <c r="C14" s="606" t="s">
        <v>1782</v>
      </c>
      <c r="D14" s="606" t="s">
        <v>1784</v>
      </c>
      <c r="E14" s="606" t="s">
        <v>1651</v>
      </c>
      <c r="F14" s="606" t="s">
        <v>1684</v>
      </c>
      <c r="G14" s="628">
        <f>AI14</f>
        <v>0.8</v>
      </c>
      <c r="H14" s="647">
        <f t="shared" si="4"/>
        <v>0</v>
      </c>
      <c r="I14" s="647">
        <v>0</v>
      </c>
      <c r="J14" s="647">
        <v>0</v>
      </c>
      <c r="K14" s="647">
        <v>0</v>
      </c>
      <c r="L14" s="647">
        <v>0</v>
      </c>
      <c r="M14" s="647">
        <f t="shared" si="1"/>
        <v>0</v>
      </c>
      <c r="N14" s="647">
        <v>0</v>
      </c>
      <c r="O14" s="647">
        <v>0</v>
      </c>
      <c r="P14" s="647">
        <v>0</v>
      </c>
      <c r="Q14" s="647">
        <v>0</v>
      </c>
      <c r="R14" s="647">
        <v>0</v>
      </c>
      <c r="S14" s="647">
        <v>0</v>
      </c>
      <c r="T14" s="647">
        <v>0</v>
      </c>
      <c r="U14" s="647">
        <v>0</v>
      </c>
      <c r="V14" s="647">
        <v>0</v>
      </c>
      <c r="W14" s="606">
        <v>80</v>
      </c>
      <c r="X14" s="608">
        <v>0.2</v>
      </c>
      <c r="Y14" s="758">
        <v>3.1536000000000002E-2</v>
      </c>
      <c r="Z14" s="628"/>
      <c r="AA14" s="808">
        <v>0.41666666666666663</v>
      </c>
      <c r="AB14" s="808"/>
      <c r="AE14" s="647">
        <v>0</v>
      </c>
      <c r="AF14" s="647">
        <v>5</v>
      </c>
      <c r="AI14" s="606">
        <v>0.8</v>
      </c>
    </row>
    <row r="15" spans="2:46">
      <c r="G15" s="628"/>
      <c r="H15" s="647"/>
      <c r="I15" s="647"/>
      <c r="J15" s="647"/>
      <c r="K15" s="647"/>
      <c r="L15" s="647"/>
      <c r="M15" s="647"/>
      <c r="N15" s="647"/>
      <c r="O15" s="647"/>
      <c r="P15" s="647"/>
      <c r="Q15" s="647"/>
      <c r="R15" s="647"/>
      <c r="S15" s="647"/>
      <c r="T15" s="647"/>
      <c r="U15" s="647"/>
      <c r="V15" s="647"/>
      <c r="X15" s="608"/>
      <c r="Y15" s="758"/>
      <c r="Z15" s="628"/>
      <c r="AA15" s="808"/>
      <c r="AB15" s="808"/>
      <c r="AE15" s="647"/>
      <c r="AF15" s="647"/>
    </row>
    <row r="16" spans="2:46">
      <c r="AE16" s="647"/>
      <c r="AF16" s="64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rgb="FF92D050"/>
  </sheetPr>
  <dimension ref="A1:DO2071"/>
  <sheetViews>
    <sheetView tabSelected="1" zoomScale="70" zoomScaleNormal="70" workbookViewId="0">
      <pane xSplit="2" ySplit="6" topLeftCell="AL38" activePane="bottomRight" state="frozen"/>
      <selection pane="topRight" activeCell="C1" sqref="C1"/>
      <selection pane="bottomLeft" activeCell="A6" sqref="A6"/>
      <selection pane="bottomRight" activeCell="AX72" sqref="AX72"/>
    </sheetView>
  </sheetViews>
  <sheetFormatPr defaultColWidth="8.44140625" defaultRowHeight="13.2"/>
  <cols>
    <col min="1" max="1" width="3.44140625" style="484" customWidth="1"/>
    <col min="2" max="2" width="14.21875" style="484" customWidth="1"/>
    <col min="3" max="3" width="42.44140625" style="484" customWidth="1"/>
    <col min="4" max="4" width="37.21875" style="484" bestFit="1" customWidth="1"/>
    <col min="5" max="5" width="22.44140625" style="482" customWidth="1"/>
    <col min="6" max="6" width="13" style="485" customWidth="1"/>
    <col min="7" max="47" width="13" style="484" customWidth="1"/>
    <col min="48" max="48" width="10" style="484" bestFit="1" customWidth="1"/>
    <col min="49" max="55" width="12" style="484" customWidth="1"/>
    <col min="56" max="69" width="12" style="602" customWidth="1"/>
    <col min="70" max="84" width="8.44140625" style="602"/>
    <col min="85" max="85" width="8.44140625" style="484"/>
    <col min="86" max="86" width="8.44140625" style="484" customWidth="1"/>
    <col min="87" max="16384" width="8.44140625" style="484"/>
  </cols>
  <sheetData>
    <row r="1" spans="2:110">
      <c r="E1" s="5"/>
      <c r="F1" s="5"/>
      <c r="G1" s="485"/>
      <c r="H1" s="485"/>
      <c r="AU1" s="484" t="s">
        <v>1632</v>
      </c>
      <c r="AW1" s="600">
        <v>2989.6312499999999</v>
      </c>
      <c r="AX1" s="600">
        <v>2817.7530000000002</v>
      </c>
      <c r="AY1" s="600">
        <v>3164.2807499999999</v>
      </c>
      <c r="AZ1" s="600">
        <v>3002.0002500000001</v>
      </c>
      <c r="BA1" s="600">
        <v>2982.7717499999999</v>
      </c>
      <c r="BB1" s="601">
        <v>3164.2807499999999</v>
      </c>
      <c r="BC1" s="599">
        <v>5</v>
      </c>
      <c r="BD1" s="603"/>
      <c r="BE1" s="603"/>
      <c r="BF1" s="603"/>
      <c r="BG1" s="603"/>
      <c r="BH1" s="603"/>
      <c r="BI1" s="603"/>
      <c r="BJ1" s="603"/>
      <c r="BK1" s="603"/>
      <c r="BL1" s="603"/>
      <c r="BM1" s="603"/>
      <c r="BN1" s="603"/>
      <c r="BO1" s="603"/>
      <c r="BP1" s="603"/>
      <c r="BQ1" s="603"/>
      <c r="BR1" s="603"/>
      <c r="BS1" s="603"/>
      <c r="BT1" s="603"/>
      <c r="BU1" s="603"/>
      <c r="BV1" s="603"/>
      <c r="BW1" s="603"/>
      <c r="BX1" s="603"/>
      <c r="BY1" s="603"/>
      <c r="BZ1" s="603"/>
      <c r="CA1" s="603"/>
      <c r="CB1" s="603"/>
      <c r="CC1" s="603"/>
      <c r="CD1" s="603"/>
      <c r="CE1" s="603"/>
      <c r="CF1" s="603"/>
    </row>
    <row r="2" spans="2:110">
      <c r="D2" s="5"/>
      <c r="E2" s="2"/>
      <c r="F2" s="2"/>
      <c r="G2" s="485"/>
      <c r="H2" s="485"/>
      <c r="AU2" s="602" t="s">
        <v>1633</v>
      </c>
      <c r="AW2" s="600">
        <v>2861.8199999999997</v>
      </c>
      <c r="AX2" s="600">
        <v>2759.5574999999999</v>
      </c>
      <c r="AY2" s="600">
        <v>2443.7842500000002</v>
      </c>
      <c r="AZ2" s="600">
        <v>2352.4994999999999</v>
      </c>
      <c r="BA2" s="600">
        <v>2416.2464999999997</v>
      </c>
      <c r="BB2" s="601">
        <v>2861.8199999999997</v>
      </c>
      <c r="BC2" s="599">
        <v>5</v>
      </c>
      <c r="BD2" s="603"/>
      <c r="BE2" s="603"/>
      <c r="BF2" s="603"/>
      <c r="BG2" s="603"/>
      <c r="BH2" s="603"/>
      <c r="BI2" s="603"/>
      <c r="BJ2" s="603"/>
      <c r="BK2" s="603"/>
      <c r="BL2" s="603"/>
      <c r="BM2" s="603"/>
      <c r="BN2" s="603"/>
      <c r="BO2" s="603"/>
      <c r="BP2" s="603"/>
      <c r="BQ2" s="603"/>
      <c r="BR2" s="603"/>
      <c r="BS2" s="603"/>
      <c r="BT2" s="603"/>
      <c r="BU2" s="603"/>
      <c r="BV2" s="603"/>
      <c r="BW2" s="603"/>
      <c r="BX2" s="603"/>
      <c r="BY2" s="603"/>
      <c r="BZ2" s="603"/>
      <c r="CA2" s="603"/>
      <c r="CB2" s="603"/>
      <c r="CC2" s="603"/>
      <c r="CD2" s="603"/>
      <c r="CE2" s="603"/>
      <c r="CF2" s="603"/>
    </row>
    <row r="3" spans="2:110" s="602" customFormat="1">
      <c r="D3" s="5"/>
      <c r="E3" s="2"/>
      <c r="F3" s="2"/>
      <c r="G3" s="485"/>
      <c r="H3" s="485"/>
      <c r="AW3" s="604"/>
      <c r="AX3" s="604"/>
      <c r="AY3" s="604"/>
      <c r="AZ3" s="604"/>
      <c r="BA3" s="604"/>
      <c r="BB3" s="605"/>
      <c r="BC3" s="603"/>
      <c r="BD3" s="603"/>
      <c r="BE3" s="603"/>
      <c r="BF3" s="603"/>
      <c r="BG3" s="603"/>
      <c r="BH3" s="603"/>
      <c r="BI3" s="603"/>
      <c r="BJ3" s="603"/>
      <c r="BK3" s="603"/>
      <c r="BL3" s="603"/>
      <c r="BM3" s="603"/>
      <c r="BN3" s="603"/>
      <c r="BO3" s="603"/>
      <c r="BP3" s="603"/>
      <c r="BQ3" s="603"/>
      <c r="BR3" s="603"/>
      <c r="BS3" s="603"/>
      <c r="BT3" s="603"/>
      <c r="BU3" s="603"/>
      <c r="BV3" s="603"/>
      <c r="BW3" s="603"/>
      <c r="BX3" s="603"/>
      <c r="BY3" s="603"/>
      <c r="BZ3" s="603"/>
      <c r="CA3" s="603"/>
      <c r="CB3" s="603"/>
      <c r="CC3" s="603"/>
      <c r="CD3" s="603"/>
      <c r="CE3" s="603"/>
      <c r="CF3" s="603"/>
    </row>
    <row r="4" spans="2:110">
      <c r="F4" s="101" t="s">
        <v>204</v>
      </c>
      <c r="G4" s="485"/>
      <c r="H4" s="485"/>
    </row>
    <row r="5" spans="2:110" ht="27.6">
      <c r="B5" s="11" t="s">
        <v>1</v>
      </c>
      <c r="C5" s="11" t="s">
        <v>21</v>
      </c>
      <c r="D5" s="11" t="s">
        <v>81</v>
      </c>
      <c r="E5" s="11" t="s">
        <v>13</v>
      </c>
      <c r="F5" s="11" t="s">
        <v>205</v>
      </c>
      <c r="G5" s="539" t="s">
        <v>63</v>
      </c>
      <c r="H5" s="79" t="s">
        <v>306</v>
      </c>
      <c r="I5" s="79" t="s">
        <v>198</v>
      </c>
      <c r="J5" s="79" t="s">
        <v>199</v>
      </c>
      <c r="K5" s="539" t="s">
        <v>200</v>
      </c>
      <c r="L5" s="539" t="s">
        <v>794</v>
      </c>
      <c r="M5" s="539" t="s">
        <v>795</v>
      </c>
      <c r="N5" s="539" t="s">
        <v>796</v>
      </c>
      <c r="O5" s="539" t="s">
        <v>797</v>
      </c>
      <c r="P5" s="539" t="s">
        <v>798</v>
      </c>
      <c r="Q5" s="539" t="s">
        <v>64</v>
      </c>
      <c r="R5" s="539" t="s">
        <v>799</v>
      </c>
      <c r="S5" s="539" t="s">
        <v>800</v>
      </c>
      <c r="T5" s="539" t="s">
        <v>801</v>
      </c>
      <c r="U5" s="539" t="s">
        <v>802</v>
      </c>
      <c r="V5" s="539" t="s">
        <v>803</v>
      </c>
      <c r="W5" s="539" t="s">
        <v>804</v>
      </c>
      <c r="X5" s="539" t="s">
        <v>805</v>
      </c>
      <c r="Y5" s="539" t="s">
        <v>806</v>
      </c>
      <c r="Z5" s="539" t="s">
        <v>807</v>
      </c>
      <c r="AA5" s="539" t="s">
        <v>67</v>
      </c>
      <c r="AB5" s="539" t="s">
        <v>808</v>
      </c>
      <c r="AC5" s="539" t="s">
        <v>809</v>
      </c>
      <c r="AD5" s="539" t="s">
        <v>810</v>
      </c>
      <c r="AE5" s="539" t="s">
        <v>811</v>
      </c>
      <c r="AF5" s="539" t="s">
        <v>812</v>
      </c>
      <c r="AG5" s="539" t="s">
        <v>813</v>
      </c>
      <c r="AH5" s="539" t="s">
        <v>814</v>
      </c>
      <c r="AI5" s="539" t="s">
        <v>815</v>
      </c>
      <c r="AJ5" s="539" t="s">
        <v>816</v>
      </c>
      <c r="AK5" s="539" t="s">
        <v>66</v>
      </c>
      <c r="AL5" s="539" t="s">
        <v>817</v>
      </c>
      <c r="AM5" s="539" t="s">
        <v>818</v>
      </c>
      <c r="AN5" s="539" t="s">
        <v>819</v>
      </c>
      <c r="AO5" s="539" t="s">
        <v>820</v>
      </c>
      <c r="AP5" s="539" t="s">
        <v>821</v>
      </c>
      <c r="AQ5" s="539" t="s">
        <v>822</v>
      </c>
      <c r="AR5" s="539" t="s">
        <v>823</v>
      </c>
      <c r="AS5" s="539" t="s">
        <v>824</v>
      </c>
      <c r="AT5" s="539" t="s">
        <v>825</v>
      </c>
      <c r="AU5" s="539" t="s">
        <v>65</v>
      </c>
      <c r="AV5" s="593" t="s">
        <v>744</v>
      </c>
      <c r="AW5" s="594" t="s">
        <v>1881</v>
      </c>
      <c r="AX5" s="594" t="s">
        <v>1882</v>
      </c>
      <c r="AY5" s="594" t="s">
        <v>1883</v>
      </c>
      <c r="AZ5" s="594" t="s">
        <v>1884</v>
      </c>
      <c r="BA5" s="594" t="s">
        <v>1877</v>
      </c>
      <c r="BB5" s="594" t="s">
        <v>1878</v>
      </c>
      <c r="BC5" s="594" t="s">
        <v>1879</v>
      </c>
      <c r="BD5" s="594" t="s">
        <v>1880</v>
      </c>
      <c r="BE5" s="594" t="s">
        <v>1873</v>
      </c>
      <c r="BF5" s="594" t="s">
        <v>1874</v>
      </c>
      <c r="BG5" s="594" t="s">
        <v>1875</v>
      </c>
      <c r="BH5" s="594" t="s">
        <v>1876</v>
      </c>
      <c r="BI5" s="594" t="s">
        <v>2196</v>
      </c>
      <c r="BJ5" s="594" t="s">
        <v>2197</v>
      </c>
      <c r="BK5" s="594" t="s">
        <v>2198</v>
      </c>
      <c r="BL5" s="594" t="s">
        <v>2199</v>
      </c>
      <c r="BM5" s="594" t="s">
        <v>2200</v>
      </c>
      <c r="BN5" s="594" t="s">
        <v>2201</v>
      </c>
      <c r="BO5" s="594" t="s">
        <v>2202</v>
      </c>
      <c r="BP5" s="594" t="s">
        <v>2203</v>
      </c>
      <c r="BQ5" s="1136"/>
      <c r="BR5" s="1166"/>
      <c r="BS5" s="1166"/>
      <c r="BT5" s="1166"/>
      <c r="BU5" s="1166"/>
      <c r="BV5" s="1166"/>
      <c r="BW5" s="1166"/>
      <c r="BX5" s="1166"/>
      <c r="BY5" s="1166"/>
      <c r="BZ5" s="1166"/>
      <c r="CA5" s="1166"/>
      <c r="CB5" s="1166"/>
      <c r="CC5" s="1166"/>
      <c r="CD5" s="1166"/>
      <c r="CE5" s="1166"/>
      <c r="CF5" s="1166"/>
      <c r="CG5" s="1166"/>
      <c r="CH5" s="1166"/>
      <c r="CI5" s="1166"/>
      <c r="CJ5" s="1166"/>
      <c r="CK5" s="1166"/>
      <c r="CL5" s="1166"/>
      <c r="CM5" s="1166"/>
      <c r="CN5" s="1166"/>
      <c r="CO5" s="1166"/>
      <c r="CP5" s="1166"/>
      <c r="CQ5" s="1166"/>
      <c r="CR5" s="1166"/>
      <c r="CS5" s="1166"/>
      <c r="CT5" s="1166"/>
      <c r="CU5" s="1166"/>
      <c r="CV5" s="1166"/>
      <c r="CW5" s="1166"/>
      <c r="CX5" s="1166"/>
      <c r="CY5" s="1166"/>
      <c r="CZ5" s="1166"/>
      <c r="DA5" s="1166"/>
      <c r="DB5" s="1166"/>
      <c r="DC5" s="1166"/>
      <c r="DD5" s="1166"/>
      <c r="DE5" s="1166"/>
      <c r="DF5" s="1166"/>
    </row>
    <row r="6" spans="2:110" ht="13.8" thickBot="1">
      <c r="B6" s="12" t="s">
        <v>22</v>
      </c>
      <c r="C6" s="214"/>
      <c r="D6" s="214"/>
      <c r="E6" s="214"/>
      <c r="F6" s="214" t="s">
        <v>207</v>
      </c>
      <c r="G6" s="215">
        <v>2010</v>
      </c>
      <c r="H6" s="215">
        <v>2011</v>
      </c>
      <c r="I6" s="215">
        <v>2012</v>
      </c>
      <c r="J6" s="215">
        <v>2013</v>
      </c>
      <c r="K6" s="215">
        <v>2014</v>
      </c>
      <c r="L6" s="215">
        <v>2015</v>
      </c>
      <c r="M6" s="215">
        <v>2016</v>
      </c>
      <c r="N6" s="215">
        <v>2017</v>
      </c>
      <c r="O6" s="215">
        <v>2018</v>
      </c>
      <c r="P6" s="215">
        <v>2019</v>
      </c>
      <c r="Q6" s="215">
        <v>2020</v>
      </c>
      <c r="R6" s="215">
        <v>2021</v>
      </c>
      <c r="S6" s="215">
        <v>2022</v>
      </c>
      <c r="T6" s="215">
        <v>2023</v>
      </c>
      <c r="U6" s="215">
        <v>2024</v>
      </c>
      <c r="V6" s="215">
        <v>2025</v>
      </c>
      <c r="W6" s="215">
        <v>2026</v>
      </c>
      <c r="X6" s="215">
        <v>2027</v>
      </c>
      <c r="Y6" s="215">
        <v>2028</v>
      </c>
      <c r="Z6" s="215">
        <v>2029</v>
      </c>
      <c r="AA6" s="215">
        <v>2030</v>
      </c>
      <c r="AB6" s="215">
        <v>2031</v>
      </c>
      <c r="AC6" s="215">
        <v>2032</v>
      </c>
      <c r="AD6" s="215">
        <v>2033</v>
      </c>
      <c r="AE6" s="215">
        <v>2034</v>
      </c>
      <c r="AF6" s="215">
        <v>2035</v>
      </c>
      <c r="AG6" s="215">
        <v>2036</v>
      </c>
      <c r="AH6" s="215">
        <v>2037</v>
      </c>
      <c r="AI6" s="215">
        <v>2038</v>
      </c>
      <c r="AJ6" s="215">
        <v>2039</v>
      </c>
      <c r="AK6" s="215">
        <v>2040</v>
      </c>
      <c r="AL6" s="215">
        <v>2041</v>
      </c>
      <c r="AM6" s="215">
        <v>2042</v>
      </c>
      <c r="AN6" s="215">
        <v>2043</v>
      </c>
      <c r="AO6" s="215">
        <v>2044</v>
      </c>
      <c r="AP6" s="215">
        <v>2045</v>
      </c>
      <c r="AQ6" s="215">
        <v>2046</v>
      </c>
      <c r="AR6" s="215">
        <v>2047</v>
      </c>
      <c r="AS6" s="215">
        <v>2048</v>
      </c>
      <c r="AT6" s="215">
        <v>2049</v>
      </c>
      <c r="AU6" s="215">
        <v>2050</v>
      </c>
      <c r="AV6" s="541"/>
      <c r="AW6" s="595" t="s">
        <v>62</v>
      </c>
      <c r="AX6" s="595" t="s">
        <v>62</v>
      </c>
      <c r="AY6" s="595" t="s">
        <v>62</v>
      </c>
      <c r="AZ6" s="595" t="s">
        <v>257</v>
      </c>
      <c r="BA6" s="595" t="s">
        <v>62</v>
      </c>
      <c r="BB6" s="595" t="s">
        <v>62</v>
      </c>
      <c r="BC6" s="595" t="s">
        <v>62</v>
      </c>
      <c r="BD6" s="595" t="s">
        <v>257</v>
      </c>
      <c r="BE6" s="595" t="s">
        <v>62</v>
      </c>
      <c r="BF6" s="595" t="s">
        <v>62</v>
      </c>
      <c r="BG6" s="595" t="s">
        <v>62</v>
      </c>
      <c r="BH6" s="595" t="s">
        <v>257</v>
      </c>
      <c r="BI6" s="595" t="s">
        <v>62</v>
      </c>
      <c r="BJ6" s="595" t="s">
        <v>62</v>
      </c>
      <c r="BK6" s="595" t="s">
        <v>62</v>
      </c>
      <c r="BL6" s="595" t="s">
        <v>257</v>
      </c>
      <c r="BM6" s="595" t="s">
        <v>62</v>
      </c>
      <c r="BN6" s="595" t="s">
        <v>62</v>
      </c>
      <c r="BO6" s="595" t="s">
        <v>62</v>
      </c>
      <c r="BP6" s="595" t="s">
        <v>257</v>
      </c>
      <c r="BQ6" s="1137"/>
      <c r="BR6" s="1167"/>
      <c r="BS6" s="1167"/>
      <c r="BT6" s="1167"/>
      <c r="BU6" s="1167"/>
      <c r="BV6" s="1167"/>
      <c r="BW6" s="1167"/>
      <c r="BX6" s="1167"/>
      <c r="BY6" s="1167"/>
      <c r="BZ6" s="1167"/>
      <c r="CA6" s="1167"/>
      <c r="CB6" s="1167"/>
      <c r="CC6" s="1167"/>
      <c r="CD6" s="1167"/>
      <c r="CE6" s="1167"/>
      <c r="CF6" s="3"/>
      <c r="CG6" s="3"/>
      <c r="CH6" s="3"/>
      <c r="CI6" s="3"/>
      <c r="CJ6" s="3"/>
      <c r="CK6" s="3"/>
      <c r="CL6" s="3"/>
      <c r="CM6" s="3"/>
      <c r="CN6" s="3"/>
      <c r="CO6" s="3"/>
      <c r="CP6" s="3"/>
      <c r="CQ6" s="3"/>
      <c r="CR6" s="3"/>
      <c r="CS6" s="3"/>
      <c r="CT6" s="3"/>
      <c r="CU6" s="3"/>
      <c r="CV6" s="3"/>
      <c r="CW6" s="3"/>
      <c r="CX6" s="3"/>
      <c r="CY6" s="3"/>
      <c r="CZ6" s="3"/>
      <c r="DA6" s="3"/>
      <c r="DB6" s="3"/>
      <c r="DC6" s="3"/>
      <c r="DD6" s="3"/>
      <c r="DE6" s="3"/>
      <c r="DF6" s="3"/>
    </row>
    <row r="7" spans="2:110" ht="14.4">
      <c r="B7" s="8" t="str">
        <f>Processes!D6</f>
        <v>IMPPEA</v>
      </c>
      <c r="C7" s="8" t="str">
        <f>Processes!E6</f>
        <v>Import technology - Peat</v>
      </c>
      <c r="D7" s="216"/>
      <c r="E7" s="216" t="str">
        <f>IF(LEN(B7)=6,RIGHT(B7,3),RIGHT(B7,4))</f>
        <v>PEA</v>
      </c>
      <c r="F7" s="540" t="s">
        <v>1579</v>
      </c>
      <c r="G7" s="483">
        <f t="shared" ref="G7:P16" si="0">IFERROR(INDEX($G$122:$AU$177,MATCH($E7,$E$122:$E$177,0),MATCH(G$6,$G$121:$AU$121,0)),0)</f>
        <v>46</v>
      </c>
      <c r="H7" s="483">
        <f t="shared" si="0"/>
        <v>46</v>
      </c>
      <c r="I7" s="483">
        <f t="shared" si="0"/>
        <v>46</v>
      </c>
      <c r="J7" s="483">
        <f t="shared" si="0"/>
        <v>45.7</v>
      </c>
      <c r="K7" s="483">
        <f t="shared" si="0"/>
        <v>45.3</v>
      </c>
      <c r="L7" s="483">
        <f t="shared" si="0"/>
        <v>44.9</v>
      </c>
      <c r="M7" s="483">
        <f t="shared" si="0"/>
        <v>45.4</v>
      </c>
      <c r="N7" s="483">
        <f t="shared" si="0"/>
        <v>45.9</v>
      </c>
      <c r="O7" s="483">
        <f t="shared" si="0"/>
        <v>45.179472202489855</v>
      </c>
      <c r="P7" s="483">
        <f t="shared" si="0"/>
        <v>45.117600562980392</v>
      </c>
      <c r="Q7" s="483">
        <f t="shared" ref="Q7:Z16" si="1">IFERROR(INDEX($G$122:$AU$177,MATCH($E7,$E$122:$E$177,0),MATCH(Q$6,$G$121:$AU$121,0)),0)</f>
        <v>45.248389703133633</v>
      </c>
      <c r="R7" s="483">
        <f t="shared" si="1"/>
        <v>45.190250127598674</v>
      </c>
      <c r="S7" s="483">
        <f t="shared" si="1"/>
        <v>45.392121473736516</v>
      </c>
      <c r="T7" s="483">
        <f t="shared" si="1"/>
        <v>45.644433925671841</v>
      </c>
      <c r="U7" s="483">
        <f t="shared" si="1"/>
        <v>45.923015098100862</v>
      </c>
      <c r="V7" s="483">
        <f t="shared" si="1"/>
        <v>46.207001444406053</v>
      </c>
      <c r="W7" s="483">
        <f t="shared" si="1"/>
        <v>46.419730980267232</v>
      </c>
      <c r="X7" s="483">
        <f t="shared" si="1"/>
        <v>46.631059323825987</v>
      </c>
      <c r="Y7" s="483">
        <f t="shared" si="1"/>
        <v>46.839924523073165</v>
      </c>
      <c r="Z7" s="483">
        <f t="shared" si="1"/>
        <v>47.054043906757286</v>
      </c>
      <c r="AA7" s="483">
        <f t="shared" ref="AA7:AJ16" si="2">IFERROR(INDEX($G$122:$AU$177,MATCH($E7,$E$122:$E$177,0),MATCH(AA$6,$G$121:$AU$121,0)),0)</f>
        <v>47.263106384197172</v>
      </c>
      <c r="AB7" s="483">
        <f t="shared" si="2"/>
        <v>47.363169268373781</v>
      </c>
      <c r="AC7" s="483">
        <f t="shared" si="2"/>
        <v>47.463048827686151</v>
      </c>
      <c r="AD7" s="483">
        <f t="shared" si="2"/>
        <v>47.562746231205452</v>
      </c>
      <c r="AE7" s="483">
        <f t="shared" si="2"/>
        <v>47.662262629564232</v>
      </c>
      <c r="AF7" s="483">
        <f t="shared" si="2"/>
        <v>47.761599155151828</v>
      </c>
      <c r="AG7" s="483">
        <f t="shared" si="2"/>
        <v>47.861557709026719</v>
      </c>
      <c r="AH7" s="483">
        <f t="shared" si="2"/>
        <v>47.961224086497161</v>
      </c>
      <c r="AI7" s="483">
        <f t="shared" si="2"/>
        <v>48.06060022028862</v>
      </c>
      <c r="AJ7" s="483">
        <f t="shared" si="2"/>
        <v>48.159688016832391</v>
      </c>
      <c r="AK7" s="483">
        <f t="shared" ref="AK7:AU16" si="3">IFERROR(INDEX($G$122:$AU$177,MATCH($E7,$E$122:$E$177,0),MATCH(AK$6,$G$121:$AU$121,0)),0)</f>
        <v>48.258489356547372</v>
      </c>
      <c r="AL7" s="483">
        <f t="shared" si="3"/>
        <v>48.37762671431922</v>
      </c>
      <c r="AM7" s="483">
        <f t="shared" si="3"/>
        <v>48.496315696545963</v>
      </c>
      <c r="AN7" s="483">
        <f t="shared" si="3"/>
        <v>48.614559135690349</v>
      </c>
      <c r="AO7" s="483">
        <f t="shared" si="3"/>
        <v>48.73235982855357</v>
      </c>
      <c r="AP7" s="483">
        <f t="shared" si="3"/>
        <v>48.849720536660548</v>
      </c>
      <c r="AQ7" s="483">
        <f t="shared" si="3"/>
        <v>49.024574818868821</v>
      </c>
      <c r="AR7" s="483">
        <f t="shared" si="3"/>
        <v>49.198719487894593</v>
      </c>
      <c r="AS7" s="483">
        <f t="shared" si="3"/>
        <v>49.372158440659689</v>
      </c>
      <c r="AT7" s="483">
        <f t="shared" si="3"/>
        <v>49.544895527221009</v>
      </c>
      <c r="AU7" s="483">
        <f t="shared" si="3"/>
        <v>49.716934551280723</v>
      </c>
      <c r="AV7" s="484">
        <v>5</v>
      </c>
      <c r="AW7" s="483"/>
      <c r="AX7" s="602"/>
      <c r="AY7" s="602"/>
      <c r="AZ7" s="602"/>
      <c r="BA7" s="602"/>
      <c r="BB7" s="602"/>
      <c r="BC7" s="602"/>
      <c r="BD7" s="603"/>
      <c r="BE7" s="603"/>
      <c r="BF7" s="603"/>
      <c r="BH7" s="603"/>
      <c r="BI7" s="603"/>
      <c r="BJ7" s="603"/>
      <c r="BL7" s="603"/>
      <c r="BM7" s="603"/>
      <c r="BN7" s="603"/>
      <c r="BP7" s="603"/>
      <c r="BQ7" s="603"/>
      <c r="BR7" s="603"/>
      <c r="BS7" s="603"/>
      <c r="BT7" s="603"/>
      <c r="BU7" s="603"/>
      <c r="BV7" s="603"/>
      <c r="BW7" s="603"/>
      <c r="BX7" s="603"/>
      <c r="BY7" s="603"/>
      <c r="BZ7" s="603"/>
      <c r="CA7" s="603"/>
      <c r="CB7" s="603"/>
      <c r="CC7" s="603"/>
      <c r="CD7" s="603"/>
      <c r="CE7" s="603"/>
      <c r="CF7" s="603"/>
      <c r="CG7" s="518"/>
      <c r="CH7" s="518"/>
    </row>
    <row r="8" spans="2:110" ht="14.4">
      <c r="B8" s="8" t="str">
        <f>Processes!D7</f>
        <v>IMPIWH</v>
      </c>
      <c r="C8" s="8" t="str">
        <f>Processes!E7</f>
        <v xml:space="preserve">Import technology - Industrial waste heat </v>
      </c>
      <c r="D8" s="216"/>
      <c r="E8" s="216" t="str">
        <f t="shared" ref="E8:E53" si="4">IF(LEN(B8)=6,RIGHT(B8,3),RIGHT(B8,4))</f>
        <v>IWH</v>
      </c>
      <c r="F8" s="540" t="s">
        <v>1579</v>
      </c>
      <c r="G8" s="483">
        <f t="shared" si="0"/>
        <v>0</v>
      </c>
      <c r="H8" s="483">
        <f t="shared" si="0"/>
        <v>0</v>
      </c>
      <c r="I8" s="483">
        <f t="shared" si="0"/>
        <v>0</v>
      </c>
      <c r="J8" s="483">
        <f t="shared" si="0"/>
        <v>0</v>
      </c>
      <c r="K8" s="483">
        <f t="shared" si="0"/>
        <v>0</v>
      </c>
      <c r="L8" s="483">
        <f t="shared" si="0"/>
        <v>0</v>
      </c>
      <c r="M8" s="483">
        <f t="shared" si="0"/>
        <v>0</v>
      </c>
      <c r="N8" s="483">
        <f t="shared" si="0"/>
        <v>0</v>
      </c>
      <c r="O8" s="483">
        <f t="shared" si="0"/>
        <v>0</v>
      </c>
      <c r="P8" s="483">
        <f t="shared" si="0"/>
        <v>0</v>
      </c>
      <c r="Q8" s="483">
        <f t="shared" si="1"/>
        <v>0</v>
      </c>
      <c r="R8" s="483">
        <f t="shared" si="1"/>
        <v>0</v>
      </c>
      <c r="S8" s="483">
        <f t="shared" si="1"/>
        <v>0</v>
      </c>
      <c r="T8" s="483">
        <f t="shared" si="1"/>
        <v>0</v>
      </c>
      <c r="U8" s="483">
        <f t="shared" si="1"/>
        <v>0</v>
      </c>
      <c r="V8" s="483">
        <f t="shared" si="1"/>
        <v>0</v>
      </c>
      <c r="W8" s="483">
        <f t="shared" si="1"/>
        <v>0</v>
      </c>
      <c r="X8" s="483">
        <f t="shared" si="1"/>
        <v>0</v>
      </c>
      <c r="Y8" s="483">
        <f t="shared" si="1"/>
        <v>0</v>
      </c>
      <c r="Z8" s="483">
        <f t="shared" si="1"/>
        <v>0</v>
      </c>
      <c r="AA8" s="483">
        <f t="shared" si="2"/>
        <v>0</v>
      </c>
      <c r="AB8" s="483">
        <f t="shared" si="2"/>
        <v>0</v>
      </c>
      <c r="AC8" s="483">
        <f t="shared" si="2"/>
        <v>0</v>
      </c>
      <c r="AD8" s="483">
        <f t="shared" si="2"/>
        <v>0</v>
      </c>
      <c r="AE8" s="483">
        <f t="shared" si="2"/>
        <v>0</v>
      </c>
      <c r="AF8" s="483">
        <f t="shared" si="2"/>
        <v>0</v>
      </c>
      <c r="AG8" s="483">
        <f t="shared" si="2"/>
        <v>0</v>
      </c>
      <c r="AH8" s="483">
        <f t="shared" si="2"/>
        <v>0</v>
      </c>
      <c r="AI8" s="483">
        <f t="shared" si="2"/>
        <v>0</v>
      </c>
      <c r="AJ8" s="483">
        <f t="shared" si="2"/>
        <v>0</v>
      </c>
      <c r="AK8" s="483">
        <f t="shared" si="3"/>
        <v>0</v>
      </c>
      <c r="AL8" s="483">
        <f t="shared" si="3"/>
        <v>0</v>
      </c>
      <c r="AM8" s="483">
        <f t="shared" si="3"/>
        <v>0</v>
      </c>
      <c r="AN8" s="483">
        <f t="shared" si="3"/>
        <v>0</v>
      </c>
      <c r="AO8" s="483">
        <f t="shared" si="3"/>
        <v>0</v>
      </c>
      <c r="AP8" s="483">
        <f t="shared" si="3"/>
        <v>0</v>
      </c>
      <c r="AQ8" s="483">
        <f t="shared" si="3"/>
        <v>0</v>
      </c>
      <c r="AR8" s="483">
        <f t="shared" si="3"/>
        <v>0</v>
      </c>
      <c r="AS8" s="483">
        <f t="shared" si="3"/>
        <v>0</v>
      </c>
      <c r="AT8" s="483">
        <f t="shared" si="3"/>
        <v>0</v>
      </c>
      <c r="AU8" s="483">
        <f t="shared" si="3"/>
        <v>0</v>
      </c>
      <c r="AV8" s="484">
        <v>5</v>
      </c>
      <c r="AX8" s="602"/>
      <c r="AY8" s="602"/>
      <c r="AZ8" s="602"/>
      <c r="BA8" s="602"/>
      <c r="BB8" s="602"/>
      <c r="BC8" s="518"/>
      <c r="BD8" s="603"/>
      <c r="BE8" s="603"/>
      <c r="BF8" s="603"/>
      <c r="BG8" s="603"/>
      <c r="BH8" s="603"/>
      <c r="BI8" s="603"/>
      <c r="BJ8" s="603"/>
      <c r="BK8" s="603"/>
      <c r="BL8" s="603"/>
      <c r="BM8" s="603"/>
      <c r="BN8" s="603"/>
      <c r="BO8" s="603"/>
      <c r="BP8" s="603"/>
      <c r="BQ8" s="603"/>
      <c r="BR8" s="603"/>
      <c r="BS8" s="603"/>
      <c r="BT8" s="603"/>
      <c r="BU8" s="603"/>
      <c r="BV8" s="603"/>
      <c r="BW8" s="603"/>
      <c r="BX8" s="603"/>
      <c r="BY8" s="603"/>
      <c r="BZ8" s="603"/>
      <c r="CA8" s="603"/>
      <c r="CB8" s="603"/>
      <c r="CC8" s="603"/>
      <c r="CD8" s="603"/>
      <c r="CE8" s="603"/>
      <c r="CF8" s="603"/>
      <c r="CG8" s="518"/>
      <c r="CH8" s="518"/>
    </row>
    <row r="9" spans="2:110" ht="14.4">
      <c r="B9" s="8" t="str">
        <f>Processes!D8</f>
        <v>IMPBFG</v>
      </c>
      <c r="C9" s="8" t="str">
        <f>Processes!E8</f>
        <v>Import technology - Blast furnace gas</v>
      </c>
      <c r="D9" s="216"/>
      <c r="E9" s="216" t="str">
        <f t="shared" si="4"/>
        <v>BFG</v>
      </c>
      <c r="F9" s="540" t="s">
        <v>1579</v>
      </c>
      <c r="G9" s="483">
        <f t="shared" si="0"/>
        <v>11.55</v>
      </c>
      <c r="H9" s="483">
        <f t="shared" si="0"/>
        <v>13.85</v>
      </c>
      <c r="I9" s="483">
        <f t="shared" si="0"/>
        <v>11.95</v>
      </c>
      <c r="J9" s="483">
        <f t="shared" si="0"/>
        <v>10.15</v>
      </c>
      <c r="K9" s="483">
        <f t="shared" si="0"/>
        <v>8.6</v>
      </c>
      <c r="L9" s="483">
        <f t="shared" si="0"/>
        <v>7.85</v>
      </c>
      <c r="M9" s="483">
        <f t="shared" si="0"/>
        <v>6.1</v>
      </c>
      <c r="N9" s="483">
        <f t="shared" si="0"/>
        <v>5.85</v>
      </c>
      <c r="O9" s="483">
        <f t="shared" si="0"/>
        <v>11.467898064011884</v>
      </c>
      <c r="P9" s="483">
        <f t="shared" si="0"/>
        <v>7.7663830030950765</v>
      </c>
      <c r="Q9" s="483">
        <f t="shared" si="1"/>
        <v>6.4647759447939386</v>
      </c>
      <c r="R9" s="483">
        <f t="shared" si="1"/>
        <v>6.5830294771624471</v>
      </c>
      <c r="S9" s="483">
        <f t="shared" si="1"/>
        <v>6.8367367407151214</v>
      </c>
      <c r="T9" s="483">
        <f t="shared" si="1"/>
        <v>7.0869633419431945</v>
      </c>
      <c r="U9" s="483">
        <f t="shared" si="1"/>
        <v>7.3237003604902249</v>
      </c>
      <c r="V9" s="483">
        <f t="shared" si="1"/>
        <v>7.2904494140519214</v>
      </c>
      <c r="W9" s="483">
        <f t="shared" si="1"/>
        <v>7.2658292469417001</v>
      </c>
      <c r="X9" s="483">
        <f t="shared" si="1"/>
        <v>7.2386152965441681</v>
      </c>
      <c r="Y9" s="483">
        <f t="shared" si="1"/>
        <v>7.2065953240946836</v>
      </c>
      <c r="Z9" s="483">
        <f t="shared" si="1"/>
        <v>7.1719818027432378</v>
      </c>
      <c r="AA9" s="483">
        <f t="shared" si="2"/>
        <v>7.1332515760414905</v>
      </c>
      <c r="AB9" s="483">
        <f t="shared" si="2"/>
        <v>7.1153465320667548</v>
      </c>
      <c r="AC9" s="483">
        <f t="shared" si="2"/>
        <v>7.097518632127068</v>
      </c>
      <c r="AD9" s="483">
        <f t="shared" si="2"/>
        <v>7.0795572350830023</v>
      </c>
      <c r="AE9" s="483">
        <f t="shared" si="2"/>
        <v>7.0616767132396783</v>
      </c>
      <c r="AF9" s="483">
        <f t="shared" si="2"/>
        <v>7.0437860033118742</v>
      </c>
      <c r="AG9" s="483">
        <f t="shared" si="2"/>
        <v>7.0259928453493545</v>
      </c>
      <c r="AH9" s="483">
        <f t="shared" si="2"/>
        <v>7.0080856252282011</v>
      </c>
      <c r="AI9" s="483">
        <f t="shared" si="2"/>
        <v>6.990255369175598</v>
      </c>
      <c r="AJ9" s="483">
        <f t="shared" si="2"/>
        <v>6.9723272493975728</v>
      </c>
      <c r="AK9" s="483">
        <f t="shared" si="3"/>
        <v>6.9544309358125274</v>
      </c>
      <c r="AL9" s="483">
        <f t="shared" si="3"/>
        <v>6.9365345690910853</v>
      </c>
      <c r="AM9" s="483">
        <f t="shared" si="3"/>
        <v>6.9183052264039517</v>
      </c>
      <c r="AN9" s="483">
        <f t="shared" si="3"/>
        <v>6.900075278683218</v>
      </c>
      <c r="AO9" s="483">
        <f t="shared" si="3"/>
        <v>6.8818447251553092</v>
      </c>
      <c r="AP9" s="483">
        <f t="shared" si="3"/>
        <v>6.8636135650456671</v>
      </c>
      <c r="AQ9" s="483">
        <f t="shared" si="3"/>
        <v>6.8453817975787317</v>
      </c>
      <c r="AR9" s="483">
        <f t="shared" si="3"/>
        <v>6.8271494219779587</v>
      </c>
      <c r="AS9" s="483">
        <f t="shared" si="3"/>
        <v>6.808916437465812</v>
      </c>
      <c r="AT9" s="483">
        <f t="shared" si="3"/>
        <v>6.7906828432637569</v>
      </c>
      <c r="AU9" s="483">
        <f t="shared" si="3"/>
        <v>6.7724486385922678</v>
      </c>
      <c r="AV9" s="484">
        <v>5</v>
      </c>
      <c r="AX9" s="602"/>
      <c r="AY9" s="602"/>
      <c r="AZ9" s="602"/>
      <c r="BA9" s="602"/>
      <c r="BB9" s="602"/>
      <c r="BC9" s="518"/>
      <c r="BD9" s="603"/>
      <c r="BE9" s="603"/>
      <c r="BF9" s="603"/>
      <c r="BG9" s="603"/>
      <c r="BH9" s="603"/>
      <c r="BI9" s="603"/>
      <c r="BJ9" s="603"/>
      <c r="BK9" s="603"/>
      <c r="BL9" s="603"/>
      <c r="BM9" s="603"/>
      <c r="BN9" s="603"/>
      <c r="BO9" s="603"/>
      <c r="BP9" s="603"/>
      <c r="BQ9" s="603"/>
      <c r="BR9" s="603"/>
      <c r="BS9" s="603"/>
      <c r="BT9" s="603"/>
      <c r="BU9" s="603"/>
      <c r="BV9" s="603"/>
      <c r="BW9" s="603"/>
      <c r="BX9" s="603"/>
      <c r="BY9" s="603"/>
      <c r="BZ9" s="603"/>
      <c r="CA9" s="603"/>
      <c r="CB9" s="603"/>
      <c r="CC9" s="603"/>
      <c r="CD9" s="603"/>
      <c r="CE9" s="603"/>
      <c r="CF9" s="603"/>
      <c r="CG9" s="518"/>
      <c r="CH9" s="518"/>
    </row>
    <row r="10" spans="2:110" ht="14.4">
      <c r="B10" s="8" t="str">
        <f>Processes!D9</f>
        <v>IMPAMB</v>
      </c>
      <c r="C10" s="8" t="str">
        <f>Processes!E9</f>
        <v>Import technology - Ambient Temperature for heat pump</v>
      </c>
      <c r="D10" s="216"/>
      <c r="E10" s="216" t="str">
        <f t="shared" si="4"/>
        <v>AMB</v>
      </c>
      <c r="F10" s="540" t="s">
        <v>1579</v>
      </c>
      <c r="G10" s="483">
        <f t="shared" si="0"/>
        <v>0</v>
      </c>
      <c r="H10" s="483">
        <f t="shared" si="0"/>
        <v>0</v>
      </c>
      <c r="I10" s="483">
        <f t="shared" si="0"/>
        <v>0</v>
      </c>
      <c r="J10" s="483">
        <f t="shared" si="0"/>
        <v>0</v>
      </c>
      <c r="K10" s="483">
        <f t="shared" si="0"/>
        <v>0</v>
      </c>
      <c r="L10" s="483">
        <f t="shared" si="0"/>
        <v>0</v>
      </c>
      <c r="M10" s="483">
        <f t="shared" si="0"/>
        <v>0</v>
      </c>
      <c r="N10" s="483">
        <f t="shared" si="0"/>
        <v>0</v>
      </c>
      <c r="O10" s="483">
        <f t="shared" si="0"/>
        <v>0</v>
      </c>
      <c r="P10" s="483">
        <f t="shared" si="0"/>
        <v>0</v>
      </c>
      <c r="Q10" s="483">
        <f t="shared" si="1"/>
        <v>0</v>
      </c>
      <c r="R10" s="483">
        <f t="shared" si="1"/>
        <v>0</v>
      </c>
      <c r="S10" s="483">
        <f t="shared" si="1"/>
        <v>0</v>
      </c>
      <c r="T10" s="483">
        <f t="shared" si="1"/>
        <v>0</v>
      </c>
      <c r="U10" s="483">
        <f t="shared" si="1"/>
        <v>0</v>
      </c>
      <c r="V10" s="483">
        <f t="shared" si="1"/>
        <v>0</v>
      </c>
      <c r="W10" s="483">
        <f t="shared" si="1"/>
        <v>0</v>
      </c>
      <c r="X10" s="483">
        <f t="shared" si="1"/>
        <v>0</v>
      </c>
      <c r="Y10" s="483">
        <f t="shared" si="1"/>
        <v>0</v>
      </c>
      <c r="Z10" s="483">
        <f t="shared" si="1"/>
        <v>0</v>
      </c>
      <c r="AA10" s="483">
        <f t="shared" si="2"/>
        <v>0</v>
      </c>
      <c r="AB10" s="483">
        <f t="shared" si="2"/>
        <v>0</v>
      </c>
      <c r="AC10" s="483">
        <f t="shared" si="2"/>
        <v>0</v>
      </c>
      <c r="AD10" s="483">
        <f t="shared" si="2"/>
        <v>0</v>
      </c>
      <c r="AE10" s="483">
        <f t="shared" si="2"/>
        <v>0</v>
      </c>
      <c r="AF10" s="483">
        <f t="shared" si="2"/>
        <v>0</v>
      </c>
      <c r="AG10" s="483">
        <f t="shared" si="2"/>
        <v>0</v>
      </c>
      <c r="AH10" s="483">
        <f t="shared" si="2"/>
        <v>0</v>
      </c>
      <c r="AI10" s="483">
        <f t="shared" si="2"/>
        <v>0</v>
      </c>
      <c r="AJ10" s="483">
        <f t="shared" si="2"/>
        <v>0</v>
      </c>
      <c r="AK10" s="483">
        <f t="shared" si="3"/>
        <v>0</v>
      </c>
      <c r="AL10" s="483">
        <f t="shared" si="3"/>
        <v>0</v>
      </c>
      <c r="AM10" s="483">
        <f t="shared" si="3"/>
        <v>0</v>
      </c>
      <c r="AN10" s="483">
        <f t="shared" si="3"/>
        <v>0</v>
      </c>
      <c r="AO10" s="483">
        <f t="shared" si="3"/>
        <v>0</v>
      </c>
      <c r="AP10" s="483">
        <f t="shared" si="3"/>
        <v>0</v>
      </c>
      <c r="AQ10" s="483">
        <f t="shared" si="3"/>
        <v>0</v>
      </c>
      <c r="AR10" s="483">
        <f t="shared" si="3"/>
        <v>0</v>
      </c>
      <c r="AS10" s="483">
        <f t="shared" si="3"/>
        <v>0</v>
      </c>
      <c r="AT10" s="483">
        <f t="shared" si="3"/>
        <v>0</v>
      </c>
      <c r="AU10" s="483">
        <f t="shared" si="3"/>
        <v>0</v>
      </c>
      <c r="AV10" s="484">
        <v>5</v>
      </c>
      <c r="AX10" s="602"/>
      <c r="AY10" s="602"/>
      <c r="AZ10" s="602"/>
      <c r="BA10" s="602"/>
      <c r="BB10" s="602"/>
      <c r="BC10" s="518"/>
      <c r="BD10" s="603"/>
      <c r="BE10" s="603"/>
      <c r="BF10" s="603"/>
      <c r="BG10" s="603"/>
      <c r="BH10" s="603"/>
      <c r="BI10" s="603"/>
      <c r="BJ10" s="603"/>
      <c r="BK10" s="603"/>
      <c r="BL10" s="603"/>
      <c r="BM10" s="603"/>
      <c r="BN10" s="603"/>
      <c r="BO10" s="603"/>
      <c r="BP10" s="603"/>
      <c r="BQ10" s="603"/>
      <c r="BR10" s="603"/>
      <c r="BS10" s="603"/>
      <c r="BT10" s="603"/>
      <c r="BU10" s="603"/>
      <c r="BV10" s="603"/>
      <c r="BW10" s="603"/>
      <c r="BX10" s="603"/>
      <c r="BY10" s="603"/>
      <c r="BZ10" s="603"/>
      <c r="CA10" s="603"/>
      <c r="CB10" s="603"/>
      <c r="CC10" s="603"/>
      <c r="CD10" s="603"/>
      <c r="CE10" s="603"/>
      <c r="CF10" s="603"/>
      <c r="CG10" s="518"/>
      <c r="CH10" s="518"/>
    </row>
    <row r="11" spans="2:110" ht="14.4">
      <c r="B11" s="8" t="str">
        <f>Processes!D10</f>
        <v>IMPURN</v>
      </c>
      <c r="C11" s="8" t="str">
        <f>Processes!E10</f>
        <v>Import technology - Nuclear fuel</v>
      </c>
      <c r="D11" s="216"/>
      <c r="E11" s="216" t="str">
        <f t="shared" si="4"/>
        <v>URN</v>
      </c>
      <c r="F11" s="540" t="s">
        <v>1579</v>
      </c>
      <c r="G11" s="483">
        <f t="shared" si="0"/>
        <v>4.1805555555555554</v>
      </c>
      <c r="H11" s="483">
        <f t="shared" si="0"/>
        <v>4.1805555555555554</v>
      </c>
      <c r="I11" s="483">
        <f t="shared" si="0"/>
        <v>4.1805555555555554</v>
      </c>
      <c r="J11" s="483">
        <f t="shared" si="0"/>
        <v>4.1805555555555554</v>
      </c>
      <c r="K11" s="483">
        <f t="shared" si="0"/>
        <v>4.1805555555555554</v>
      </c>
      <c r="L11" s="483">
        <f t="shared" si="0"/>
        <v>4.1805555555555554</v>
      </c>
      <c r="M11" s="483">
        <f t="shared" si="0"/>
        <v>4.1805555555555554</v>
      </c>
      <c r="N11" s="483">
        <f t="shared" si="0"/>
        <v>4.1805555555555554</v>
      </c>
      <c r="O11" s="483">
        <f t="shared" si="0"/>
        <v>4.1805555555555554</v>
      </c>
      <c r="P11" s="483">
        <f t="shared" si="0"/>
        <v>4.1805555555555554</v>
      </c>
      <c r="Q11" s="483">
        <f t="shared" si="1"/>
        <v>4.1805555555555554</v>
      </c>
      <c r="R11" s="483">
        <f t="shared" si="1"/>
        <v>4.1805555555555554</v>
      </c>
      <c r="S11" s="483">
        <f t="shared" si="1"/>
        <v>4.1805555555555554</v>
      </c>
      <c r="T11" s="483">
        <f t="shared" si="1"/>
        <v>4.1805555555555554</v>
      </c>
      <c r="U11" s="483">
        <f t="shared" si="1"/>
        <v>4.1805555555555554</v>
      </c>
      <c r="V11" s="483">
        <f t="shared" si="1"/>
        <v>4.1805555555555554</v>
      </c>
      <c r="W11" s="483">
        <f t="shared" si="1"/>
        <v>4.1805555555555554</v>
      </c>
      <c r="X11" s="483">
        <f t="shared" si="1"/>
        <v>4.1805555555555554</v>
      </c>
      <c r="Y11" s="483">
        <f t="shared" si="1"/>
        <v>4.1805555555555554</v>
      </c>
      <c r="Z11" s="483">
        <f t="shared" si="1"/>
        <v>4.1805555555555554</v>
      </c>
      <c r="AA11" s="483">
        <f t="shared" si="2"/>
        <v>4.1805555555555554</v>
      </c>
      <c r="AB11" s="483">
        <f t="shared" si="2"/>
        <v>4.1805555555555554</v>
      </c>
      <c r="AC11" s="483">
        <f t="shared" si="2"/>
        <v>4.1805555555555554</v>
      </c>
      <c r="AD11" s="483">
        <f t="shared" si="2"/>
        <v>4.1805555555555554</v>
      </c>
      <c r="AE11" s="483">
        <f t="shared" si="2"/>
        <v>4.1805555555555554</v>
      </c>
      <c r="AF11" s="483">
        <f t="shared" si="2"/>
        <v>4.1805555555555554</v>
      </c>
      <c r="AG11" s="483">
        <f t="shared" si="2"/>
        <v>4.1805555555555554</v>
      </c>
      <c r="AH11" s="483">
        <f t="shared" si="2"/>
        <v>4.1805555555555554</v>
      </c>
      <c r="AI11" s="483">
        <f t="shared" si="2"/>
        <v>4.1805555555555554</v>
      </c>
      <c r="AJ11" s="483">
        <f t="shared" si="2"/>
        <v>4.1805555555555554</v>
      </c>
      <c r="AK11" s="483">
        <f t="shared" si="3"/>
        <v>4.1805555555555554</v>
      </c>
      <c r="AL11" s="483">
        <f t="shared" si="3"/>
        <v>4.1805555555555554</v>
      </c>
      <c r="AM11" s="483">
        <f t="shared" si="3"/>
        <v>4.1805555555555554</v>
      </c>
      <c r="AN11" s="483">
        <f t="shared" si="3"/>
        <v>4.1805555555555554</v>
      </c>
      <c r="AO11" s="483">
        <f t="shared" si="3"/>
        <v>4.1805555555555554</v>
      </c>
      <c r="AP11" s="483">
        <f t="shared" si="3"/>
        <v>4.1805555555555554</v>
      </c>
      <c r="AQ11" s="483">
        <f t="shared" si="3"/>
        <v>4.1805555555555554</v>
      </c>
      <c r="AR11" s="483">
        <f t="shared" si="3"/>
        <v>4.1805555555555554</v>
      </c>
      <c r="AS11" s="483">
        <f t="shared" si="3"/>
        <v>4.1805555555555554</v>
      </c>
      <c r="AT11" s="483">
        <f t="shared" si="3"/>
        <v>4.1805555555555554</v>
      </c>
      <c r="AU11" s="483">
        <f t="shared" si="3"/>
        <v>4.1805555555555554</v>
      </c>
      <c r="AV11" s="484">
        <v>5</v>
      </c>
      <c r="AX11" s="602"/>
      <c r="AY11" s="602"/>
      <c r="AZ11" s="602"/>
      <c r="BA11" s="602"/>
      <c r="BB11" s="602"/>
      <c r="BC11" s="518"/>
      <c r="BD11" s="603"/>
      <c r="BE11" s="603"/>
      <c r="BF11" s="603"/>
      <c r="BG11" s="603"/>
      <c r="BH11" s="603"/>
      <c r="BI11" s="603"/>
      <c r="BJ11" s="603"/>
      <c r="BK11" s="603"/>
      <c r="BL11" s="603"/>
      <c r="BM11" s="603"/>
      <c r="BN11" s="603"/>
      <c r="BO11" s="603"/>
      <c r="BP11" s="603"/>
      <c r="BQ11" s="603"/>
      <c r="BR11" s="603"/>
      <c r="BS11" s="603"/>
      <c r="BT11" s="603"/>
      <c r="BU11" s="603"/>
      <c r="BV11" s="603"/>
      <c r="BW11" s="603"/>
      <c r="BX11" s="603"/>
      <c r="BY11" s="603"/>
      <c r="BZ11" s="603"/>
      <c r="CA11" s="603"/>
      <c r="CB11" s="603"/>
      <c r="CC11" s="603"/>
      <c r="CD11" s="603"/>
      <c r="CE11" s="603"/>
      <c r="CF11" s="603"/>
      <c r="CG11" s="518"/>
      <c r="CH11" s="518"/>
    </row>
    <row r="12" spans="2:110" ht="14.4">
      <c r="B12" s="8" t="str">
        <f>Processes!D11</f>
        <v>IMPBLQ</v>
      </c>
      <c r="C12" s="8" t="str">
        <f>Processes!E11</f>
        <v>Import technology - Black liquor</v>
      </c>
      <c r="D12" s="216"/>
      <c r="E12" s="216" t="str">
        <f t="shared" si="4"/>
        <v>BLQ</v>
      </c>
      <c r="F12" s="540" t="s">
        <v>1579</v>
      </c>
      <c r="G12" s="483">
        <f t="shared" si="0"/>
        <v>0.1</v>
      </c>
      <c r="H12" s="483">
        <f t="shared" si="0"/>
        <v>0.1</v>
      </c>
      <c r="I12" s="483">
        <f t="shared" si="0"/>
        <v>0.1</v>
      </c>
      <c r="J12" s="483">
        <f t="shared" si="0"/>
        <v>0.1</v>
      </c>
      <c r="K12" s="483">
        <f t="shared" si="0"/>
        <v>0.1</v>
      </c>
      <c r="L12" s="483">
        <f t="shared" si="0"/>
        <v>0.1</v>
      </c>
      <c r="M12" s="483">
        <f t="shared" si="0"/>
        <v>0.1</v>
      </c>
      <c r="N12" s="483">
        <f t="shared" si="0"/>
        <v>0.1</v>
      </c>
      <c r="O12" s="483">
        <f t="shared" si="0"/>
        <v>0.1</v>
      </c>
      <c r="P12" s="483">
        <f t="shared" si="0"/>
        <v>0.1</v>
      </c>
      <c r="Q12" s="483">
        <f t="shared" si="1"/>
        <v>0.1</v>
      </c>
      <c r="R12" s="483">
        <f t="shared" si="1"/>
        <v>0.1</v>
      </c>
      <c r="S12" s="483">
        <f t="shared" si="1"/>
        <v>0.1</v>
      </c>
      <c r="T12" s="483">
        <f t="shared" si="1"/>
        <v>0.1</v>
      </c>
      <c r="U12" s="483">
        <f t="shared" si="1"/>
        <v>0.1</v>
      </c>
      <c r="V12" s="483">
        <f t="shared" si="1"/>
        <v>0.1</v>
      </c>
      <c r="W12" s="483">
        <f t="shared" si="1"/>
        <v>0.1</v>
      </c>
      <c r="X12" s="483">
        <f t="shared" si="1"/>
        <v>0.1</v>
      </c>
      <c r="Y12" s="483">
        <f t="shared" si="1"/>
        <v>0.1</v>
      </c>
      <c r="Z12" s="483">
        <f t="shared" si="1"/>
        <v>0.1</v>
      </c>
      <c r="AA12" s="483">
        <f t="shared" si="2"/>
        <v>0.1</v>
      </c>
      <c r="AB12" s="483">
        <f t="shared" si="2"/>
        <v>0.1</v>
      </c>
      <c r="AC12" s="483">
        <f t="shared" si="2"/>
        <v>0.1</v>
      </c>
      <c r="AD12" s="483">
        <f t="shared" si="2"/>
        <v>0.1</v>
      </c>
      <c r="AE12" s="483">
        <f t="shared" si="2"/>
        <v>0.1</v>
      </c>
      <c r="AF12" s="483">
        <f t="shared" si="2"/>
        <v>0.1</v>
      </c>
      <c r="AG12" s="483">
        <f t="shared" si="2"/>
        <v>0.1</v>
      </c>
      <c r="AH12" s="483">
        <f t="shared" si="2"/>
        <v>0.1</v>
      </c>
      <c r="AI12" s="483">
        <f t="shared" si="2"/>
        <v>0.1</v>
      </c>
      <c r="AJ12" s="483">
        <f t="shared" si="2"/>
        <v>0.1</v>
      </c>
      <c r="AK12" s="483">
        <f t="shared" si="3"/>
        <v>0.1</v>
      </c>
      <c r="AL12" s="483">
        <f t="shared" si="3"/>
        <v>0.1</v>
      </c>
      <c r="AM12" s="483">
        <f t="shared" si="3"/>
        <v>0.1</v>
      </c>
      <c r="AN12" s="483">
        <f t="shared" si="3"/>
        <v>0.1</v>
      </c>
      <c r="AO12" s="483">
        <f t="shared" si="3"/>
        <v>0.1</v>
      </c>
      <c r="AP12" s="483">
        <f t="shared" si="3"/>
        <v>0.1</v>
      </c>
      <c r="AQ12" s="483">
        <f t="shared" si="3"/>
        <v>0.1</v>
      </c>
      <c r="AR12" s="483">
        <f t="shared" si="3"/>
        <v>0.1</v>
      </c>
      <c r="AS12" s="483">
        <f t="shared" si="3"/>
        <v>0.1</v>
      </c>
      <c r="AT12" s="483">
        <f t="shared" si="3"/>
        <v>0.1</v>
      </c>
      <c r="AU12" s="483">
        <f t="shared" si="3"/>
        <v>0.1</v>
      </c>
      <c r="AV12" s="484">
        <v>5</v>
      </c>
      <c r="AX12" s="602"/>
      <c r="AY12" s="602"/>
      <c r="AZ12" s="602"/>
      <c r="BA12" s="602"/>
      <c r="BB12" s="602"/>
      <c r="BC12" s="603"/>
      <c r="BD12" s="603"/>
      <c r="BE12" s="603"/>
      <c r="BF12" s="603"/>
      <c r="BG12" s="603"/>
      <c r="BH12" s="603"/>
      <c r="BI12" s="603"/>
      <c r="BJ12" s="603"/>
      <c r="BK12" s="603"/>
      <c r="BL12" s="603"/>
      <c r="BM12" s="603"/>
      <c r="BN12" s="603"/>
      <c r="BO12" s="603"/>
      <c r="BP12" s="603"/>
      <c r="BQ12" s="603"/>
      <c r="BR12" s="603"/>
      <c r="BS12" s="603"/>
      <c r="BT12" s="603"/>
      <c r="BU12" s="603"/>
      <c r="BV12" s="603"/>
      <c r="BW12" s="603"/>
      <c r="BX12" s="603"/>
      <c r="BY12" s="603"/>
      <c r="BZ12" s="603"/>
      <c r="CA12" s="603"/>
      <c r="CB12" s="603"/>
      <c r="CC12" s="603"/>
      <c r="CD12" s="603"/>
      <c r="CE12" s="603"/>
      <c r="CF12" s="603"/>
      <c r="CG12" s="518"/>
      <c r="CH12" s="518"/>
    </row>
    <row r="13" spans="2:110" ht="14.4">
      <c r="B13" s="8" t="str">
        <f>Processes!D12</f>
        <v>IMPCOA</v>
      </c>
      <c r="C13" s="8" t="str">
        <f>Processes!E12</f>
        <v>Import technology - Coal</v>
      </c>
      <c r="D13" s="216"/>
      <c r="E13" s="216" t="str">
        <f t="shared" si="4"/>
        <v>COA</v>
      </c>
      <c r="F13" s="1119" t="str">
        <f t="shared" ref="F13:F74" si="5">IFERROR(VLOOKUP(E13,$E$122:$F$174,2,FALSE),"MKr19")</f>
        <v>MKr19</v>
      </c>
      <c r="G13" s="483">
        <f t="shared" si="0"/>
        <v>23.1</v>
      </c>
      <c r="H13" s="483">
        <f t="shared" si="0"/>
        <v>27.7</v>
      </c>
      <c r="I13" s="483">
        <f t="shared" si="0"/>
        <v>23.9</v>
      </c>
      <c r="J13" s="483">
        <f t="shared" si="0"/>
        <v>20.3</v>
      </c>
      <c r="K13" s="483">
        <f t="shared" si="0"/>
        <v>17.2</v>
      </c>
      <c r="L13" s="483">
        <f t="shared" si="0"/>
        <v>15.7</v>
      </c>
      <c r="M13" s="483">
        <f t="shared" si="0"/>
        <v>12.2</v>
      </c>
      <c r="N13" s="483">
        <f t="shared" si="0"/>
        <v>11.7</v>
      </c>
      <c r="O13" s="483">
        <f t="shared" si="0"/>
        <v>22.935796128023767</v>
      </c>
      <c r="P13" s="483">
        <f t="shared" si="0"/>
        <v>15.532766006190153</v>
      </c>
      <c r="Q13" s="483">
        <f t="shared" si="1"/>
        <v>12.929551889587877</v>
      </c>
      <c r="R13" s="483">
        <f t="shared" si="1"/>
        <v>13.166058954324894</v>
      </c>
      <c r="S13" s="483">
        <f t="shared" si="1"/>
        <v>13.673473481430243</v>
      </c>
      <c r="T13" s="483">
        <f t="shared" si="1"/>
        <v>14.173926683886389</v>
      </c>
      <c r="U13" s="483">
        <f t="shared" si="1"/>
        <v>14.64740072098045</v>
      </c>
      <c r="V13" s="483">
        <f t="shared" si="1"/>
        <v>14.580898828103843</v>
      </c>
      <c r="W13" s="483">
        <f t="shared" si="1"/>
        <v>14.5316584938834</v>
      </c>
      <c r="X13" s="483">
        <f t="shared" si="1"/>
        <v>14.477230593088336</v>
      </c>
      <c r="Y13" s="483">
        <f t="shared" si="1"/>
        <v>14.413190648189367</v>
      </c>
      <c r="Z13" s="483">
        <f t="shared" si="1"/>
        <v>14.343963605486476</v>
      </c>
      <c r="AA13" s="483">
        <f t="shared" si="2"/>
        <v>14.266503152082981</v>
      </c>
      <c r="AB13" s="483">
        <f t="shared" si="2"/>
        <v>14.23069306413351</v>
      </c>
      <c r="AC13" s="483">
        <f t="shared" si="2"/>
        <v>14.195037264254136</v>
      </c>
      <c r="AD13" s="483">
        <f t="shared" si="2"/>
        <v>14.159114470166005</v>
      </c>
      <c r="AE13" s="483">
        <f t="shared" si="2"/>
        <v>14.123353426479357</v>
      </c>
      <c r="AF13" s="483">
        <f t="shared" si="2"/>
        <v>14.087572006623748</v>
      </c>
      <c r="AG13" s="483">
        <f t="shared" si="2"/>
        <v>14.051985690698709</v>
      </c>
      <c r="AH13" s="483">
        <f t="shared" si="2"/>
        <v>14.016171250456402</v>
      </c>
      <c r="AI13" s="483">
        <f t="shared" si="2"/>
        <v>13.980510738351196</v>
      </c>
      <c r="AJ13" s="483">
        <f t="shared" si="2"/>
        <v>13.944654498795146</v>
      </c>
      <c r="AK13" s="483">
        <f t="shared" si="3"/>
        <v>13.908861871625055</v>
      </c>
      <c r="AL13" s="483">
        <f t="shared" si="3"/>
        <v>13.873069138182171</v>
      </c>
      <c r="AM13" s="483">
        <f t="shared" si="3"/>
        <v>13.836610452807903</v>
      </c>
      <c r="AN13" s="483">
        <f t="shared" si="3"/>
        <v>13.800150557366436</v>
      </c>
      <c r="AO13" s="483">
        <f t="shared" si="3"/>
        <v>13.763689450310618</v>
      </c>
      <c r="AP13" s="483">
        <f t="shared" si="3"/>
        <v>13.727227130091334</v>
      </c>
      <c r="AQ13" s="483">
        <f t="shared" si="3"/>
        <v>13.690763595157463</v>
      </c>
      <c r="AR13" s="483">
        <f t="shared" si="3"/>
        <v>13.654298843955917</v>
      </c>
      <c r="AS13" s="483">
        <f t="shared" si="3"/>
        <v>13.617832874931624</v>
      </c>
      <c r="AT13" s="483">
        <f t="shared" si="3"/>
        <v>13.581365686527514</v>
      </c>
      <c r="AU13" s="483">
        <f t="shared" si="3"/>
        <v>13.544897277184536</v>
      </c>
      <c r="AV13" s="484">
        <v>5</v>
      </c>
      <c r="BB13" s="518"/>
      <c r="BC13" s="518"/>
      <c r="BD13" s="603"/>
      <c r="BE13" s="603"/>
      <c r="BF13" s="603"/>
      <c r="BG13" s="603"/>
      <c r="BH13" s="603"/>
      <c r="BI13" s="603"/>
      <c r="BJ13" s="603"/>
      <c r="BK13" s="603"/>
      <c r="BL13" s="603"/>
      <c r="BM13" s="603"/>
      <c r="BN13" s="603"/>
      <c r="BO13" s="603"/>
      <c r="BP13" s="603"/>
      <c r="BQ13" s="603"/>
      <c r="BR13" s="603"/>
      <c r="BS13" s="603"/>
      <c r="BT13" s="603"/>
      <c r="BU13" s="603"/>
      <c r="BV13" s="603"/>
      <c r="BW13" s="603"/>
      <c r="BX13" s="603"/>
      <c r="BY13" s="603"/>
      <c r="BZ13" s="603"/>
      <c r="CA13" s="603"/>
      <c r="CB13" s="603"/>
      <c r="CC13" s="603"/>
      <c r="CD13" s="603"/>
      <c r="CE13" s="603"/>
      <c r="CF13" s="603"/>
      <c r="CG13" s="518"/>
      <c r="CH13" s="518"/>
    </row>
    <row r="14" spans="2:110" ht="14.4">
      <c r="B14" s="8" t="str">
        <f>Processes!D13</f>
        <v>IMPNGA</v>
      </c>
      <c r="C14" s="8" t="str">
        <f>Processes!E13</f>
        <v>Import technology - Natural Gas</v>
      </c>
      <c r="D14" s="216"/>
      <c r="E14" s="216" t="str">
        <f t="shared" si="4"/>
        <v>NGA</v>
      </c>
      <c r="F14" s="1119" t="str">
        <f t="shared" si="5"/>
        <v>MKr19</v>
      </c>
      <c r="G14" s="483">
        <f t="shared" si="0"/>
        <v>44.4</v>
      </c>
      <c r="H14" s="483">
        <f t="shared" si="0"/>
        <v>46.1</v>
      </c>
      <c r="I14" s="483">
        <f t="shared" si="0"/>
        <v>55.1</v>
      </c>
      <c r="J14" s="483">
        <f t="shared" si="0"/>
        <v>54.2</v>
      </c>
      <c r="K14" s="483">
        <f t="shared" si="0"/>
        <v>45.7</v>
      </c>
      <c r="L14" s="483">
        <f t="shared" si="0"/>
        <v>44</v>
      </c>
      <c r="M14" s="483">
        <f t="shared" si="0"/>
        <v>36.799999999999997</v>
      </c>
      <c r="N14" s="483">
        <f t="shared" si="0"/>
        <v>36.9</v>
      </c>
      <c r="O14" s="483">
        <f t="shared" si="0"/>
        <v>53.422183381850253</v>
      </c>
      <c r="P14" s="483">
        <f t="shared" si="0"/>
        <v>34.261011240620462</v>
      </c>
      <c r="Q14" s="483">
        <f t="shared" si="1"/>
        <v>33.397849986482257</v>
      </c>
      <c r="R14" s="483">
        <f t="shared" si="1"/>
        <v>31.525290025438199</v>
      </c>
      <c r="S14" s="483">
        <f t="shared" si="1"/>
        <v>32.762548621541896</v>
      </c>
      <c r="T14" s="483">
        <f t="shared" si="1"/>
        <v>33.367688312875465</v>
      </c>
      <c r="U14" s="483">
        <f t="shared" si="1"/>
        <v>33.567123920362071</v>
      </c>
      <c r="V14" s="483">
        <f t="shared" si="1"/>
        <v>33.506083462913665</v>
      </c>
      <c r="W14" s="483">
        <f t="shared" si="1"/>
        <v>33.467639204304064</v>
      </c>
      <c r="X14" s="483">
        <f t="shared" si="1"/>
        <v>33.442947086231669</v>
      </c>
      <c r="Y14" s="483">
        <f t="shared" si="1"/>
        <v>33.42179959045346</v>
      </c>
      <c r="Z14" s="483">
        <f t="shared" si="1"/>
        <v>33.414220248022303</v>
      </c>
      <c r="AA14" s="483">
        <f t="shared" si="2"/>
        <v>33.412152610409883</v>
      </c>
      <c r="AB14" s="483">
        <f t="shared" si="2"/>
        <v>33.458238338148384</v>
      </c>
      <c r="AC14" s="483">
        <f t="shared" si="2"/>
        <v>33.504324065886884</v>
      </c>
      <c r="AD14" s="483">
        <f t="shared" si="2"/>
        <v>33.550409793625377</v>
      </c>
      <c r="AE14" s="483">
        <f t="shared" si="2"/>
        <v>33.59649552136387</v>
      </c>
      <c r="AF14" s="483">
        <f t="shared" si="2"/>
        <v>33.642581249102378</v>
      </c>
      <c r="AG14" s="483">
        <f t="shared" si="2"/>
        <v>33.688666976840878</v>
      </c>
      <c r="AH14" s="483">
        <f t="shared" si="2"/>
        <v>33.734752704579364</v>
      </c>
      <c r="AI14" s="483">
        <f t="shared" si="2"/>
        <v>33.780838432317864</v>
      </c>
      <c r="AJ14" s="483">
        <f t="shared" si="2"/>
        <v>33.82692416005635</v>
      </c>
      <c r="AK14" s="483">
        <f t="shared" si="3"/>
        <v>33.873009887794851</v>
      </c>
      <c r="AL14" s="483">
        <f t="shared" si="3"/>
        <v>33.919095615533351</v>
      </c>
      <c r="AM14" s="483">
        <f t="shared" si="3"/>
        <v>33.965181343271844</v>
      </c>
      <c r="AN14" s="483">
        <f t="shared" si="3"/>
        <v>34.011267071010337</v>
      </c>
      <c r="AO14" s="483">
        <f t="shared" si="3"/>
        <v>34.057352798748838</v>
      </c>
      <c r="AP14" s="483">
        <f t="shared" si="3"/>
        <v>34.103438526487338</v>
      </c>
      <c r="AQ14" s="483">
        <f t="shared" si="3"/>
        <v>34.149524254225838</v>
      </c>
      <c r="AR14" s="483">
        <f t="shared" si="3"/>
        <v>34.195609981964324</v>
      </c>
      <c r="AS14" s="483">
        <f t="shared" si="3"/>
        <v>34.241695709702832</v>
      </c>
      <c r="AT14" s="483">
        <f t="shared" si="3"/>
        <v>34.287781437441318</v>
      </c>
      <c r="AU14" s="483">
        <f t="shared" si="3"/>
        <v>34.333867165179825</v>
      </c>
      <c r="AV14" s="484">
        <v>5</v>
      </c>
      <c r="AW14" s="483"/>
      <c r="AX14" s="483"/>
      <c r="AY14" s="483"/>
      <c r="BA14" s="602"/>
      <c r="BB14" s="602"/>
      <c r="BC14" s="602"/>
      <c r="BQ14" s="603"/>
      <c r="BR14" s="603"/>
      <c r="BS14" s="603"/>
      <c r="BT14" s="603"/>
      <c r="BU14" s="603"/>
      <c r="BV14" s="603"/>
      <c r="BW14" s="603"/>
      <c r="BX14" s="603"/>
      <c r="BY14" s="603"/>
      <c r="BZ14" s="603"/>
      <c r="CA14" s="603"/>
      <c r="CB14" s="603"/>
      <c r="CC14" s="603"/>
      <c r="CD14" s="603"/>
      <c r="CE14" s="603"/>
      <c r="CF14" s="603"/>
      <c r="CG14" s="518"/>
      <c r="CH14" s="518"/>
    </row>
    <row r="15" spans="2:110" ht="14.4">
      <c r="B15" s="8" t="str">
        <f>Processes!D14</f>
        <v>IMPCRD</v>
      </c>
      <c r="C15" s="8" t="str">
        <f>Processes!E14</f>
        <v>Import technology - Crude Oil</v>
      </c>
      <c r="D15" s="216"/>
      <c r="E15" s="216" t="str">
        <f t="shared" si="4"/>
        <v>CRD</v>
      </c>
      <c r="F15" s="1119" t="str">
        <f t="shared" si="5"/>
        <v>MKr19</v>
      </c>
      <c r="G15" s="483">
        <f t="shared" si="0"/>
        <v>76.2</v>
      </c>
      <c r="H15" s="483">
        <f t="shared" si="0"/>
        <v>106.1</v>
      </c>
      <c r="I15" s="483">
        <f t="shared" si="0"/>
        <v>112.9</v>
      </c>
      <c r="J15" s="483">
        <f t="shared" si="0"/>
        <v>100.3</v>
      </c>
      <c r="K15" s="483">
        <f t="shared" si="0"/>
        <v>97.3</v>
      </c>
      <c r="L15" s="483">
        <f t="shared" si="0"/>
        <v>62.7</v>
      </c>
      <c r="M15" s="483">
        <f t="shared" si="0"/>
        <v>59.9</v>
      </c>
      <c r="N15" s="483">
        <f t="shared" si="0"/>
        <v>63.9</v>
      </c>
      <c r="O15" s="483">
        <f t="shared" si="0"/>
        <v>78.592912119302227</v>
      </c>
      <c r="P15" s="483">
        <f t="shared" si="0"/>
        <v>72.66780821917807</v>
      </c>
      <c r="Q15" s="483">
        <f t="shared" si="1"/>
        <v>71.191547947610658</v>
      </c>
      <c r="R15" s="483">
        <f t="shared" si="1"/>
        <v>49.181117057429148</v>
      </c>
      <c r="S15" s="483">
        <f t="shared" si="1"/>
        <v>52.581323432074825</v>
      </c>
      <c r="T15" s="483">
        <f t="shared" si="1"/>
        <v>54.889966476332738</v>
      </c>
      <c r="U15" s="483">
        <f t="shared" si="1"/>
        <v>56.568388062461416</v>
      </c>
      <c r="V15" s="483">
        <f t="shared" si="1"/>
        <v>57.786429057350325</v>
      </c>
      <c r="W15" s="483">
        <f t="shared" si="1"/>
        <v>59.146270171698553</v>
      </c>
      <c r="X15" s="483">
        <f t="shared" si="1"/>
        <v>60.478046986869018</v>
      </c>
      <c r="Y15" s="483">
        <f t="shared" si="1"/>
        <v>61.703174257304624</v>
      </c>
      <c r="Z15" s="483">
        <f t="shared" si="1"/>
        <v>62.989602327697277</v>
      </c>
      <c r="AA15" s="483">
        <f t="shared" si="2"/>
        <v>64.209121548162642</v>
      </c>
      <c r="AB15" s="483">
        <f t="shared" si="2"/>
        <v>63.901532941943884</v>
      </c>
      <c r="AC15" s="483">
        <f t="shared" si="2"/>
        <v>63.593944335725141</v>
      </c>
      <c r="AD15" s="483">
        <f t="shared" si="2"/>
        <v>63.286355729506404</v>
      </c>
      <c r="AE15" s="483">
        <f t="shared" si="2"/>
        <v>62.978767123287653</v>
      </c>
      <c r="AF15" s="483">
        <f t="shared" si="2"/>
        <v>62.671178517068917</v>
      </c>
      <c r="AG15" s="483">
        <f t="shared" si="2"/>
        <v>62.363589910850173</v>
      </c>
      <c r="AH15" s="483">
        <f t="shared" si="2"/>
        <v>62.056001304631437</v>
      </c>
      <c r="AI15" s="483">
        <f t="shared" si="2"/>
        <v>61.7484126984127</v>
      </c>
      <c r="AJ15" s="483">
        <f t="shared" si="2"/>
        <v>61.440824092193949</v>
      </c>
      <c r="AK15" s="483">
        <f t="shared" si="3"/>
        <v>61.133235485975206</v>
      </c>
      <c r="AL15" s="483">
        <f t="shared" si="3"/>
        <v>60.825646879756469</v>
      </c>
      <c r="AM15" s="483">
        <f t="shared" si="3"/>
        <v>60.518058273537719</v>
      </c>
      <c r="AN15" s="483">
        <f t="shared" si="3"/>
        <v>60.210469667318975</v>
      </c>
      <c r="AO15" s="483">
        <f t="shared" si="3"/>
        <v>59.902881061100238</v>
      </c>
      <c r="AP15" s="483">
        <f t="shared" si="3"/>
        <v>59.595292454881495</v>
      </c>
      <c r="AQ15" s="483">
        <f t="shared" si="3"/>
        <v>59.287703848662751</v>
      </c>
      <c r="AR15" s="483">
        <f t="shared" si="3"/>
        <v>58.980115242444008</v>
      </c>
      <c r="AS15" s="483">
        <f t="shared" si="3"/>
        <v>58.672526636225271</v>
      </c>
      <c r="AT15" s="483">
        <f t="shared" si="3"/>
        <v>58.364938030006527</v>
      </c>
      <c r="AU15" s="483">
        <f t="shared" si="3"/>
        <v>58.057349423787784</v>
      </c>
      <c r="AV15" s="484">
        <v>5</v>
      </c>
      <c r="AW15" s="483"/>
      <c r="AX15" s="483"/>
      <c r="AY15" s="483"/>
      <c r="AZ15" s="598"/>
      <c r="BA15" s="602"/>
      <c r="BB15" s="602"/>
      <c r="BC15" s="602"/>
      <c r="BQ15" s="603"/>
      <c r="BR15" s="603"/>
      <c r="BS15" s="603"/>
      <c r="BT15" s="603"/>
      <c r="BU15" s="603"/>
      <c r="BV15" s="603"/>
      <c r="BW15" s="603"/>
      <c r="BX15" s="603"/>
      <c r="BY15" s="603"/>
      <c r="BZ15" s="603"/>
      <c r="CA15" s="603"/>
      <c r="CB15" s="603"/>
      <c r="CC15" s="603"/>
      <c r="CD15" s="603"/>
      <c r="CE15" s="603"/>
      <c r="CF15" s="603"/>
      <c r="CG15" s="518"/>
      <c r="CH15" s="518"/>
    </row>
    <row r="16" spans="2:110" ht="14.4">
      <c r="B16" s="8" t="str">
        <f>Processes!D15</f>
        <v>IMPLPG</v>
      </c>
      <c r="C16" s="8" t="str">
        <f>Processes!E15</f>
        <v>Import technology - Liquid petrol gas</v>
      </c>
      <c r="D16" s="216"/>
      <c r="E16" s="216" t="str">
        <f t="shared" si="4"/>
        <v>LPG</v>
      </c>
      <c r="F16" s="1119" t="str">
        <f t="shared" si="5"/>
        <v>MKr14</v>
      </c>
      <c r="G16" s="483">
        <f t="shared" si="0"/>
        <v>88.8</v>
      </c>
      <c r="H16" s="483">
        <f t="shared" si="0"/>
        <v>92.2</v>
      </c>
      <c r="I16" s="483">
        <f t="shared" si="0"/>
        <v>110.2</v>
      </c>
      <c r="J16" s="483">
        <f t="shared" si="0"/>
        <v>108.4</v>
      </c>
      <c r="K16" s="483">
        <f t="shared" si="0"/>
        <v>91.4</v>
      </c>
      <c r="L16" s="483">
        <f t="shared" si="0"/>
        <v>88</v>
      </c>
      <c r="M16" s="483">
        <f t="shared" si="0"/>
        <v>73.599999999999994</v>
      </c>
      <c r="N16" s="483">
        <f t="shared" si="0"/>
        <v>73.8</v>
      </c>
      <c r="O16" s="483">
        <f t="shared" si="0"/>
        <v>106.84436676370051</v>
      </c>
      <c r="P16" s="483">
        <f t="shared" si="0"/>
        <v>68.522022481240924</v>
      </c>
      <c r="Q16" s="483">
        <f t="shared" si="1"/>
        <v>66.795699972964513</v>
      </c>
      <c r="R16" s="483">
        <f t="shared" si="1"/>
        <v>63.050580050876398</v>
      </c>
      <c r="S16" s="483">
        <f t="shared" si="1"/>
        <v>65.525097243083792</v>
      </c>
      <c r="T16" s="483">
        <f t="shared" si="1"/>
        <v>66.735376625750931</v>
      </c>
      <c r="U16" s="483">
        <f t="shared" si="1"/>
        <v>67.134247840724143</v>
      </c>
      <c r="V16" s="483">
        <f t="shared" si="1"/>
        <v>67.01216692582733</v>
      </c>
      <c r="W16" s="483">
        <f t="shared" si="1"/>
        <v>66.935278408608127</v>
      </c>
      <c r="X16" s="483">
        <f t="shared" si="1"/>
        <v>66.885894172463338</v>
      </c>
      <c r="Y16" s="483">
        <f t="shared" si="1"/>
        <v>66.843599180906921</v>
      </c>
      <c r="Z16" s="483">
        <f t="shared" si="1"/>
        <v>66.828440496044607</v>
      </c>
      <c r="AA16" s="483">
        <f t="shared" si="2"/>
        <v>66.824305220819767</v>
      </c>
      <c r="AB16" s="483">
        <f t="shared" si="2"/>
        <v>66.916476676296767</v>
      </c>
      <c r="AC16" s="483">
        <f t="shared" si="2"/>
        <v>67.008648131773768</v>
      </c>
      <c r="AD16" s="483">
        <f t="shared" si="2"/>
        <v>67.100819587250754</v>
      </c>
      <c r="AE16" s="483">
        <f t="shared" si="2"/>
        <v>67.192991042727741</v>
      </c>
      <c r="AF16" s="483">
        <f t="shared" si="2"/>
        <v>67.285162498204755</v>
      </c>
      <c r="AG16" s="483">
        <f t="shared" si="2"/>
        <v>67.377333953681756</v>
      </c>
      <c r="AH16" s="483">
        <f t="shared" si="2"/>
        <v>67.469505409158728</v>
      </c>
      <c r="AI16" s="483">
        <f t="shared" si="2"/>
        <v>67.561676864635729</v>
      </c>
      <c r="AJ16" s="483">
        <f t="shared" si="2"/>
        <v>67.653848320112701</v>
      </c>
      <c r="AK16" s="483">
        <f t="shared" si="3"/>
        <v>67.746019775589701</v>
      </c>
      <c r="AL16" s="483">
        <f t="shared" si="3"/>
        <v>67.838191231066702</v>
      </c>
      <c r="AM16" s="483">
        <f t="shared" si="3"/>
        <v>67.930362686543688</v>
      </c>
      <c r="AN16" s="483">
        <f t="shared" si="3"/>
        <v>68.022534142020675</v>
      </c>
      <c r="AO16" s="483">
        <f t="shared" si="3"/>
        <v>68.114705597497675</v>
      </c>
      <c r="AP16" s="483">
        <f t="shared" si="3"/>
        <v>68.206877052974676</v>
      </c>
      <c r="AQ16" s="483">
        <f t="shared" si="3"/>
        <v>68.299048508451676</v>
      </c>
      <c r="AR16" s="483">
        <f t="shared" si="3"/>
        <v>68.391219963928648</v>
      </c>
      <c r="AS16" s="483">
        <f t="shared" si="3"/>
        <v>68.483391419405663</v>
      </c>
      <c r="AT16" s="483">
        <f t="shared" si="3"/>
        <v>68.575562874882635</v>
      </c>
      <c r="AU16" s="483">
        <f t="shared" si="3"/>
        <v>68.66773433035965</v>
      </c>
      <c r="AV16" s="484">
        <v>5</v>
      </c>
      <c r="AW16" s="598"/>
      <c r="AX16" s="604"/>
      <c r="AY16" s="604"/>
      <c r="AZ16" s="598"/>
      <c r="BA16" s="602"/>
      <c r="BB16" s="602"/>
      <c r="BC16" s="602"/>
      <c r="BQ16" s="603"/>
      <c r="BR16" s="603"/>
      <c r="BS16" s="603"/>
      <c r="BT16" s="603"/>
      <c r="BU16" s="603"/>
      <c r="BV16" s="603"/>
      <c r="BW16" s="603"/>
      <c r="BX16" s="603"/>
      <c r="BY16" s="603"/>
      <c r="BZ16" s="603"/>
      <c r="CA16" s="603"/>
      <c r="CB16" s="603"/>
      <c r="CC16" s="603"/>
      <c r="CD16" s="603"/>
      <c r="CE16" s="603"/>
      <c r="CF16" s="603"/>
      <c r="CG16" s="518"/>
      <c r="CH16" s="518"/>
    </row>
    <row r="17" spans="2:90" ht="14.4">
      <c r="B17" s="8" t="str">
        <f>Processes!D16</f>
        <v>IMPLVN</v>
      </c>
      <c r="C17" s="8" t="str">
        <f>Processes!E16</f>
        <v>Import technology - Naphtha (Petroleoum)</v>
      </c>
      <c r="D17" s="216"/>
      <c r="E17" s="216" t="str">
        <f t="shared" si="4"/>
        <v>LVN</v>
      </c>
      <c r="F17" s="1119" t="str">
        <f t="shared" si="5"/>
        <v>MKr14</v>
      </c>
      <c r="G17" s="483">
        <f t="shared" ref="G17:P26" si="6">IFERROR(INDEX($G$122:$AU$177,MATCH($E17,$E$122:$E$177,0),MATCH(G$6,$G$121:$AU$121,0)),0)</f>
        <v>88.8</v>
      </c>
      <c r="H17" s="483">
        <f t="shared" si="6"/>
        <v>92.2</v>
      </c>
      <c r="I17" s="483">
        <f t="shared" si="6"/>
        <v>110.2</v>
      </c>
      <c r="J17" s="483">
        <f t="shared" si="6"/>
        <v>108.4</v>
      </c>
      <c r="K17" s="483">
        <f t="shared" si="6"/>
        <v>91.4</v>
      </c>
      <c r="L17" s="483">
        <f t="shared" si="6"/>
        <v>88</v>
      </c>
      <c r="M17" s="483">
        <f t="shared" si="6"/>
        <v>73.599999999999994</v>
      </c>
      <c r="N17" s="483">
        <f t="shared" si="6"/>
        <v>73.8</v>
      </c>
      <c r="O17" s="483">
        <f t="shared" si="6"/>
        <v>106.84436676370051</v>
      </c>
      <c r="P17" s="483">
        <f t="shared" si="6"/>
        <v>68.522022481240924</v>
      </c>
      <c r="Q17" s="483">
        <f t="shared" ref="Q17:Z26" si="7">IFERROR(INDEX($G$122:$AU$177,MATCH($E17,$E$122:$E$177,0),MATCH(Q$6,$G$121:$AU$121,0)),0)</f>
        <v>66.795699972964513</v>
      </c>
      <c r="R17" s="483">
        <f t="shared" si="7"/>
        <v>63.050580050876398</v>
      </c>
      <c r="S17" s="483">
        <f t="shared" si="7"/>
        <v>65.525097243083792</v>
      </c>
      <c r="T17" s="483">
        <f t="shared" si="7"/>
        <v>66.735376625750931</v>
      </c>
      <c r="U17" s="483">
        <f t="shared" si="7"/>
        <v>67.134247840724143</v>
      </c>
      <c r="V17" s="483">
        <f t="shared" si="7"/>
        <v>67.01216692582733</v>
      </c>
      <c r="W17" s="483">
        <f t="shared" si="7"/>
        <v>66.935278408608127</v>
      </c>
      <c r="X17" s="483">
        <f t="shared" si="7"/>
        <v>66.885894172463338</v>
      </c>
      <c r="Y17" s="483">
        <f t="shared" si="7"/>
        <v>66.843599180906921</v>
      </c>
      <c r="Z17" s="483">
        <f t="shared" si="7"/>
        <v>66.828440496044607</v>
      </c>
      <c r="AA17" s="483">
        <f t="shared" ref="AA17:AJ26" si="8">IFERROR(INDEX($G$122:$AU$177,MATCH($E17,$E$122:$E$177,0),MATCH(AA$6,$G$121:$AU$121,0)),0)</f>
        <v>66.824305220819767</v>
      </c>
      <c r="AB17" s="483">
        <f t="shared" si="8"/>
        <v>66.916476676296767</v>
      </c>
      <c r="AC17" s="483">
        <f t="shared" si="8"/>
        <v>67.008648131773768</v>
      </c>
      <c r="AD17" s="483">
        <f t="shared" si="8"/>
        <v>67.100819587250754</v>
      </c>
      <c r="AE17" s="483">
        <f t="shared" si="8"/>
        <v>67.192991042727741</v>
      </c>
      <c r="AF17" s="483">
        <f t="shared" si="8"/>
        <v>67.285162498204755</v>
      </c>
      <c r="AG17" s="483">
        <f t="shared" si="8"/>
        <v>67.377333953681756</v>
      </c>
      <c r="AH17" s="483">
        <f t="shared" si="8"/>
        <v>67.469505409158728</v>
      </c>
      <c r="AI17" s="483">
        <f t="shared" si="8"/>
        <v>67.561676864635729</v>
      </c>
      <c r="AJ17" s="483">
        <f t="shared" si="8"/>
        <v>67.653848320112701</v>
      </c>
      <c r="AK17" s="483">
        <f t="shared" ref="AK17:AU26" si="9">IFERROR(INDEX($G$122:$AU$177,MATCH($E17,$E$122:$E$177,0),MATCH(AK$6,$G$121:$AU$121,0)),0)</f>
        <v>67.746019775589701</v>
      </c>
      <c r="AL17" s="483">
        <f t="shared" si="9"/>
        <v>67.838191231066702</v>
      </c>
      <c r="AM17" s="483">
        <f t="shared" si="9"/>
        <v>67.930362686543688</v>
      </c>
      <c r="AN17" s="483">
        <f t="shared" si="9"/>
        <v>68.022534142020675</v>
      </c>
      <c r="AO17" s="483">
        <f t="shared" si="9"/>
        <v>68.114705597497675</v>
      </c>
      <c r="AP17" s="483">
        <f t="shared" si="9"/>
        <v>68.206877052974676</v>
      </c>
      <c r="AQ17" s="483">
        <f t="shared" si="9"/>
        <v>68.299048508451676</v>
      </c>
      <c r="AR17" s="483">
        <f t="shared" si="9"/>
        <v>68.391219963928648</v>
      </c>
      <c r="AS17" s="483">
        <f t="shared" si="9"/>
        <v>68.483391419405663</v>
      </c>
      <c r="AT17" s="483">
        <f t="shared" si="9"/>
        <v>68.575562874882635</v>
      </c>
      <c r="AU17" s="483">
        <f t="shared" si="9"/>
        <v>68.66773433035965</v>
      </c>
      <c r="AV17" s="484">
        <v>5</v>
      </c>
      <c r="AW17" s="598"/>
      <c r="AX17" s="604"/>
      <c r="AY17" s="604"/>
      <c r="AZ17" s="598"/>
      <c r="BA17" s="602"/>
      <c r="BB17" s="602"/>
      <c r="BC17" s="602"/>
      <c r="BQ17" s="603"/>
      <c r="BR17" s="603"/>
      <c r="BS17" s="603"/>
      <c r="BT17" s="603"/>
      <c r="BU17" s="603"/>
      <c r="BV17" s="603"/>
      <c r="BW17" s="603"/>
      <c r="BX17" s="603"/>
      <c r="BY17" s="603"/>
      <c r="BZ17" s="603"/>
      <c r="CA17" s="603"/>
      <c r="CB17" s="603"/>
      <c r="CC17" s="603"/>
      <c r="CD17" s="603"/>
      <c r="CE17" s="603"/>
      <c r="CF17" s="603"/>
      <c r="CG17" s="518"/>
      <c r="CH17" s="518"/>
    </row>
    <row r="18" spans="2:90" ht="14.4">
      <c r="B18" s="8" t="str">
        <f>Processes!D17</f>
        <v>IMPGSL</v>
      </c>
      <c r="C18" s="8" t="str">
        <f>Processes!E17</f>
        <v>Import technology - Gasoline</v>
      </c>
      <c r="D18" s="216"/>
      <c r="E18" s="216" t="str">
        <f t="shared" si="4"/>
        <v>GSL</v>
      </c>
      <c r="F18" s="1119" t="str">
        <f t="shared" si="5"/>
        <v>MKr19</v>
      </c>
      <c r="G18" s="483">
        <f t="shared" si="6"/>
        <v>92.8</v>
      </c>
      <c r="H18" s="483">
        <f t="shared" si="6"/>
        <v>122.9</v>
      </c>
      <c r="I18" s="483">
        <f t="shared" si="6"/>
        <v>136.69999999999999</v>
      </c>
      <c r="J18" s="483">
        <f t="shared" si="6"/>
        <v>122</v>
      </c>
      <c r="K18" s="483">
        <f t="shared" si="6"/>
        <v>114.8</v>
      </c>
      <c r="L18" s="483">
        <f t="shared" si="6"/>
        <v>78.2</v>
      </c>
      <c r="M18" s="483">
        <f t="shared" si="6"/>
        <v>75.3</v>
      </c>
      <c r="N18" s="483">
        <f t="shared" si="6"/>
        <v>79.400000000000006</v>
      </c>
      <c r="O18" s="483">
        <f t="shared" si="6"/>
        <v>102.40107579472352</v>
      </c>
      <c r="P18" s="483">
        <f t="shared" si="6"/>
        <v>97.746963615472367</v>
      </c>
      <c r="Q18" s="483">
        <f t="shared" si="7"/>
        <v>96.267025086546809</v>
      </c>
      <c r="R18" s="483">
        <f t="shared" si="7"/>
        <v>74.282939675183428</v>
      </c>
      <c r="S18" s="483">
        <f t="shared" si="7"/>
        <v>77.691438545887451</v>
      </c>
      <c r="T18" s="483">
        <f t="shared" si="7"/>
        <v>80.014522441042786</v>
      </c>
      <c r="U18" s="483">
        <f t="shared" si="7"/>
        <v>81.712731586007934</v>
      </c>
      <c r="V18" s="483">
        <f t="shared" si="7"/>
        <v>82.949209412536121</v>
      </c>
      <c r="W18" s="483">
        <f t="shared" si="7"/>
        <v>84.314672750845261</v>
      </c>
      <c r="X18" s="483">
        <f t="shared" si="7"/>
        <v>85.652811517689884</v>
      </c>
      <c r="Y18" s="483">
        <f t="shared" si="7"/>
        <v>86.883932814730045</v>
      </c>
      <c r="Z18" s="483">
        <f t="shared" si="7"/>
        <v>88.17668470166312</v>
      </c>
      <c r="AA18" s="483">
        <f t="shared" si="8"/>
        <v>89.399874602600562</v>
      </c>
      <c r="AB18" s="483">
        <f t="shared" si="8"/>
        <v>89.093730840397711</v>
      </c>
      <c r="AC18" s="483">
        <f t="shared" si="8"/>
        <v>88.786854893898322</v>
      </c>
      <c r="AD18" s="483">
        <f t="shared" si="8"/>
        <v>88.481245986171288</v>
      </c>
      <c r="AE18" s="483">
        <f t="shared" si="8"/>
        <v>88.174869481157842</v>
      </c>
      <c r="AF18" s="483">
        <f t="shared" si="8"/>
        <v>87.868589672609204</v>
      </c>
      <c r="AG18" s="483">
        <f t="shared" si="8"/>
        <v>87.561383985383955</v>
      </c>
      <c r="AH18" s="483">
        <f t="shared" si="8"/>
        <v>87.255260877276157</v>
      </c>
      <c r="AI18" s="483">
        <f t="shared" si="8"/>
        <v>86.948407292957839</v>
      </c>
      <c r="AJ18" s="483">
        <f t="shared" si="8"/>
        <v>86.642482546272987</v>
      </c>
      <c r="AK18" s="483">
        <f t="shared" si="9"/>
        <v>86.336255922780509</v>
      </c>
      <c r="AL18" s="483">
        <f t="shared" si="9"/>
        <v>86.030029803612607</v>
      </c>
      <c r="AM18" s="483">
        <f t="shared" si="9"/>
        <v>85.726964003619855</v>
      </c>
      <c r="AN18" s="483">
        <f t="shared" si="9"/>
        <v>85.423903946081424</v>
      </c>
      <c r="AO18" s="483">
        <f t="shared" si="9"/>
        <v>85.120849638339479</v>
      </c>
      <c r="AP18" s="483">
        <f t="shared" si="9"/>
        <v>84.817801087745465</v>
      </c>
      <c r="AQ18" s="483">
        <f t="shared" si="9"/>
        <v>84.514758301660265</v>
      </c>
      <c r="AR18" s="483">
        <f t="shared" si="9"/>
        <v>84.211721287454196</v>
      </c>
      <c r="AS18" s="483">
        <f t="shared" si="9"/>
        <v>83.908690052506984</v>
      </c>
      <c r="AT18" s="483">
        <f t="shared" si="9"/>
        <v>83.60566460420776</v>
      </c>
      <c r="AU18" s="483">
        <f t="shared" si="9"/>
        <v>83.302644949955152</v>
      </c>
      <c r="AV18" s="484">
        <v>5</v>
      </c>
      <c r="AW18" s="483"/>
      <c r="AX18" s="483"/>
      <c r="AY18" s="483"/>
      <c r="AZ18" s="598"/>
      <c r="BA18" s="602"/>
      <c r="BB18" s="602"/>
      <c r="BC18" s="602"/>
      <c r="BQ18" s="603"/>
      <c r="BR18" s="603"/>
      <c r="BS18" s="603"/>
      <c r="BT18" s="603"/>
      <c r="BU18" s="603"/>
      <c r="BV18" s="603"/>
      <c r="BW18" s="603"/>
      <c r="BX18" s="603"/>
      <c r="BY18" s="603"/>
      <c r="BZ18" s="603"/>
      <c r="CA18" s="603"/>
      <c r="CB18" s="603"/>
      <c r="CC18" s="603"/>
      <c r="CD18" s="603"/>
      <c r="CE18" s="603"/>
      <c r="CF18" s="603"/>
      <c r="CG18" s="518"/>
      <c r="CH18" s="518"/>
    </row>
    <row r="19" spans="2:90" ht="14.4">
      <c r="B19" s="8" t="str">
        <f>Processes!D18</f>
        <v>IMPKER</v>
      </c>
      <c r="C19" s="8" t="str">
        <f>Processes!E18</f>
        <v>Import technology - Kerosene</v>
      </c>
      <c r="D19" s="216"/>
      <c r="E19" s="216" t="str">
        <f t="shared" si="4"/>
        <v>KER</v>
      </c>
      <c r="F19" s="1119" t="str">
        <f t="shared" si="5"/>
        <v>MKr19</v>
      </c>
      <c r="G19" s="483">
        <f t="shared" si="6"/>
        <v>76.5</v>
      </c>
      <c r="H19" s="483">
        <f t="shared" si="6"/>
        <v>112.4</v>
      </c>
      <c r="I19" s="483">
        <f t="shared" si="6"/>
        <v>116.3</v>
      </c>
      <c r="J19" s="483">
        <f t="shared" si="6"/>
        <v>118.6</v>
      </c>
      <c r="K19" s="483">
        <f t="shared" si="6"/>
        <v>110.1</v>
      </c>
      <c r="L19" s="483">
        <f t="shared" si="6"/>
        <v>73.5</v>
      </c>
      <c r="M19" s="483">
        <f t="shared" si="6"/>
        <v>70.599999999999994</v>
      </c>
      <c r="N19" s="483">
        <f t="shared" si="6"/>
        <v>74.7</v>
      </c>
      <c r="O19" s="483">
        <f t="shared" si="6"/>
        <v>99.501075794723519</v>
      </c>
      <c r="P19" s="483">
        <f t="shared" si="6"/>
        <v>92.996963615472367</v>
      </c>
      <c r="Q19" s="483">
        <f t="shared" si="7"/>
        <v>91.517025086546809</v>
      </c>
      <c r="R19" s="483">
        <f t="shared" si="7"/>
        <v>69.532939675183428</v>
      </c>
      <c r="S19" s="483">
        <f t="shared" si="7"/>
        <v>72.941438545887451</v>
      </c>
      <c r="T19" s="483">
        <f t="shared" si="7"/>
        <v>75.264522441042786</v>
      </c>
      <c r="U19" s="483">
        <f t="shared" si="7"/>
        <v>76.962731586007934</v>
      </c>
      <c r="V19" s="483">
        <f t="shared" si="7"/>
        <v>78.199209412536121</v>
      </c>
      <c r="W19" s="483">
        <f t="shared" si="7"/>
        <v>79.564672750845261</v>
      </c>
      <c r="X19" s="483">
        <f t="shared" si="7"/>
        <v>80.902811517689884</v>
      </c>
      <c r="Y19" s="483">
        <f t="shared" si="7"/>
        <v>82.133932814730045</v>
      </c>
      <c r="Z19" s="483">
        <f t="shared" si="7"/>
        <v>83.42668470166312</v>
      </c>
      <c r="AA19" s="483">
        <f t="shared" si="8"/>
        <v>84.649874602600562</v>
      </c>
      <c r="AB19" s="483">
        <f t="shared" si="8"/>
        <v>84.343730840397711</v>
      </c>
      <c r="AC19" s="483">
        <f t="shared" si="8"/>
        <v>84.036854893898322</v>
      </c>
      <c r="AD19" s="483">
        <f t="shared" si="8"/>
        <v>83.731245986171288</v>
      </c>
      <c r="AE19" s="483">
        <f t="shared" si="8"/>
        <v>83.424869481157842</v>
      </c>
      <c r="AF19" s="483">
        <f t="shared" si="8"/>
        <v>83.118589672609204</v>
      </c>
      <c r="AG19" s="483">
        <f t="shared" si="8"/>
        <v>82.811383985383955</v>
      </c>
      <c r="AH19" s="483">
        <f t="shared" si="8"/>
        <v>82.505260877276157</v>
      </c>
      <c r="AI19" s="483">
        <f t="shared" si="8"/>
        <v>82.198407292957839</v>
      </c>
      <c r="AJ19" s="483">
        <f t="shared" si="8"/>
        <v>81.892482546272987</v>
      </c>
      <c r="AK19" s="483">
        <f t="shared" si="9"/>
        <v>81.586255922780509</v>
      </c>
      <c r="AL19" s="483">
        <f t="shared" si="9"/>
        <v>81.280029803612607</v>
      </c>
      <c r="AM19" s="483">
        <f t="shared" si="9"/>
        <v>80.976964003619855</v>
      </c>
      <c r="AN19" s="483">
        <f t="shared" si="9"/>
        <v>80.673903946081424</v>
      </c>
      <c r="AO19" s="483">
        <f t="shared" si="9"/>
        <v>80.370849638339479</v>
      </c>
      <c r="AP19" s="483">
        <f t="shared" si="9"/>
        <v>80.067801087745465</v>
      </c>
      <c r="AQ19" s="483">
        <f t="shared" si="9"/>
        <v>79.764758301660265</v>
      </c>
      <c r="AR19" s="483">
        <f t="shared" si="9"/>
        <v>79.461721287454196</v>
      </c>
      <c r="AS19" s="483">
        <f t="shared" si="9"/>
        <v>79.158690052506984</v>
      </c>
      <c r="AT19" s="483">
        <f t="shared" si="9"/>
        <v>78.85566460420776</v>
      </c>
      <c r="AU19" s="483">
        <f t="shared" si="9"/>
        <v>78.552644949955152</v>
      </c>
      <c r="AV19" s="484">
        <v>5</v>
      </c>
      <c r="AW19" s="483"/>
      <c r="AX19" s="483"/>
      <c r="AY19" s="483"/>
      <c r="AZ19" s="598"/>
      <c r="BA19" s="602"/>
      <c r="BB19" s="602"/>
      <c r="BC19" s="602"/>
      <c r="BQ19" s="603"/>
      <c r="BR19" s="603"/>
      <c r="BS19" s="603"/>
      <c r="BT19" s="603"/>
      <c r="BU19" s="603"/>
      <c r="BV19" s="603"/>
      <c r="BW19" s="603"/>
      <c r="BX19" s="603"/>
      <c r="BY19" s="603"/>
      <c r="BZ19" s="603"/>
      <c r="CA19" s="603"/>
      <c r="CB19" s="603"/>
      <c r="CC19" s="603"/>
      <c r="CD19" s="603"/>
      <c r="CE19" s="603"/>
      <c r="CF19" s="603"/>
      <c r="CG19" s="518"/>
      <c r="CH19" s="518"/>
    </row>
    <row r="20" spans="2:90" s="1" customFormat="1" ht="14.4">
      <c r="B20" s="8" t="str">
        <f>Processes!D19</f>
        <v>IMPDSL</v>
      </c>
      <c r="C20" s="8" t="str">
        <f>Processes!E19</f>
        <v>Import technology - Diesel</v>
      </c>
      <c r="D20" s="216"/>
      <c r="E20" s="216" t="str">
        <f t="shared" si="4"/>
        <v>DSL</v>
      </c>
      <c r="F20" s="1119" t="str">
        <f t="shared" si="5"/>
        <v>MKr19</v>
      </c>
      <c r="G20" s="483">
        <f t="shared" si="6"/>
        <v>105.4</v>
      </c>
      <c r="H20" s="483">
        <f t="shared" si="6"/>
        <v>117.4</v>
      </c>
      <c r="I20" s="483">
        <f t="shared" si="6"/>
        <v>134.19999999999999</v>
      </c>
      <c r="J20" s="483">
        <f t="shared" si="6"/>
        <v>123.2</v>
      </c>
      <c r="K20" s="483">
        <f t="shared" si="6"/>
        <v>113.5</v>
      </c>
      <c r="L20" s="483">
        <f t="shared" si="6"/>
        <v>77</v>
      </c>
      <c r="M20" s="483">
        <f t="shared" si="6"/>
        <v>74</v>
      </c>
      <c r="N20" s="483">
        <f t="shared" si="6"/>
        <v>78.2</v>
      </c>
      <c r="O20" s="483">
        <f t="shared" si="6"/>
        <v>101.50107579472352</v>
      </c>
      <c r="P20" s="483">
        <f t="shared" si="6"/>
        <v>95.586963615472371</v>
      </c>
      <c r="Q20" s="483">
        <f t="shared" si="7"/>
        <v>94.107025086546813</v>
      </c>
      <c r="R20" s="483">
        <f t="shared" si="7"/>
        <v>72.122939675183432</v>
      </c>
      <c r="S20" s="483">
        <f t="shared" si="7"/>
        <v>75.531438545887454</v>
      </c>
      <c r="T20" s="483">
        <f t="shared" si="7"/>
        <v>77.854522441042789</v>
      </c>
      <c r="U20" s="483">
        <f t="shared" si="7"/>
        <v>79.552731586007937</v>
      </c>
      <c r="V20" s="483">
        <f t="shared" si="7"/>
        <v>80.789209412536124</v>
      </c>
      <c r="W20" s="483">
        <f t="shared" si="7"/>
        <v>82.154672750845265</v>
      </c>
      <c r="X20" s="483">
        <f t="shared" si="7"/>
        <v>83.492811517689887</v>
      </c>
      <c r="Y20" s="483">
        <f t="shared" si="7"/>
        <v>84.723932814730048</v>
      </c>
      <c r="Z20" s="483">
        <f t="shared" si="7"/>
        <v>86.016684701663124</v>
      </c>
      <c r="AA20" s="483">
        <f t="shared" si="8"/>
        <v>87.239874602600565</v>
      </c>
      <c r="AB20" s="483">
        <f t="shared" si="8"/>
        <v>86.933730840397715</v>
      </c>
      <c r="AC20" s="483">
        <f t="shared" si="8"/>
        <v>86.626854893898326</v>
      </c>
      <c r="AD20" s="483">
        <f t="shared" si="8"/>
        <v>86.321245986171292</v>
      </c>
      <c r="AE20" s="483">
        <f t="shared" si="8"/>
        <v>86.014869481157845</v>
      </c>
      <c r="AF20" s="483">
        <f t="shared" si="8"/>
        <v>85.708589672609207</v>
      </c>
      <c r="AG20" s="483">
        <f t="shared" si="8"/>
        <v>85.401383985383958</v>
      </c>
      <c r="AH20" s="483">
        <f t="shared" si="8"/>
        <v>85.095260877276161</v>
      </c>
      <c r="AI20" s="483">
        <f t="shared" si="8"/>
        <v>84.788407292957842</v>
      </c>
      <c r="AJ20" s="483">
        <f t="shared" si="8"/>
        <v>84.48248254627299</v>
      </c>
      <c r="AK20" s="483">
        <f t="shared" si="9"/>
        <v>84.176255922780513</v>
      </c>
      <c r="AL20" s="483">
        <f t="shared" si="9"/>
        <v>83.87002980361261</v>
      </c>
      <c r="AM20" s="483">
        <f t="shared" si="9"/>
        <v>83.566964003619859</v>
      </c>
      <c r="AN20" s="483">
        <f t="shared" si="9"/>
        <v>83.263903946081427</v>
      </c>
      <c r="AO20" s="483">
        <f t="shared" si="9"/>
        <v>82.960849638339482</v>
      </c>
      <c r="AP20" s="483">
        <f t="shared" si="9"/>
        <v>82.657801087745469</v>
      </c>
      <c r="AQ20" s="483">
        <f t="shared" si="9"/>
        <v>82.354758301660269</v>
      </c>
      <c r="AR20" s="483">
        <f t="shared" si="9"/>
        <v>82.0517212874542</v>
      </c>
      <c r="AS20" s="483">
        <f t="shared" si="9"/>
        <v>81.748690052506987</v>
      </c>
      <c r="AT20" s="483">
        <f t="shared" si="9"/>
        <v>81.445664604207764</v>
      </c>
      <c r="AU20" s="483">
        <f t="shared" si="9"/>
        <v>81.142644949955155</v>
      </c>
      <c r="AV20" s="484">
        <v>5</v>
      </c>
      <c r="AW20" s="483"/>
      <c r="AX20" s="483"/>
      <c r="AY20" s="483"/>
      <c r="AZ20" s="596"/>
      <c r="BA20" s="602"/>
      <c r="BB20" s="602"/>
      <c r="BC20" s="602"/>
      <c r="BD20" s="602"/>
      <c r="BE20" s="602"/>
      <c r="BF20" s="602"/>
      <c r="BG20" s="602"/>
      <c r="BH20" s="602"/>
      <c r="BI20" s="602"/>
      <c r="BJ20" s="602"/>
      <c r="BK20" s="602"/>
      <c r="BL20" s="602"/>
      <c r="BM20" s="602"/>
      <c r="BN20" s="602"/>
      <c r="BO20" s="602"/>
      <c r="BP20" s="602"/>
      <c r="BQ20" s="603"/>
      <c r="BR20" s="603"/>
      <c r="BS20" s="603"/>
      <c r="BT20" s="603"/>
      <c r="BU20" s="603"/>
      <c r="BV20" s="603"/>
      <c r="BW20" s="603"/>
      <c r="BX20" s="603"/>
      <c r="BY20" s="603"/>
      <c r="BZ20" s="603"/>
      <c r="CA20" s="603"/>
      <c r="CB20" s="603"/>
      <c r="CC20" s="603"/>
      <c r="CD20" s="603"/>
      <c r="CE20" s="603"/>
      <c r="CF20" s="603"/>
      <c r="CG20" s="518"/>
      <c r="CH20" s="518"/>
    </row>
    <row r="21" spans="2:90" s="1" customFormat="1" ht="14.4">
      <c r="B21" s="8" t="str">
        <f>Processes!D20</f>
        <v>IMPHFO</v>
      </c>
      <c r="C21" s="8" t="str">
        <f>Processes!E20</f>
        <v>Import technology - Heavy Fuel Oil</v>
      </c>
      <c r="D21" s="486"/>
      <c r="E21" s="216" t="str">
        <f t="shared" si="4"/>
        <v>HFO</v>
      </c>
      <c r="F21" s="1119" t="str">
        <f t="shared" si="5"/>
        <v>MKr19</v>
      </c>
      <c r="G21" s="483">
        <f t="shared" si="6"/>
        <v>68.2</v>
      </c>
      <c r="H21" s="483">
        <f t="shared" si="6"/>
        <v>102</v>
      </c>
      <c r="I21" s="483">
        <f t="shared" si="6"/>
        <v>96.2</v>
      </c>
      <c r="J21" s="483">
        <f t="shared" si="6"/>
        <v>91.7</v>
      </c>
      <c r="K21" s="483">
        <f t="shared" si="6"/>
        <v>84</v>
      </c>
      <c r="L21" s="483">
        <f t="shared" si="6"/>
        <v>47.5</v>
      </c>
      <c r="M21" s="483">
        <f t="shared" si="6"/>
        <v>44.5</v>
      </c>
      <c r="N21" s="483">
        <f t="shared" si="6"/>
        <v>48.7</v>
      </c>
      <c r="O21" s="483">
        <f t="shared" si="6"/>
        <v>67.735141438725293</v>
      </c>
      <c r="P21" s="483">
        <f t="shared" si="6"/>
        <v>61.821029259474152</v>
      </c>
      <c r="Q21" s="483">
        <f t="shared" si="7"/>
        <v>60.341090730548601</v>
      </c>
      <c r="R21" s="483">
        <f t="shared" si="7"/>
        <v>38.35700531918522</v>
      </c>
      <c r="S21" s="483">
        <f t="shared" si="7"/>
        <v>41.765504189889249</v>
      </c>
      <c r="T21" s="483">
        <f t="shared" si="7"/>
        <v>44.088588085044584</v>
      </c>
      <c r="U21" s="483">
        <f t="shared" si="7"/>
        <v>45.786797230009718</v>
      </c>
      <c r="V21" s="483">
        <f t="shared" si="7"/>
        <v>47.023275056537912</v>
      </c>
      <c r="W21" s="483">
        <f t="shared" si="7"/>
        <v>48.388738394847046</v>
      </c>
      <c r="X21" s="483">
        <f t="shared" si="7"/>
        <v>49.726877161691675</v>
      </c>
      <c r="Y21" s="483">
        <f t="shared" si="7"/>
        <v>50.957998458731836</v>
      </c>
      <c r="Z21" s="483">
        <f t="shared" si="7"/>
        <v>52.250750345664912</v>
      </c>
      <c r="AA21" s="483">
        <f t="shared" si="8"/>
        <v>53.473940246602353</v>
      </c>
      <c r="AB21" s="483">
        <f t="shared" si="8"/>
        <v>53.16779648439951</v>
      </c>
      <c r="AC21" s="483">
        <f t="shared" si="8"/>
        <v>52.860920537900107</v>
      </c>
      <c r="AD21" s="483">
        <f t="shared" si="8"/>
        <v>52.55531163017308</v>
      </c>
      <c r="AE21" s="483">
        <f t="shared" si="8"/>
        <v>52.248935125159633</v>
      </c>
      <c r="AF21" s="483">
        <f t="shared" si="8"/>
        <v>51.942655316610988</v>
      </c>
      <c r="AG21" s="483">
        <f t="shared" si="8"/>
        <v>51.635449629385747</v>
      </c>
      <c r="AH21" s="483">
        <f t="shared" si="8"/>
        <v>51.329326521277956</v>
      </c>
      <c r="AI21" s="483">
        <f t="shared" si="8"/>
        <v>51.022472936959623</v>
      </c>
      <c r="AJ21" s="483">
        <f t="shared" si="8"/>
        <v>50.716548190274779</v>
      </c>
      <c r="AK21" s="483">
        <f t="shared" si="9"/>
        <v>50.410321566782294</v>
      </c>
      <c r="AL21" s="483">
        <f t="shared" si="9"/>
        <v>50.104095447614391</v>
      </c>
      <c r="AM21" s="483">
        <f t="shared" si="9"/>
        <v>49.801029647621633</v>
      </c>
      <c r="AN21" s="483">
        <f t="shared" si="9"/>
        <v>49.497969590083216</v>
      </c>
      <c r="AO21" s="483">
        <f t="shared" si="9"/>
        <v>49.19491528234127</v>
      </c>
      <c r="AP21" s="483">
        <f t="shared" si="9"/>
        <v>48.89186673174725</v>
      </c>
      <c r="AQ21" s="483">
        <f t="shared" si="9"/>
        <v>48.588823945662064</v>
      </c>
      <c r="AR21" s="483">
        <f t="shared" si="9"/>
        <v>48.285786931455988</v>
      </c>
      <c r="AS21" s="483">
        <f t="shared" si="9"/>
        <v>47.982755696508768</v>
      </c>
      <c r="AT21" s="483">
        <f t="shared" si="9"/>
        <v>47.679730248209545</v>
      </c>
      <c r="AU21" s="483">
        <f t="shared" si="9"/>
        <v>47.376710593956936</v>
      </c>
      <c r="AV21" s="484">
        <v>5</v>
      </c>
      <c r="AW21" s="596"/>
      <c r="AX21" s="604"/>
      <c r="AY21" s="604"/>
      <c r="AZ21" s="596"/>
      <c r="BA21" s="602"/>
      <c r="BB21" s="602"/>
      <c r="BC21" s="602"/>
      <c r="BD21" s="602"/>
      <c r="BE21" s="602"/>
      <c r="BF21" s="602"/>
      <c r="BG21" s="602"/>
      <c r="BH21" s="602"/>
      <c r="BI21" s="602"/>
      <c r="BJ21" s="602"/>
      <c r="BK21" s="602"/>
      <c r="BL21" s="602"/>
      <c r="BM21" s="602"/>
      <c r="BN21" s="602"/>
      <c r="BO21" s="602"/>
      <c r="BP21" s="602"/>
      <c r="BQ21" s="603"/>
      <c r="BR21" s="603"/>
      <c r="BS21" s="603"/>
      <c r="BT21" s="603"/>
      <c r="BU21" s="603"/>
      <c r="BV21" s="603"/>
      <c r="BW21" s="603"/>
      <c r="BX21" s="603"/>
      <c r="BY21" s="603"/>
      <c r="BZ21" s="603"/>
      <c r="CA21" s="603"/>
      <c r="CB21" s="603"/>
      <c r="CC21" s="603"/>
      <c r="CD21" s="603"/>
      <c r="CE21" s="603"/>
      <c r="CF21" s="603"/>
      <c r="CJ21" s="523"/>
      <c r="CK21" s="523"/>
      <c r="CL21" s="523"/>
    </row>
    <row r="22" spans="2:90" ht="14.4">
      <c r="B22" s="8" t="str">
        <f>Processes!D21</f>
        <v>IMPMGO</v>
      </c>
      <c r="C22" s="8" t="str">
        <f>Processes!E21</f>
        <v>Import technology - Marine Gas Oil</v>
      </c>
      <c r="D22" s="216"/>
      <c r="E22" s="216" t="str">
        <f t="shared" si="4"/>
        <v>MGO</v>
      </c>
      <c r="F22" s="1119" t="str">
        <f t="shared" si="5"/>
        <v>MKr19</v>
      </c>
      <c r="G22" s="483">
        <f t="shared" si="6"/>
        <v>68.2</v>
      </c>
      <c r="H22" s="483">
        <f t="shared" si="6"/>
        <v>102</v>
      </c>
      <c r="I22" s="483">
        <f t="shared" si="6"/>
        <v>96.2</v>
      </c>
      <c r="J22" s="483">
        <f t="shared" si="6"/>
        <v>91.7</v>
      </c>
      <c r="K22" s="483">
        <f t="shared" si="6"/>
        <v>84</v>
      </c>
      <c r="L22" s="483">
        <f t="shared" si="6"/>
        <v>47.5</v>
      </c>
      <c r="M22" s="483">
        <f t="shared" si="6"/>
        <v>44.5</v>
      </c>
      <c r="N22" s="483">
        <f t="shared" si="6"/>
        <v>48.7</v>
      </c>
      <c r="O22" s="483">
        <f t="shared" si="6"/>
        <v>67.735141438725293</v>
      </c>
      <c r="P22" s="483">
        <f t="shared" si="6"/>
        <v>61.821029259474152</v>
      </c>
      <c r="Q22" s="483">
        <f t="shared" si="7"/>
        <v>60.341090730548601</v>
      </c>
      <c r="R22" s="483">
        <f t="shared" si="7"/>
        <v>38.35700531918522</v>
      </c>
      <c r="S22" s="483">
        <f t="shared" si="7"/>
        <v>41.765504189889249</v>
      </c>
      <c r="T22" s="483">
        <f t="shared" si="7"/>
        <v>44.088588085044584</v>
      </c>
      <c r="U22" s="483">
        <f t="shared" si="7"/>
        <v>45.786797230009718</v>
      </c>
      <c r="V22" s="483">
        <f t="shared" si="7"/>
        <v>47.023275056537912</v>
      </c>
      <c r="W22" s="483">
        <f t="shared" si="7"/>
        <v>48.388738394847046</v>
      </c>
      <c r="X22" s="483">
        <f t="shared" si="7"/>
        <v>49.726877161691675</v>
      </c>
      <c r="Y22" s="483">
        <f t="shared" si="7"/>
        <v>50.957998458731836</v>
      </c>
      <c r="Z22" s="483">
        <f t="shared" si="7"/>
        <v>52.250750345664912</v>
      </c>
      <c r="AA22" s="483">
        <f t="shared" si="8"/>
        <v>53.473940246602353</v>
      </c>
      <c r="AB22" s="483">
        <f t="shared" si="8"/>
        <v>53.16779648439951</v>
      </c>
      <c r="AC22" s="483">
        <f t="shared" si="8"/>
        <v>52.860920537900107</v>
      </c>
      <c r="AD22" s="483">
        <f t="shared" si="8"/>
        <v>52.55531163017308</v>
      </c>
      <c r="AE22" s="483">
        <f t="shared" si="8"/>
        <v>52.248935125159633</v>
      </c>
      <c r="AF22" s="483">
        <f t="shared" si="8"/>
        <v>51.942655316610988</v>
      </c>
      <c r="AG22" s="483">
        <f t="shared" si="8"/>
        <v>51.635449629385747</v>
      </c>
      <c r="AH22" s="483">
        <f t="shared" si="8"/>
        <v>51.329326521277956</v>
      </c>
      <c r="AI22" s="483">
        <f t="shared" si="8"/>
        <v>51.022472936959623</v>
      </c>
      <c r="AJ22" s="483">
        <f t="shared" si="8"/>
        <v>50.716548190274779</v>
      </c>
      <c r="AK22" s="483">
        <f t="shared" si="9"/>
        <v>50.410321566782294</v>
      </c>
      <c r="AL22" s="483">
        <f t="shared" si="9"/>
        <v>50.104095447614391</v>
      </c>
      <c r="AM22" s="483">
        <f t="shared" si="9"/>
        <v>49.801029647621633</v>
      </c>
      <c r="AN22" s="483">
        <f t="shared" si="9"/>
        <v>49.497969590083216</v>
      </c>
      <c r="AO22" s="483">
        <f t="shared" si="9"/>
        <v>49.19491528234127</v>
      </c>
      <c r="AP22" s="483">
        <f t="shared" si="9"/>
        <v>48.89186673174725</v>
      </c>
      <c r="AQ22" s="483">
        <f t="shared" si="9"/>
        <v>48.588823945662064</v>
      </c>
      <c r="AR22" s="483">
        <f t="shared" si="9"/>
        <v>48.285786931455988</v>
      </c>
      <c r="AS22" s="483">
        <f t="shared" si="9"/>
        <v>47.982755696508768</v>
      </c>
      <c r="AT22" s="483">
        <f t="shared" si="9"/>
        <v>47.679730248209545</v>
      </c>
      <c r="AU22" s="483">
        <f t="shared" si="9"/>
        <v>47.376710593956936</v>
      </c>
      <c r="AV22" s="484">
        <v>5</v>
      </c>
      <c r="AW22" s="483"/>
      <c r="AX22" s="483"/>
      <c r="AY22" s="483"/>
      <c r="BA22" s="602"/>
      <c r="BB22" s="602"/>
      <c r="BC22" s="602"/>
      <c r="CG22" s="518"/>
      <c r="CH22" s="518"/>
    </row>
    <row r="23" spans="2:90" ht="14.4">
      <c r="B23" s="8" t="str">
        <f>Processes!D22</f>
        <v>IMPAGSL</v>
      </c>
      <c r="C23" s="8" t="str">
        <f>Processes!E22</f>
        <v>Import technology - Aviation gasoline</v>
      </c>
      <c r="D23" s="216"/>
      <c r="E23" s="216" t="str">
        <f t="shared" si="4"/>
        <v>AGSL</v>
      </c>
      <c r="F23" s="1119" t="str">
        <f t="shared" si="5"/>
        <v>MKr19</v>
      </c>
      <c r="G23" s="483">
        <f t="shared" si="6"/>
        <v>76.5</v>
      </c>
      <c r="H23" s="483">
        <f t="shared" si="6"/>
        <v>112.4</v>
      </c>
      <c r="I23" s="483">
        <f t="shared" si="6"/>
        <v>116.3</v>
      </c>
      <c r="J23" s="483">
        <f t="shared" si="6"/>
        <v>118.6</v>
      </c>
      <c r="K23" s="483">
        <f t="shared" si="6"/>
        <v>110.1</v>
      </c>
      <c r="L23" s="483">
        <f t="shared" si="6"/>
        <v>73.5</v>
      </c>
      <c r="M23" s="483">
        <f t="shared" si="6"/>
        <v>70.599999999999994</v>
      </c>
      <c r="N23" s="483">
        <f t="shared" si="6"/>
        <v>74.7</v>
      </c>
      <c r="O23" s="483">
        <f t="shared" si="6"/>
        <v>99.501075794723519</v>
      </c>
      <c r="P23" s="483">
        <f t="shared" si="6"/>
        <v>92.996963615472367</v>
      </c>
      <c r="Q23" s="483">
        <f t="shared" si="7"/>
        <v>91.517025086546809</v>
      </c>
      <c r="R23" s="483">
        <f t="shared" si="7"/>
        <v>69.532939675183428</v>
      </c>
      <c r="S23" s="483">
        <f t="shared" si="7"/>
        <v>72.941438545887451</v>
      </c>
      <c r="T23" s="483">
        <f t="shared" si="7"/>
        <v>75.264522441042786</v>
      </c>
      <c r="U23" s="483">
        <f t="shared" si="7"/>
        <v>76.962731586007934</v>
      </c>
      <c r="V23" s="483">
        <f t="shared" si="7"/>
        <v>78.199209412536121</v>
      </c>
      <c r="W23" s="483">
        <f t="shared" si="7"/>
        <v>79.564672750845261</v>
      </c>
      <c r="X23" s="483">
        <f t="shared" si="7"/>
        <v>80.902811517689884</v>
      </c>
      <c r="Y23" s="483">
        <f t="shared" si="7"/>
        <v>82.133932814730045</v>
      </c>
      <c r="Z23" s="483">
        <f t="shared" si="7"/>
        <v>83.42668470166312</v>
      </c>
      <c r="AA23" s="483">
        <f t="shared" si="8"/>
        <v>84.649874602600562</v>
      </c>
      <c r="AB23" s="483">
        <f t="shared" si="8"/>
        <v>84.343730840397711</v>
      </c>
      <c r="AC23" s="483">
        <f t="shared" si="8"/>
        <v>84.036854893898322</v>
      </c>
      <c r="AD23" s="483">
        <f t="shared" si="8"/>
        <v>83.731245986171288</v>
      </c>
      <c r="AE23" s="483">
        <f t="shared" si="8"/>
        <v>83.424869481157842</v>
      </c>
      <c r="AF23" s="483">
        <f t="shared" si="8"/>
        <v>83.118589672609204</v>
      </c>
      <c r="AG23" s="483">
        <f t="shared" si="8"/>
        <v>82.811383985383955</v>
      </c>
      <c r="AH23" s="483">
        <f t="shared" si="8"/>
        <v>82.505260877276157</v>
      </c>
      <c r="AI23" s="483">
        <f t="shared" si="8"/>
        <v>82.198407292957839</v>
      </c>
      <c r="AJ23" s="483">
        <f t="shared" si="8"/>
        <v>81.892482546272987</v>
      </c>
      <c r="AK23" s="483">
        <f t="shared" si="9"/>
        <v>81.586255922780509</v>
      </c>
      <c r="AL23" s="483">
        <f t="shared" si="9"/>
        <v>81.280029803612607</v>
      </c>
      <c r="AM23" s="483">
        <f t="shared" si="9"/>
        <v>80.976964003619855</v>
      </c>
      <c r="AN23" s="483">
        <f t="shared" si="9"/>
        <v>80.673903946081424</v>
      </c>
      <c r="AO23" s="483">
        <f t="shared" si="9"/>
        <v>80.370849638339479</v>
      </c>
      <c r="AP23" s="483">
        <f t="shared" si="9"/>
        <v>80.067801087745465</v>
      </c>
      <c r="AQ23" s="483">
        <f t="shared" si="9"/>
        <v>79.764758301660265</v>
      </c>
      <c r="AR23" s="483">
        <f t="shared" si="9"/>
        <v>79.461721287454196</v>
      </c>
      <c r="AS23" s="483">
        <f t="shared" si="9"/>
        <v>79.158690052506984</v>
      </c>
      <c r="AT23" s="483">
        <f t="shared" si="9"/>
        <v>78.85566460420776</v>
      </c>
      <c r="AU23" s="483">
        <f t="shared" si="9"/>
        <v>78.552644949955152</v>
      </c>
      <c r="AV23" s="484">
        <v>5</v>
      </c>
      <c r="CG23" s="518"/>
      <c r="CH23" s="518"/>
    </row>
    <row r="24" spans="2:90" ht="14.4">
      <c r="B24" s="8" t="str">
        <f>Processes!D23</f>
        <v>IMPBGA</v>
      </c>
      <c r="C24" s="8" t="str">
        <f>Processes!E23</f>
        <v>Import technology - Biogas</v>
      </c>
      <c r="D24" s="216"/>
      <c r="E24" s="216" t="str">
        <f t="shared" si="4"/>
        <v>BGA</v>
      </c>
      <c r="F24" s="1119" t="str">
        <f t="shared" si="5"/>
        <v>MKr19</v>
      </c>
      <c r="G24" s="483">
        <f t="shared" si="6"/>
        <v>133.19999999999999</v>
      </c>
      <c r="H24" s="483">
        <f t="shared" si="6"/>
        <v>138.30000000000001</v>
      </c>
      <c r="I24" s="483">
        <f t="shared" si="6"/>
        <v>165.3</v>
      </c>
      <c r="J24" s="483">
        <f t="shared" si="6"/>
        <v>162.60000000000002</v>
      </c>
      <c r="K24" s="483">
        <f t="shared" si="6"/>
        <v>137.10000000000002</v>
      </c>
      <c r="L24" s="483">
        <f t="shared" si="6"/>
        <v>132</v>
      </c>
      <c r="M24" s="483">
        <f t="shared" si="6"/>
        <v>110.39999999999999</v>
      </c>
      <c r="N24" s="483">
        <f t="shared" si="6"/>
        <v>110.69999999999999</v>
      </c>
      <c r="O24" s="483">
        <f t="shared" si="6"/>
        <v>160.26655014555075</v>
      </c>
      <c r="P24" s="483">
        <f t="shared" si="6"/>
        <v>102.78303372186139</v>
      </c>
      <c r="Q24" s="483">
        <f t="shared" si="7"/>
        <v>100.19354995944677</v>
      </c>
      <c r="R24" s="483">
        <f t="shared" si="7"/>
        <v>94.575870076314601</v>
      </c>
      <c r="S24" s="483">
        <f t="shared" si="7"/>
        <v>98.287645864625688</v>
      </c>
      <c r="T24" s="483">
        <f t="shared" si="7"/>
        <v>100.1030649386264</v>
      </c>
      <c r="U24" s="483">
        <f t="shared" si="7"/>
        <v>100.70137176108622</v>
      </c>
      <c r="V24" s="483">
        <f t="shared" si="7"/>
        <v>100.518250388741</v>
      </c>
      <c r="W24" s="483">
        <f t="shared" si="7"/>
        <v>100.40291761291219</v>
      </c>
      <c r="X24" s="483">
        <f t="shared" si="7"/>
        <v>100.32884125869501</v>
      </c>
      <c r="Y24" s="483">
        <f t="shared" si="7"/>
        <v>100.26539877136038</v>
      </c>
      <c r="Z24" s="483">
        <f t="shared" si="7"/>
        <v>100.24266074406691</v>
      </c>
      <c r="AA24" s="483">
        <f t="shared" si="8"/>
        <v>100.23645783122964</v>
      </c>
      <c r="AB24" s="483">
        <f t="shared" si="8"/>
        <v>100.37471501444514</v>
      </c>
      <c r="AC24" s="483">
        <f t="shared" si="8"/>
        <v>100.51297219766064</v>
      </c>
      <c r="AD24" s="483">
        <f t="shared" si="8"/>
        <v>100.65122938087613</v>
      </c>
      <c r="AE24" s="483">
        <f t="shared" si="8"/>
        <v>100.78948656409162</v>
      </c>
      <c r="AF24" s="483">
        <f t="shared" si="8"/>
        <v>100.92774374730713</v>
      </c>
      <c r="AG24" s="483">
        <f t="shared" si="8"/>
        <v>101.06600093052263</v>
      </c>
      <c r="AH24" s="483">
        <f t="shared" si="8"/>
        <v>101.20425811373809</v>
      </c>
      <c r="AI24" s="483">
        <f t="shared" si="8"/>
        <v>101.34251529695359</v>
      </c>
      <c r="AJ24" s="483">
        <f t="shared" si="8"/>
        <v>101.48077248016905</v>
      </c>
      <c r="AK24" s="483">
        <f t="shared" si="9"/>
        <v>101.61902966338455</v>
      </c>
      <c r="AL24" s="483">
        <f t="shared" si="9"/>
        <v>101.75728684660005</v>
      </c>
      <c r="AM24" s="483">
        <f t="shared" si="9"/>
        <v>101.89554402981554</v>
      </c>
      <c r="AN24" s="483">
        <f t="shared" si="9"/>
        <v>102.03380121303101</v>
      </c>
      <c r="AO24" s="483">
        <f t="shared" si="9"/>
        <v>102.17205839624651</v>
      </c>
      <c r="AP24" s="483">
        <f t="shared" si="9"/>
        <v>102.31031557946201</v>
      </c>
      <c r="AQ24" s="483">
        <f t="shared" si="9"/>
        <v>102.44857276267751</v>
      </c>
      <c r="AR24" s="483">
        <f t="shared" si="9"/>
        <v>102.58682994589297</v>
      </c>
      <c r="AS24" s="483">
        <f t="shared" si="9"/>
        <v>102.72508712910849</v>
      </c>
      <c r="AT24" s="483">
        <f t="shared" si="9"/>
        <v>102.86334431232396</v>
      </c>
      <c r="AU24" s="483">
        <f t="shared" si="9"/>
        <v>103.00160149553948</v>
      </c>
      <c r="AV24" s="484">
        <v>5</v>
      </c>
      <c r="BB24" s="518"/>
      <c r="BC24" s="518"/>
      <c r="BD24" s="603"/>
      <c r="BE24" s="603"/>
      <c r="BF24" s="603"/>
      <c r="BG24" s="603"/>
      <c r="BH24" s="603"/>
      <c r="BI24" s="603"/>
      <c r="BJ24" s="603"/>
      <c r="BK24" s="603"/>
      <c r="BL24" s="603"/>
      <c r="BM24" s="603"/>
      <c r="BN24" s="603"/>
      <c r="BO24" s="603"/>
      <c r="BP24" s="603"/>
      <c r="BQ24" s="603"/>
      <c r="BR24" s="603"/>
      <c r="BS24" s="603"/>
      <c r="BT24" s="603"/>
      <c r="BU24" s="603"/>
      <c r="BV24" s="603"/>
      <c r="BW24" s="603"/>
      <c r="BX24" s="603"/>
      <c r="BY24" s="603"/>
      <c r="BZ24" s="603"/>
      <c r="CA24" s="603"/>
      <c r="CB24" s="603"/>
      <c r="CC24" s="603"/>
      <c r="CD24" s="603"/>
      <c r="CE24" s="603"/>
      <c r="CF24" s="603"/>
      <c r="CG24" s="518"/>
      <c r="CH24" s="518"/>
    </row>
    <row r="25" spans="2:90" ht="14.4">
      <c r="B25" s="8" t="str">
        <f>Processes!D24</f>
        <v>IMPHFB</v>
      </c>
      <c r="C25" s="8" t="str">
        <f>Processes!E24</f>
        <v>Import technology - Heavy Fuel Bio Oil</v>
      </c>
      <c r="D25" s="216"/>
      <c r="E25" s="216" t="str">
        <f t="shared" si="4"/>
        <v>HFB</v>
      </c>
      <c r="F25" s="1119" t="str">
        <f t="shared" si="5"/>
        <v>MKr19</v>
      </c>
      <c r="G25" s="483">
        <f t="shared" si="6"/>
        <v>131.87375303359801</v>
      </c>
      <c r="H25" s="483">
        <f t="shared" si="6"/>
        <v>165.67375303359799</v>
      </c>
      <c r="I25" s="483">
        <f t="shared" si="6"/>
        <v>159.87375303359801</v>
      </c>
      <c r="J25" s="483">
        <f t="shared" si="6"/>
        <v>155.37375303359801</v>
      </c>
      <c r="K25" s="483">
        <f t="shared" si="6"/>
        <v>147.67375303359799</v>
      </c>
      <c r="L25" s="483">
        <f t="shared" si="6"/>
        <v>111.17375303359799</v>
      </c>
      <c r="M25" s="483">
        <f t="shared" si="6"/>
        <v>108.17375303359799</v>
      </c>
      <c r="N25" s="483">
        <f t="shared" si="6"/>
        <v>112.37375303359801</v>
      </c>
      <c r="O25" s="483">
        <f t="shared" si="6"/>
        <v>131.40889447232328</v>
      </c>
      <c r="P25" s="483">
        <f t="shared" si="6"/>
        <v>125.49478229307215</v>
      </c>
      <c r="Q25" s="483">
        <f t="shared" si="7"/>
        <v>124.0148437641466</v>
      </c>
      <c r="R25" s="483">
        <f t="shared" si="7"/>
        <v>102.03075835278321</v>
      </c>
      <c r="S25" s="483">
        <f t="shared" si="7"/>
        <v>105.43925722348725</v>
      </c>
      <c r="T25" s="483">
        <f t="shared" si="7"/>
        <v>107.76234111864258</v>
      </c>
      <c r="U25" s="483">
        <f t="shared" si="7"/>
        <v>109.46055026360771</v>
      </c>
      <c r="V25" s="483">
        <f t="shared" si="7"/>
        <v>110.69702809013592</v>
      </c>
      <c r="W25" s="483">
        <f t="shared" si="7"/>
        <v>112.06249142844504</v>
      </c>
      <c r="X25" s="483">
        <f t="shared" si="7"/>
        <v>113.40063019528966</v>
      </c>
      <c r="Y25" s="483">
        <f t="shared" si="7"/>
        <v>114.63175149232984</v>
      </c>
      <c r="Z25" s="483">
        <f t="shared" si="7"/>
        <v>115.92450337926292</v>
      </c>
      <c r="AA25" s="483">
        <f t="shared" si="8"/>
        <v>117.14769328020034</v>
      </c>
      <c r="AB25" s="483">
        <f t="shared" si="8"/>
        <v>116.84154951799751</v>
      </c>
      <c r="AC25" s="483">
        <f t="shared" si="8"/>
        <v>116.5346735714981</v>
      </c>
      <c r="AD25" s="483">
        <f t="shared" si="8"/>
        <v>116.22906466377108</v>
      </c>
      <c r="AE25" s="483">
        <f t="shared" si="8"/>
        <v>115.92268815875764</v>
      </c>
      <c r="AF25" s="483">
        <f t="shared" si="8"/>
        <v>115.61640835020899</v>
      </c>
      <c r="AG25" s="483">
        <f t="shared" si="8"/>
        <v>115.30920266298375</v>
      </c>
      <c r="AH25" s="483">
        <f t="shared" si="8"/>
        <v>115.00307955487595</v>
      </c>
      <c r="AI25" s="483">
        <f t="shared" si="8"/>
        <v>114.69622597055762</v>
      </c>
      <c r="AJ25" s="483">
        <f t="shared" si="8"/>
        <v>114.39030122387277</v>
      </c>
      <c r="AK25" s="483">
        <f t="shared" si="9"/>
        <v>114.08407460038029</v>
      </c>
      <c r="AL25" s="483">
        <f t="shared" si="9"/>
        <v>113.77784848121239</v>
      </c>
      <c r="AM25" s="483">
        <f t="shared" si="9"/>
        <v>113.47478268121964</v>
      </c>
      <c r="AN25" s="483">
        <f t="shared" si="9"/>
        <v>113.17172262368121</v>
      </c>
      <c r="AO25" s="483">
        <f t="shared" si="9"/>
        <v>112.86866831593926</v>
      </c>
      <c r="AP25" s="483">
        <f t="shared" si="9"/>
        <v>112.56561976534525</v>
      </c>
      <c r="AQ25" s="483">
        <f t="shared" si="9"/>
        <v>112.26257697926006</v>
      </c>
      <c r="AR25" s="483">
        <f t="shared" si="9"/>
        <v>111.95953996505398</v>
      </c>
      <c r="AS25" s="483">
        <f t="shared" si="9"/>
        <v>111.65650873010676</v>
      </c>
      <c r="AT25" s="483">
        <f t="shared" si="9"/>
        <v>111.35348328180754</v>
      </c>
      <c r="AU25" s="483">
        <f t="shared" si="9"/>
        <v>111.05046362755493</v>
      </c>
      <c r="AV25" s="484">
        <v>5</v>
      </c>
      <c r="BB25" s="518"/>
      <c r="BC25" s="518"/>
      <c r="BD25" s="603"/>
      <c r="BE25" s="603"/>
      <c r="BF25" s="603"/>
      <c r="BG25" s="603"/>
      <c r="BH25" s="603"/>
      <c r="BI25" s="603"/>
      <c r="BJ25" s="603"/>
      <c r="BK25" s="603"/>
      <c r="BL25" s="603"/>
      <c r="BM25" s="603"/>
      <c r="BN25" s="603"/>
      <c r="BO25" s="603"/>
      <c r="BP25" s="603"/>
      <c r="BQ25" s="603"/>
      <c r="BR25" s="603"/>
      <c r="BS25" s="603"/>
      <c r="BT25" s="603"/>
      <c r="BU25" s="603"/>
      <c r="BV25" s="603"/>
      <c r="BW25" s="603"/>
      <c r="BX25" s="603"/>
      <c r="BY25" s="603"/>
      <c r="BZ25" s="603"/>
      <c r="CA25" s="603"/>
      <c r="CB25" s="603"/>
      <c r="CC25" s="603"/>
      <c r="CD25" s="603"/>
      <c r="CE25" s="603"/>
      <c r="CF25" s="603"/>
      <c r="CG25" s="518"/>
      <c r="CH25" s="518"/>
    </row>
    <row r="26" spans="2:90" ht="14.4">
      <c r="B26" s="8" t="str">
        <f>Processes!D25</f>
        <v>IMPDDGS</v>
      </c>
      <c r="C26" s="8" t="str">
        <f>Processes!E25</f>
        <v>Import technology - Ethanol</v>
      </c>
      <c r="D26" s="216"/>
      <c r="E26" s="216" t="str">
        <f t="shared" si="4"/>
        <v>DDGS</v>
      </c>
      <c r="F26" s="1119" t="str">
        <f t="shared" si="5"/>
        <v>MKr14</v>
      </c>
      <c r="G26" s="483">
        <f t="shared" si="6"/>
        <v>10</v>
      </c>
      <c r="H26" s="483">
        <f t="shared" si="6"/>
        <v>10</v>
      </c>
      <c r="I26" s="483">
        <f t="shared" si="6"/>
        <v>10</v>
      </c>
      <c r="J26" s="483">
        <f t="shared" si="6"/>
        <v>10</v>
      </c>
      <c r="K26" s="483">
        <f t="shared" si="6"/>
        <v>10</v>
      </c>
      <c r="L26" s="483">
        <f t="shared" si="6"/>
        <v>10</v>
      </c>
      <c r="M26" s="483">
        <f t="shared" si="6"/>
        <v>10</v>
      </c>
      <c r="N26" s="483">
        <f t="shared" si="6"/>
        <v>10</v>
      </c>
      <c r="O26" s="483">
        <f t="shared" si="6"/>
        <v>10</v>
      </c>
      <c r="P26" s="483">
        <f t="shared" si="6"/>
        <v>10</v>
      </c>
      <c r="Q26" s="483">
        <f t="shared" si="7"/>
        <v>10</v>
      </c>
      <c r="R26" s="483">
        <f t="shared" si="7"/>
        <v>10</v>
      </c>
      <c r="S26" s="483">
        <f t="shared" si="7"/>
        <v>10</v>
      </c>
      <c r="T26" s="483">
        <f t="shared" si="7"/>
        <v>10</v>
      </c>
      <c r="U26" s="483">
        <f t="shared" si="7"/>
        <v>10</v>
      </c>
      <c r="V26" s="483">
        <f t="shared" si="7"/>
        <v>10</v>
      </c>
      <c r="W26" s="483">
        <f t="shared" si="7"/>
        <v>10</v>
      </c>
      <c r="X26" s="483">
        <f t="shared" si="7"/>
        <v>10</v>
      </c>
      <c r="Y26" s="483">
        <f t="shared" si="7"/>
        <v>10</v>
      </c>
      <c r="Z26" s="483">
        <f t="shared" si="7"/>
        <v>10</v>
      </c>
      <c r="AA26" s="483">
        <f t="shared" si="8"/>
        <v>10</v>
      </c>
      <c r="AB26" s="483">
        <f t="shared" si="8"/>
        <v>10</v>
      </c>
      <c r="AC26" s="483">
        <f t="shared" si="8"/>
        <v>10</v>
      </c>
      <c r="AD26" s="483">
        <f t="shared" si="8"/>
        <v>10</v>
      </c>
      <c r="AE26" s="483">
        <f t="shared" si="8"/>
        <v>10</v>
      </c>
      <c r="AF26" s="483">
        <f t="shared" si="8"/>
        <v>10</v>
      </c>
      <c r="AG26" s="483">
        <f t="shared" si="8"/>
        <v>10</v>
      </c>
      <c r="AH26" s="483">
        <f t="shared" si="8"/>
        <v>10</v>
      </c>
      <c r="AI26" s="483">
        <f t="shared" si="8"/>
        <v>10</v>
      </c>
      <c r="AJ26" s="483">
        <f t="shared" si="8"/>
        <v>10</v>
      </c>
      <c r="AK26" s="483">
        <f t="shared" si="9"/>
        <v>10</v>
      </c>
      <c r="AL26" s="483">
        <f t="shared" si="9"/>
        <v>10</v>
      </c>
      <c r="AM26" s="483">
        <f t="shared" si="9"/>
        <v>10</v>
      </c>
      <c r="AN26" s="483">
        <f t="shared" si="9"/>
        <v>10</v>
      </c>
      <c r="AO26" s="483">
        <f t="shared" si="9"/>
        <v>10</v>
      </c>
      <c r="AP26" s="483">
        <f t="shared" si="9"/>
        <v>10</v>
      </c>
      <c r="AQ26" s="483">
        <f t="shared" si="9"/>
        <v>10</v>
      </c>
      <c r="AR26" s="483">
        <f t="shared" si="9"/>
        <v>10</v>
      </c>
      <c r="AS26" s="483">
        <f t="shared" si="9"/>
        <v>10</v>
      </c>
      <c r="AT26" s="483">
        <f t="shared" si="9"/>
        <v>10</v>
      </c>
      <c r="AU26" s="483">
        <f t="shared" si="9"/>
        <v>10</v>
      </c>
      <c r="AV26" s="484">
        <v>5</v>
      </c>
      <c r="BB26" s="518"/>
      <c r="BC26" s="518"/>
      <c r="BD26" s="603"/>
      <c r="BE26" s="603"/>
      <c r="BF26" s="603"/>
      <c r="BG26" s="603"/>
      <c r="BH26" s="603"/>
      <c r="BI26" s="603"/>
      <c r="BJ26" s="603"/>
      <c r="BK26" s="603"/>
      <c r="BL26" s="603"/>
      <c r="BM26" s="603"/>
      <c r="BN26" s="603"/>
      <c r="BO26" s="603"/>
      <c r="BP26" s="603"/>
      <c r="BQ26" s="603"/>
      <c r="BR26" s="603"/>
      <c r="BS26" s="603"/>
      <c r="BT26" s="603"/>
      <c r="BU26" s="603"/>
      <c r="BV26" s="603"/>
      <c r="BW26" s="603"/>
      <c r="BX26" s="603"/>
      <c r="BY26" s="603"/>
      <c r="BZ26" s="603"/>
      <c r="CA26" s="603"/>
      <c r="CB26" s="603"/>
      <c r="CC26" s="603"/>
      <c r="CD26" s="603"/>
      <c r="CE26" s="603"/>
      <c r="CF26" s="603"/>
      <c r="CG26" s="518"/>
      <c r="CH26" s="518"/>
    </row>
    <row r="27" spans="2:90" ht="14.4">
      <c r="B27" s="8" t="str">
        <f>Processes!D26</f>
        <v>IMPH2</v>
      </c>
      <c r="C27" s="8" t="str">
        <f>Processes!E26</f>
        <v>Import technology - Hydrogen</v>
      </c>
      <c r="D27" s="216"/>
      <c r="E27" s="486" t="s">
        <v>755</v>
      </c>
      <c r="F27" s="1119" t="str">
        <f t="shared" si="5"/>
        <v>MKr14</v>
      </c>
      <c r="G27" s="483">
        <f t="shared" ref="G27:P36" si="10">IFERROR(INDEX($G$122:$AU$177,MATCH($E27,$E$122:$E$177,0),MATCH(G$6,$G$121:$AU$121,0)),0)</f>
        <v>586.08000000000004</v>
      </c>
      <c r="H27" s="483">
        <f t="shared" si="10"/>
        <v>807.895012134392</v>
      </c>
      <c r="I27" s="483">
        <f t="shared" si="10"/>
        <v>915.895012134392</v>
      </c>
      <c r="J27" s="483">
        <f t="shared" si="10"/>
        <v>905.09501213439205</v>
      </c>
      <c r="K27" s="483">
        <f t="shared" si="10"/>
        <v>803.09501213439205</v>
      </c>
      <c r="L27" s="483">
        <f t="shared" si="10"/>
        <v>782.69501213439196</v>
      </c>
      <c r="M27" s="483">
        <f t="shared" si="10"/>
        <v>696.29501213439198</v>
      </c>
      <c r="N27" s="483">
        <f t="shared" si="10"/>
        <v>697.49501213439191</v>
      </c>
      <c r="O27" s="483">
        <f t="shared" si="10"/>
        <v>895.76121271659497</v>
      </c>
      <c r="P27" s="483">
        <f t="shared" si="10"/>
        <v>665.8271470218375</v>
      </c>
      <c r="Q27" s="483">
        <f t="shared" ref="Q27:Z36" si="11">IFERROR(INDEX($G$122:$AU$177,MATCH($E27,$E$122:$E$177,0),MATCH(Q$6,$G$121:$AU$121,0)),0)</f>
        <v>655.4692119721791</v>
      </c>
      <c r="R27" s="483">
        <f t="shared" si="11"/>
        <v>632.99849243965036</v>
      </c>
      <c r="S27" s="483">
        <f t="shared" si="11"/>
        <v>647.84559559289471</v>
      </c>
      <c r="T27" s="483">
        <f t="shared" si="11"/>
        <v>655.10727188889757</v>
      </c>
      <c r="U27" s="483">
        <f t="shared" si="11"/>
        <v>657.50049917873685</v>
      </c>
      <c r="V27" s="483">
        <f t="shared" si="11"/>
        <v>656.76801368935594</v>
      </c>
      <c r="W27" s="483">
        <f t="shared" si="11"/>
        <v>656.30668258604078</v>
      </c>
      <c r="X27" s="483">
        <f t="shared" si="11"/>
        <v>656.01037716917199</v>
      </c>
      <c r="Y27" s="483">
        <f t="shared" si="11"/>
        <v>655.75660721983354</v>
      </c>
      <c r="Z27" s="483">
        <f t="shared" si="11"/>
        <v>655.6656551106596</v>
      </c>
      <c r="AA27" s="483">
        <f t="shared" ref="AA27:AJ36" si="12">IFERROR(INDEX($G$122:$AU$177,MATCH($E27,$E$122:$E$177,0),MATCH(AA$6,$G$121:$AU$121,0)),0)</f>
        <v>655.64084345931053</v>
      </c>
      <c r="AB27" s="483">
        <f t="shared" si="12"/>
        <v>656.19387219217253</v>
      </c>
      <c r="AC27" s="483">
        <f t="shared" si="12"/>
        <v>656.74690092503454</v>
      </c>
      <c r="AD27" s="483">
        <f t="shared" si="12"/>
        <v>657.29992965789654</v>
      </c>
      <c r="AE27" s="483">
        <f t="shared" si="12"/>
        <v>657.85295839075843</v>
      </c>
      <c r="AF27" s="483">
        <f t="shared" si="12"/>
        <v>658.40598712362055</v>
      </c>
      <c r="AG27" s="483">
        <f t="shared" si="12"/>
        <v>658.95901585648255</v>
      </c>
      <c r="AH27" s="483">
        <f t="shared" si="12"/>
        <v>659.51204458934433</v>
      </c>
      <c r="AI27" s="483">
        <f t="shared" si="12"/>
        <v>660.06507332220633</v>
      </c>
      <c r="AJ27" s="483">
        <f t="shared" si="12"/>
        <v>660.61810205506822</v>
      </c>
      <c r="AK27" s="483">
        <f t="shared" ref="AK27:AU36" si="13">IFERROR(INDEX($G$122:$AU$177,MATCH($E27,$E$122:$E$177,0),MATCH(AK$6,$G$121:$AU$121,0)),0)</f>
        <v>661.17113078793022</v>
      </c>
      <c r="AL27" s="483">
        <f t="shared" si="13"/>
        <v>661.72415952079223</v>
      </c>
      <c r="AM27" s="483">
        <f t="shared" si="13"/>
        <v>662.27718825365412</v>
      </c>
      <c r="AN27" s="483">
        <f t="shared" si="13"/>
        <v>662.83021698651601</v>
      </c>
      <c r="AO27" s="483">
        <f t="shared" si="13"/>
        <v>663.38324571937801</v>
      </c>
      <c r="AP27" s="483">
        <f t="shared" si="13"/>
        <v>663.93627445224001</v>
      </c>
      <c r="AQ27" s="483">
        <f t="shared" si="13"/>
        <v>664.48930318510202</v>
      </c>
      <c r="AR27" s="483">
        <f t="shared" si="13"/>
        <v>665.04233191796391</v>
      </c>
      <c r="AS27" s="483">
        <f t="shared" si="13"/>
        <v>665.59536065082591</v>
      </c>
      <c r="AT27" s="483">
        <f t="shared" si="13"/>
        <v>666.1483893836878</v>
      </c>
      <c r="AU27" s="483">
        <f t="shared" si="13"/>
        <v>666.70141811654992</v>
      </c>
      <c r="AV27" s="484">
        <v>5</v>
      </c>
      <c r="BB27" s="518"/>
      <c r="BC27" s="518"/>
      <c r="BD27" s="603"/>
      <c r="BE27" s="603"/>
      <c r="BF27" s="603"/>
      <c r="BG27" s="603"/>
      <c r="BH27" s="603"/>
      <c r="BI27" s="603"/>
      <c r="BJ27" s="603"/>
      <c r="BK27" s="603"/>
      <c r="BL27" s="603"/>
      <c r="BM27" s="603"/>
      <c r="BN27" s="603"/>
      <c r="BO27" s="603"/>
      <c r="BP27" s="603"/>
      <c r="BQ27" s="603"/>
      <c r="BR27" s="603"/>
      <c r="BS27" s="603"/>
      <c r="BT27" s="603"/>
      <c r="BU27" s="603"/>
      <c r="BV27" s="603"/>
      <c r="BW27" s="603"/>
      <c r="BX27" s="603"/>
      <c r="BY27" s="603"/>
      <c r="BZ27" s="603"/>
      <c r="CA27" s="603"/>
      <c r="CB27" s="603"/>
      <c r="CC27" s="603"/>
      <c r="CD27" s="603"/>
      <c r="CE27" s="603"/>
      <c r="CF27" s="603"/>
      <c r="CG27" s="518"/>
      <c r="CH27" s="518"/>
    </row>
    <row r="28" spans="2:90" ht="14.4">
      <c r="B28" s="8" t="str">
        <f>Processes!D27</f>
        <v>IMPH2G</v>
      </c>
      <c r="C28" s="8" t="str">
        <f>Processes!E27</f>
        <v>Import technology - Hydrogen Gas</v>
      </c>
      <c r="D28" s="216"/>
      <c r="E28" s="216" t="str">
        <f t="shared" si="4"/>
        <v>H2G</v>
      </c>
      <c r="F28" s="1119" t="str">
        <f t="shared" si="5"/>
        <v>MKr14</v>
      </c>
      <c r="G28" s="483">
        <f t="shared" si="10"/>
        <v>586.08000000000004</v>
      </c>
      <c r="H28" s="483">
        <f t="shared" si="10"/>
        <v>807.895012134392</v>
      </c>
      <c r="I28" s="483">
        <f t="shared" si="10"/>
        <v>915.895012134392</v>
      </c>
      <c r="J28" s="483">
        <f t="shared" si="10"/>
        <v>905.09501213439205</v>
      </c>
      <c r="K28" s="483">
        <f t="shared" si="10"/>
        <v>803.09501213439205</v>
      </c>
      <c r="L28" s="483">
        <f t="shared" si="10"/>
        <v>782.69501213439196</v>
      </c>
      <c r="M28" s="483">
        <f t="shared" si="10"/>
        <v>696.29501213439198</v>
      </c>
      <c r="N28" s="483">
        <f t="shared" si="10"/>
        <v>697.49501213439191</v>
      </c>
      <c r="O28" s="483">
        <f t="shared" si="10"/>
        <v>895.76121271659497</v>
      </c>
      <c r="P28" s="483">
        <f t="shared" si="10"/>
        <v>665.8271470218375</v>
      </c>
      <c r="Q28" s="483">
        <f t="shared" si="11"/>
        <v>655.4692119721791</v>
      </c>
      <c r="R28" s="483">
        <f t="shared" si="11"/>
        <v>632.99849243965036</v>
      </c>
      <c r="S28" s="483">
        <f t="shared" si="11"/>
        <v>647.84559559289471</v>
      </c>
      <c r="T28" s="483">
        <f t="shared" si="11"/>
        <v>655.10727188889757</v>
      </c>
      <c r="U28" s="483">
        <f t="shared" si="11"/>
        <v>657.50049917873685</v>
      </c>
      <c r="V28" s="483">
        <f t="shared" si="11"/>
        <v>656.76801368935594</v>
      </c>
      <c r="W28" s="483">
        <f t="shared" si="11"/>
        <v>656.30668258604078</v>
      </c>
      <c r="X28" s="483">
        <f t="shared" si="11"/>
        <v>656.01037716917199</v>
      </c>
      <c r="Y28" s="483">
        <f t="shared" si="11"/>
        <v>655.75660721983354</v>
      </c>
      <c r="Z28" s="483">
        <f t="shared" si="11"/>
        <v>655.6656551106596</v>
      </c>
      <c r="AA28" s="483">
        <f t="shared" si="12"/>
        <v>655.64084345931053</v>
      </c>
      <c r="AB28" s="483">
        <f t="shared" si="12"/>
        <v>656.19387219217253</v>
      </c>
      <c r="AC28" s="483">
        <f t="shared" si="12"/>
        <v>656.74690092503454</v>
      </c>
      <c r="AD28" s="483">
        <f t="shared" si="12"/>
        <v>657.29992965789654</v>
      </c>
      <c r="AE28" s="483">
        <f t="shared" si="12"/>
        <v>657.85295839075843</v>
      </c>
      <c r="AF28" s="483">
        <f t="shared" si="12"/>
        <v>658.40598712362055</v>
      </c>
      <c r="AG28" s="483">
        <f t="shared" si="12"/>
        <v>658.95901585648255</v>
      </c>
      <c r="AH28" s="483">
        <f t="shared" si="12"/>
        <v>659.51204458934433</v>
      </c>
      <c r="AI28" s="483">
        <f t="shared" si="12"/>
        <v>660.06507332220633</v>
      </c>
      <c r="AJ28" s="483">
        <f t="shared" si="12"/>
        <v>660.61810205506822</v>
      </c>
      <c r="AK28" s="483">
        <f t="shared" si="13"/>
        <v>661.17113078793022</v>
      </c>
      <c r="AL28" s="483">
        <f t="shared" si="13"/>
        <v>661.72415952079223</v>
      </c>
      <c r="AM28" s="483">
        <f t="shared" si="13"/>
        <v>662.27718825365412</v>
      </c>
      <c r="AN28" s="483">
        <f t="shared" si="13"/>
        <v>662.83021698651601</v>
      </c>
      <c r="AO28" s="483">
        <f t="shared" si="13"/>
        <v>663.38324571937801</v>
      </c>
      <c r="AP28" s="483">
        <f t="shared" si="13"/>
        <v>663.93627445224001</v>
      </c>
      <c r="AQ28" s="483">
        <f t="shared" si="13"/>
        <v>664.48930318510202</v>
      </c>
      <c r="AR28" s="483">
        <f t="shared" si="13"/>
        <v>665.04233191796391</v>
      </c>
      <c r="AS28" s="483">
        <f t="shared" si="13"/>
        <v>665.59536065082591</v>
      </c>
      <c r="AT28" s="483">
        <f t="shared" si="13"/>
        <v>666.1483893836878</v>
      </c>
      <c r="AU28" s="483">
        <f t="shared" si="13"/>
        <v>666.70141811654992</v>
      </c>
      <c r="AV28" s="484">
        <v>5</v>
      </c>
      <c r="BB28" s="518"/>
      <c r="BC28" s="518"/>
      <c r="BD28" s="603"/>
      <c r="BE28" s="603"/>
      <c r="BF28" s="603"/>
      <c r="BG28" s="603"/>
      <c r="BH28" s="603"/>
      <c r="BI28" s="603"/>
      <c r="BJ28" s="603"/>
      <c r="BK28" s="603"/>
      <c r="BL28" s="603"/>
      <c r="BM28" s="603"/>
      <c r="BN28" s="603"/>
      <c r="BO28" s="603"/>
      <c r="BP28" s="603"/>
      <c r="BQ28" s="603"/>
      <c r="BR28" s="603"/>
      <c r="BS28" s="603"/>
      <c r="BT28" s="603"/>
      <c r="BU28" s="603"/>
      <c r="BV28" s="603"/>
      <c r="BW28" s="603"/>
      <c r="BX28" s="603"/>
      <c r="BY28" s="603"/>
      <c r="BZ28" s="603"/>
      <c r="CA28" s="603"/>
      <c r="CB28" s="603"/>
      <c r="CC28" s="603"/>
      <c r="CD28" s="603"/>
      <c r="CE28" s="603"/>
      <c r="CF28" s="603"/>
      <c r="CG28" s="518"/>
      <c r="CH28" s="518"/>
    </row>
    <row r="29" spans="2:90" ht="14.4">
      <c r="B29" s="8" t="str">
        <f>Processes!D28</f>
        <v>IMPAMM</v>
      </c>
      <c r="C29" s="8" t="str">
        <f>Processes!E28</f>
        <v>Import technology - Ammonia (Liquid)</v>
      </c>
      <c r="D29" s="216"/>
      <c r="E29" s="216" t="str">
        <f t="shared" si="4"/>
        <v>AMM</v>
      </c>
      <c r="F29" s="1119" t="str">
        <f t="shared" si="5"/>
        <v>MKr19</v>
      </c>
      <c r="G29" s="483">
        <f t="shared" si="10"/>
        <v>263.74750606719601</v>
      </c>
      <c r="H29" s="483">
        <f t="shared" si="10"/>
        <v>331.34750606719598</v>
      </c>
      <c r="I29" s="483">
        <f t="shared" si="10"/>
        <v>319.74750606719601</v>
      </c>
      <c r="J29" s="483">
        <f t="shared" si="10"/>
        <v>310.74750606719601</v>
      </c>
      <c r="K29" s="483">
        <f t="shared" si="10"/>
        <v>295.34750606719598</v>
      </c>
      <c r="L29" s="483">
        <f t="shared" si="10"/>
        <v>222.34750606719598</v>
      </c>
      <c r="M29" s="483">
        <f t="shared" si="10"/>
        <v>216.34750606719598</v>
      </c>
      <c r="N29" s="483">
        <f t="shared" si="10"/>
        <v>224.74750606719601</v>
      </c>
      <c r="O29" s="483">
        <f t="shared" si="10"/>
        <v>262.81778894464657</v>
      </c>
      <c r="P29" s="483">
        <f t="shared" si="10"/>
        <v>250.9895645861443</v>
      </c>
      <c r="Q29" s="483">
        <f t="shared" si="11"/>
        <v>248.02968752829321</v>
      </c>
      <c r="R29" s="483">
        <f t="shared" si="11"/>
        <v>204.06151670556642</v>
      </c>
      <c r="S29" s="483">
        <f t="shared" si="11"/>
        <v>210.87851444697449</v>
      </c>
      <c r="T29" s="483">
        <f t="shared" si="11"/>
        <v>215.52468223728516</v>
      </c>
      <c r="U29" s="483">
        <f t="shared" si="11"/>
        <v>218.92110052721543</v>
      </c>
      <c r="V29" s="483">
        <f t="shared" si="11"/>
        <v>221.39405618027183</v>
      </c>
      <c r="W29" s="483">
        <f t="shared" si="11"/>
        <v>224.12498285689009</v>
      </c>
      <c r="X29" s="483">
        <f t="shared" si="11"/>
        <v>226.80126039057933</v>
      </c>
      <c r="Y29" s="483">
        <f t="shared" si="11"/>
        <v>229.26350298465968</v>
      </c>
      <c r="Z29" s="483">
        <f t="shared" si="11"/>
        <v>231.84900675852583</v>
      </c>
      <c r="AA29" s="483">
        <f t="shared" si="12"/>
        <v>234.29538656040069</v>
      </c>
      <c r="AB29" s="483">
        <f t="shared" si="12"/>
        <v>233.68309903599501</v>
      </c>
      <c r="AC29" s="483">
        <f t="shared" si="12"/>
        <v>233.06934714299621</v>
      </c>
      <c r="AD29" s="483">
        <f t="shared" si="12"/>
        <v>232.45812932754217</v>
      </c>
      <c r="AE29" s="483">
        <f t="shared" si="12"/>
        <v>231.84537631751527</v>
      </c>
      <c r="AF29" s="483">
        <f t="shared" si="12"/>
        <v>231.23281670041797</v>
      </c>
      <c r="AG29" s="483">
        <f t="shared" si="12"/>
        <v>230.6184053259675</v>
      </c>
      <c r="AH29" s="483">
        <f t="shared" si="12"/>
        <v>230.00615910975191</v>
      </c>
      <c r="AI29" s="483">
        <f t="shared" si="12"/>
        <v>229.39245194111524</v>
      </c>
      <c r="AJ29" s="483">
        <f t="shared" si="12"/>
        <v>228.78060244774554</v>
      </c>
      <c r="AK29" s="483">
        <f t="shared" si="13"/>
        <v>228.16814920076058</v>
      </c>
      <c r="AL29" s="483">
        <f t="shared" si="13"/>
        <v>227.55569696242478</v>
      </c>
      <c r="AM29" s="483">
        <f t="shared" si="13"/>
        <v>226.94956536243927</v>
      </c>
      <c r="AN29" s="483">
        <f t="shared" si="13"/>
        <v>226.34344524736241</v>
      </c>
      <c r="AO29" s="483">
        <f t="shared" si="13"/>
        <v>225.73733663187852</v>
      </c>
      <c r="AP29" s="483">
        <f t="shared" si="13"/>
        <v>225.13123953069049</v>
      </c>
      <c r="AQ29" s="483">
        <f t="shared" si="13"/>
        <v>224.52515395852012</v>
      </c>
      <c r="AR29" s="483">
        <f t="shared" si="13"/>
        <v>223.91907993010796</v>
      </c>
      <c r="AS29" s="483">
        <f t="shared" si="13"/>
        <v>223.31301746021353</v>
      </c>
      <c r="AT29" s="483">
        <f t="shared" si="13"/>
        <v>222.70696656361508</v>
      </c>
      <c r="AU29" s="483">
        <f t="shared" si="13"/>
        <v>222.10092725510987</v>
      </c>
      <c r="AV29" s="484">
        <v>5</v>
      </c>
      <c r="BB29" s="518"/>
      <c r="BC29" s="518"/>
      <c r="BD29" s="603"/>
      <c r="BE29" s="603"/>
      <c r="BF29" s="603"/>
      <c r="BG29" s="603"/>
      <c r="BH29" s="603"/>
      <c r="BI29" s="603"/>
      <c r="BJ29" s="603"/>
      <c r="BK29" s="603"/>
      <c r="BL29" s="603"/>
      <c r="BM29" s="603"/>
      <c r="BN29" s="603"/>
      <c r="BO29" s="603"/>
      <c r="BP29" s="603"/>
      <c r="BQ29" s="603"/>
      <c r="BR29" s="603"/>
      <c r="BS29" s="603"/>
      <c r="BT29" s="603"/>
      <c r="BU29" s="603"/>
      <c r="BV29" s="603"/>
      <c r="BW29" s="603"/>
      <c r="BX29" s="603"/>
      <c r="BY29" s="603"/>
      <c r="BZ29" s="603"/>
      <c r="CA29" s="603"/>
      <c r="CB29" s="603"/>
      <c r="CC29" s="603"/>
      <c r="CD29" s="603"/>
      <c r="CE29" s="603"/>
      <c r="CF29" s="603"/>
      <c r="CG29" s="518"/>
      <c r="CH29" s="518"/>
    </row>
    <row r="30" spans="2:90" ht="14.4">
      <c r="B30" s="8" t="str">
        <f>Processes!D29</f>
        <v>IMPDME</v>
      </c>
      <c r="C30" s="8" t="str">
        <f>Processes!E29</f>
        <v>Import technology - Dimethyl ether</v>
      </c>
      <c r="D30" s="216"/>
      <c r="E30" s="216" t="str">
        <f t="shared" si="4"/>
        <v>DME</v>
      </c>
      <c r="F30" s="1119" t="str">
        <f t="shared" si="5"/>
        <v>MKr19</v>
      </c>
      <c r="G30" s="483">
        <f t="shared" si="10"/>
        <v>185.98112833695782</v>
      </c>
      <c r="H30" s="483">
        <f t="shared" si="10"/>
        <v>244.74750606719599</v>
      </c>
      <c r="I30" s="483">
        <f t="shared" si="10"/>
        <v>261.54750606719597</v>
      </c>
      <c r="J30" s="483">
        <f t="shared" si="10"/>
        <v>250.547506067196</v>
      </c>
      <c r="K30" s="483">
        <f t="shared" si="10"/>
        <v>240.84750606719598</v>
      </c>
      <c r="L30" s="483">
        <f t="shared" si="10"/>
        <v>204.34750606719598</v>
      </c>
      <c r="M30" s="483">
        <f t="shared" si="10"/>
        <v>201.34750606719598</v>
      </c>
      <c r="N30" s="483">
        <f t="shared" si="10"/>
        <v>205.547506067196</v>
      </c>
      <c r="O30" s="483">
        <f t="shared" si="10"/>
        <v>228.84858186191951</v>
      </c>
      <c r="P30" s="483">
        <f t="shared" si="10"/>
        <v>222.93446968266835</v>
      </c>
      <c r="Q30" s="483">
        <f t="shared" si="11"/>
        <v>221.45453115374281</v>
      </c>
      <c r="R30" s="483">
        <f t="shared" si="11"/>
        <v>199.47044574237941</v>
      </c>
      <c r="S30" s="483">
        <f t="shared" si="11"/>
        <v>202.87894461308343</v>
      </c>
      <c r="T30" s="483">
        <f t="shared" si="11"/>
        <v>205.20202850823878</v>
      </c>
      <c r="U30" s="483">
        <f t="shared" si="11"/>
        <v>206.90023765320393</v>
      </c>
      <c r="V30" s="483">
        <f t="shared" si="11"/>
        <v>208.13671547973212</v>
      </c>
      <c r="W30" s="483">
        <f t="shared" si="11"/>
        <v>209.50217881804124</v>
      </c>
      <c r="X30" s="483">
        <f t="shared" si="11"/>
        <v>210.84031758488587</v>
      </c>
      <c r="Y30" s="483">
        <f t="shared" si="11"/>
        <v>212.07143888192604</v>
      </c>
      <c r="Z30" s="483">
        <f t="shared" si="11"/>
        <v>213.36419076885912</v>
      </c>
      <c r="AA30" s="483">
        <f t="shared" si="12"/>
        <v>214.58738066979654</v>
      </c>
      <c r="AB30" s="483">
        <f t="shared" si="12"/>
        <v>214.28123690759369</v>
      </c>
      <c r="AC30" s="483">
        <f t="shared" si="12"/>
        <v>213.97436096109431</v>
      </c>
      <c r="AD30" s="483">
        <f t="shared" si="12"/>
        <v>213.66875205336729</v>
      </c>
      <c r="AE30" s="483">
        <f t="shared" si="12"/>
        <v>213.36237554835384</v>
      </c>
      <c r="AF30" s="483">
        <f t="shared" si="12"/>
        <v>213.05609573980519</v>
      </c>
      <c r="AG30" s="483">
        <f t="shared" si="12"/>
        <v>212.74889005257995</v>
      </c>
      <c r="AH30" s="483">
        <f t="shared" si="12"/>
        <v>212.44276694447214</v>
      </c>
      <c r="AI30" s="483">
        <f t="shared" si="12"/>
        <v>212.13591336015384</v>
      </c>
      <c r="AJ30" s="483">
        <f t="shared" si="12"/>
        <v>211.82998861346897</v>
      </c>
      <c r="AK30" s="483">
        <f t="shared" si="13"/>
        <v>211.52376198997649</v>
      </c>
      <c r="AL30" s="483">
        <f t="shared" si="13"/>
        <v>211.2175358708086</v>
      </c>
      <c r="AM30" s="483">
        <f t="shared" si="13"/>
        <v>210.91447007081584</v>
      </c>
      <c r="AN30" s="483">
        <f t="shared" si="13"/>
        <v>210.61141001327741</v>
      </c>
      <c r="AO30" s="483">
        <f t="shared" si="13"/>
        <v>210.30835570553546</v>
      </c>
      <c r="AP30" s="483">
        <f t="shared" si="13"/>
        <v>210.00530715494145</v>
      </c>
      <c r="AQ30" s="483">
        <f t="shared" si="13"/>
        <v>209.70226436885625</v>
      </c>
      <c r="AR30" s="483">
        <f t="shared" si="13"/>
        <v>209.39922735465018</v>
      </c>
      <c r="AS30" s="483">
        <f t="shared" si="13"/>
        <v>209.09619611970297</v>
      </c>
      <c r="AT30" s="483">
        <f t="shared" si="13"/>
        <v>208.79317067140374</v>
      </c>
      <c r="AU30" s="483">
        <f t="shared" si="13"/>
        <v>208.49015101715113</v>
      </c>
      <c r="AV30" s="484">
        <v>5</v>
      </c>
      <c r="BB30" s="518"/>
      <c r="BC30" s="518"/>
      <c r="BD30" s="603"/>
      <c r="BE30" s="603"/>
      <c r="BF30" s="603"/>
      <c r="BG30" s="603"/>
      <c r="BH30" s="603"/>
      <c r="BI30" s="603"/>
      <c r="BJ30" s="603"/>
      <c r="BK30" s="603"/>
      <c r="BL30" s="603"/>
      <c r="BM30" s="603"/>
      <c r="BN30" s="603"/>
      <c r="BO30" s="603"/>
      <c r="BP30" s="603"/>
      <c r="BQ30" s="603"/>
      <c r="BR30" s="603"/>
      <c r="BS30" s="603"/>
      <c r="BT30" s="603"/>
      <c r="BU30" s="603"/>
      <c r="BV30" s="603"/>
      <c r="BW30" s="603"/>
      <c r="BX30" s="603"/>
      <c r="BY30" s="603"/>
      <c r="BZ30" s="603"/>
      <c r="CA30" s="603"/>
      <c r="CB30" s="603"/>
      <c r="CC30" s="603"/>
      <c r="CD30" s="603"/>
      <c r="CE30" s="603"/>
      <c r="CF30" s="603"/>
      <c r="CG30" s="518"/>
      <c r="CH30" s="518"/>
    </row>
    <row r="31" spans="2:90" ht="14.4">
      <c r="B31" s="8" t="str">
        <f>Processes!D30</f>
        <v>IMPKRB1</v>
      </c>
      <c r="C31" s="8" t="str">
        <f>Processes!E30</f>
        <v>Import technology - Bio Kerosene G1</v>
      </c>
      <c r="D31" s="216"/>
      <c r="E31" s="216" t="str">
        <f t="shared" si="4"/>
        <v>KRB1</v>
      </c>
      <c r="F31" s="1119" t="str">
        <f t="shared" si="5"/>
        <v>MKr19</v>
      </c>
      <c r="G31" s="483">
        <f t="shared" si="10"/>
        <v>229.5</v>
      </c>
      <c r="H31" s="483">
        <f t="shared" si="10"/>
        <v>337.20000000000005</v>
      </c>
      <c r="I31" s="483">
        <f t="shared" si="10"/>
        <v>348.9</v>
      </c>
      <c r="J31" s="483">
        <f t="shared" si="10"/>
        <v>355.79999999999995</v>
      </c>
      <c r="K31" s="483">
        <f t="shared" si="10"/>
        <v>330.29999999999995</v>
      </c>
      <c r="L31" s="483">
        <f t="shared" si="10"/>
        <v>220.5</v>
      </c>
      <c r="M31" s="483">
        <f t="shared" si="10"/>
        <v>211.79999999999998</v>
      </c>
      <c r="N31" s="483">
        <f t="shared" si="10"/>
        <v>224.10000000000002</v>
      </c>
      <c r="O31" s="483">
        <f t="shared" si="10"/>
        <v>298.50322738417054</v>
      </c>
      <c r="P31" s="483">
        <f t="shared" si="10"/>
        <v>278.99089084641707</v>
      </c>
      <c r="Q31" s="483">
        <f t="shared" si="11"/>
        <v>274.55107525964041</v>
      </c>
      <c r="R31" s="483">
        <f t="shared" si="11"/>
        <v>208.59881902555028</v>
      </c>
      <c r="S31" s="483">
        <f t="shared" si="11"/>
        <v>218.82431563766235</v>
      </c>
      <c r="T31" s="483">
        <f t="shared" si="11"/>
        <v>225.79356732312834</v>
      </c>
      <c r="U31" s="483">
        <f t="shared" si="11"/>
        <v>230.88819475802381</v>
      </c>
      <c r="V31" s="483">
        <f t="shared" si="11"/>
        <v>234.59762823760838</v>
      </c>
      <c r="W31" s="483">
        <f t="shared" si="11"/>
        <v>238.69401825253578</v>
      </c>
      <c r="X31" s="483">
        <f t="shared" si="11"/>
        <v>242.70843455306965</v>
      </c>
      <c r="Y31" s="483">
        <f t="shared" si="11"/>
        <v>246.40179844419015</v>
      </c>
      <c r="Z31" s="483">
        <f t="shared" si="11"/>
        <v>250.28005410498935</v>
      </c>
      <c r="AA31" s="483">
        <f t="shared" si="12"/>
        <v>253.94962380780169</v>
      </c>
      <c r="AB31" s="483">
        <f t="shared" si="12"/>
        <v>253.03119252119313</v>
      </c>
      <c r="AC31" s="483">
        <f t="shared" si="12"/>
        <v>252.11056468169497</v>
      </c>
      <c r="AD31" s="483">
        <f t="shared" si="12"/>
        <v>251.19373795851385</v>
      </c>
      <c r="AE31" s="483">
        <f t="shared" si="12"/>
        <v>250.27460844347354</v>
      </c>
      <c r="AF31" s="483">
        <f t="shared" si="12"/>
        <v>249.35576901782761</v>
      </c>
      <c r="AG31" s="483">
        <f t="shared" si="12"/>
        <v>248.43415195615188</v>
      </c>
      <c r="AH31" s="483">
        <f t="shared" si="12"/>
        <v>247.51578263182847</v>
      </c>
      <c r="AI31" s="483">
        <f t="shared" si="12"/>
        <v>246.59522187887353</v>
      </c>
      <c r="AJ31" s="483">
        <f t="shared" si="12"/>
        <v>245.67744763881896</v>
      </c>
      <c r="AK31" s="483">
        <f t="shared" si="13"/>
        <v>244.75876776834153</v>
      </c>
      <c r="AL31" s="483">
        <f t="shared" si="13"/>
        <v>243.84008941083783</v>
      </c>
      <c r="AM31" s="483">
        <f t="shared" si="13"/>
        <v>242.93089201085957</v>
      </c>
      <c r="AN31" s="483">
        <f t="shared" si="13"/>
        <v>242.02171183824427</v>
      </c>
      <c r="AO31" s="483">
        <f t="shared" si="13"/>
        <v>241.11254891501844</v>
      </c>
      <c r="AP31" s="483">
        <f t="shared" si="13"/>
        <v>240.2034032632364</v>
      </c>
      <c r="AQ31" s="483">
        <f t="shared" si="13"/>
        <v>239.2942749049808</v>
      </c>
      <c r="AR31" s="483">
        <f t="shared" si="13"/>
        <v>238.38516386236259</v>
      </c>
      <c r="AS31" s="483">
        <f t="shared" si="13"/>
        <v>237.47607015752095</v>
      </c>
      <c r="AT31" s="483">
        <f t="shared" si="13"/>
        <v>236.56699381262328</v>
      </c>
      <c r="AU31" s="483">
        <f t="shared" si="13"/>
        <v>235.65793484986546</v>
      </c>
      <c r="AV31" s="484">
        <v>5</v>
      </c>
      <c r="BB31" s="518"/>
      <c r="BC31" s="518"/>
      <c r="BD31" s="603"/>
      <c r="BE31" s="603"/>
      <c r="BF31" s="603"/>
      <c r="BG31" s="603"/>
      <c r="BH31" s="603"/>
      <c r="BI31" s="603"/>
      <c r="BJ31" s="603"/>
      <c r="BK31" s="603"/>
      <c r="BL31" s="603"/>
      <c r="BM31" s="603"/>
      <c r="BN31" s="603"/>
      <c r="BO31" s="603"/>
      <c r="BP31" s="603"/>
      <c r="BQ31" s="603"/>
      <c r="BR31" s="603"/>
      <c r="BS31" s="603"/>
      <c r="BT31" s="603"/>
      <c r="BU31" s="603"/>
      <c r="BV31" s="603"/>
      <c r="BW31" s="603"/>
      <c r="BX31" s="603"/>
      <c r="BY31" s="603"/>
      <c r="BZ31" s="603"/>
      <c r="CA31" s="603"/>
      <c r="CB31" s="603"/>
      <c r="CC31" s="603"/>
      <c r="CD31" s="603"/>
      <c r="CE31" s="603"/>
      <c r="CF31" s="603"/>
      <c r="CG31" s="518"/>
      <c r="CH31" s="518"/>
    </row>
    <row r="32" spans="2:90" ht="14.4">
      <c r="B32" s="8" t="str">
        <f>Processes!D31</f>
        <v>IMPKRB2</v>
      </c>
      <c r="C32" s="8" t="str">
        <f>Processes!E31</f>
        <v>Import technology - Bio Kerosene G2</v>
      </c>
      <c r="D32" s="216"/>
      <c r="E32" s="216" t="str">
        <f t="shared" si="4"/>
        <v>KRB2</v>
      </c>
      <c r="F32" s="1119" t="str">
        <f t="shared" si="5"/>
        <v>MKr19</v>
      </c>
      <c r="G32" s="483">
        <f t="shared" si="10"/>
        <v>252.45000000000002</v>
      </c>
      <c r="H32" s="483">
        <f t="shared" si="10"/>
        <v>400.87375303359806</v>
      </c>
      <c r="I32" s="483">
        <f t="shared" si="10"/>
        <v>412.573753033598</v>
      </c>
      <c r="J32" s="483">
        <f t="shared" si="10"/>
        <v>419.47375303359797</v>
      </c>
      <c r="K32" s="483">
        <f t="shared" si="10"/>
        <v>393.97375303359797</v>
      </c>
      <c r="L32" s="483">
        <f t="shared" si="10"/>
        <v>284.17375303359802</v>
      </c>
      <c r="M32" s="483">
        <f t="shared" si="10"/>
        <v>275.47375303359797</v>
      </c>
      <c r="N32" s="483">
        <f t="shared" si="10"/>
        <v>287.77375303359804</v>
      </c>
      <c r="O32" s="483">
        <f t="shared" si="10"/>
        <v>362.17698041776856</v>
      </c>
      <c r="P32" s="483">
        <f t="shared" si="10"/>
        <v>342.66464388001509</v>
      </c>
      <c r="Q32" s="483">
        <f t="shared" si="11"/>
        <v>338.22482829323843</v>
      </c>
      <c r="R32" s="483">
        <f t="shared" si="11"/>
        <v>272.27257205914827</v>
      </c>
      <c r="S32" s="483">
        <f t="shared" si="11"/>
        <v>282.49806867126034</v>
      </c>
      <c r="T32" s="483">
        <f t="shared" si="11"/>
        <v>289.46732035672636</v>
      </c>
      <c r="U32" s="483">
        <f t="shared" si="11"/>
        <v>294.56194779162183</v>
      </c>
      <c r="V32" s="483">
        <f t="shared" si="11"/>
        <v>298.27138127120639</v>
      </c>
      <c r="W32" s="483">
        <f t="shared" si="11"/>
        <v>302.3677712861338</v>
      </c>
      <c r="X32" s="483">
        <f t="shared" si="11"/>
        <v>306.38218758666767</v>
      </c>
      <c r="Y32" s="483">
        <f t="shared" si="11"/>
        <v>310.07555147778817</v>
      </c>
      <c r="Z32" s="483">
        <f t="shared" si="11"/>
        <v>313.95380713858736</v>
      </c>
      <c r="AA32" s="483">
        <f t="shared" si="12"/>
        <v>317.6233768413997</v>
      </c>
      <c r="AB32" s="483">
        <f t="shared" si="12"/>
        <v>316.70494555479115</v>
      </c>
      <c r="AC32" s="483">
        <f t="shared" si="12"/>
        <v>315.78431771529296</v>
      </c>
      <c r="AD32" s="483">
        <f t="shared" si="12"/>
        <v>314.86749099211187</v>
      </c>
      <c r="AE32" s="483">
        <f t="shared" si="12"/>
        <v>313.94836147707156</v>
      </c>
      <c r="AF32" s="483">
        <f t="shared" si="12"/>
        <v>313.0295220514256</v>
      </c>
      <c r="AG32" s="483">
        <f t="shared" si="12"/>
        <v>312.1079049897499</v>
      </c>
      <c r="AH32" s="483">
        <f t="shared" si="12"/>
        <v>311.18953566542649</v>
      </c>
      <c r="AI32" s="483">
        <f t="shared" si="12"/>
        <v>310.26897491247155</v>
      </c>
      <c r="AJ32" s="483">
        <f t="shared" si="12"/>
        <v>309.35120067241695</v>
      </c>
      <c r="AK32" s="483">
        <f t="shared" si="13"/>
        <v>308.43252080193952</v>
      </c>
      <c r="AL32" s="483">
        <f t="shared" si="13"/>
        <v>307.51384244443585</v>
      </c>
      <c r="AM32" s="483">
        <f t="shared" si="13"/>
        <v>306.60464504445758</v>
      </c>
      <c r="AN32" s="483">
        <f t="shared" si="13"/>
        <v>305.69546487184226</v>
      </c>
      <c r="AO32" s="483">
        <f t="shared" si="13"/>
        <v>304.78630194861643</v>
      </c>
      <c r="AP32" s="483">
        <f t="shared" si="13"/>
        <v>303.87715629683441</v>
      </c>
      <c r="AQ32" s="483">
        <f t="shared" si="13"/>
        <v>302.96802793857881</v>
      </c>
      <c r="AR32" s="483">
        <f t="shared" si="13"/>
        <v>302.05891689596058</v>
      </c>
      <c r="AS32" s="483">
        <f t="shared" si="13"/>
        <v>301.14982319111897</v>
      </c>
      <c r="AT32" s="483">
        <f t="shared" si="13"/>
        <v>300.24074684622127</v>
      </c>
      <c r="AU32" s="483">
        <f t="shared" si="13"/>
        <v>299.33168788346347</v>
      </c>
      <c r="AV32" s="484">
        <v>5</v>
      </c>
      <c r="BB32" s="518"/>
      <c r="BC32" s="518"/>
      <c r="BD32" s="603"/>
      <c r="BE32" s="603"/>
      <c r="BF32" s="603"/>
      <c r="BG32" s="603"/>
      <c r="BH32" s="603"/>
      <c r="BI32" s="603"/>
      <c r="BJ32" s="603"/>
      <c r="BK32" s="603"/>
      <c r="BL32" s="603"/>
      <c r="BM32" s="603"/>
      <c r="BN32" s="603"/>
      <c r="BO32" s="603"/>
      <c r="BP32" s="603"/>
      <c r="BQ32" s="603"/>
      <c r="BR32" s="603"/>
      <c r="BS32" s="603"/>
      <c r="BT32" s="603"/>
      <c r="BU32" s="603"/>
      <c r="BV32" s="603"/>
      <c r="BW32" s="603"/>
      <c r="BX32" s="603"/>
      <c r="BY32" s="603"/>
      <c r="BZ32" s="603"/>
      <c r="CA32" s="603"/>
      <c r="CB32" s="603"/>
      <c r="CC32" s="603"/>
      <c r="CD32" s="603"/>
      <c r="CE32" s="603"/>
      <c r="CF32" s="603"/>
      <c r="CG32" s="518"/>
      <c r="CH32" s="518"/>
    </row>
    <row r="33" spans="2:119" ht="14.4">
      <c r="B33" s="8" t="str">
        <f>Processes!D32</f>
        <v>IMPKRE</v>
      </c>
      <c r="C33" s="8" t="str">
        <f>Processes!E32</f>
        <v>Import technology - Electro Kerosene</v>
      </c>
      <c r="D33" s="216"/>
      <c r="E33" s="216" t="str">
        <f t="shared" si="4"/>
        <v>KRE</v>
      </c>
      <c r="F33" s="1119" t="str">
        <f t="shared" si="5"/>
        <v>MKr19</v>
      </c>
      <c r="G33" s="483">
        <f t="shared" si="10"/>
        <v>504.90000000000003</v>
      </c>
      <c r="H33" s="483">
        <f t="shared" si="10"/>
        <v>801.74750606719613</v>
      </c>
      <c r="I33" s="483">
        <f t="shared" si="10"/>
        <v>825.14750606719599</v>
      </c>
      <c r="J33" s="483">
        <f t="shared" si="10"/>
        <v>838.94750606719595</v>
      </c>
      <c r="K33" s="483">
        <f t="shared" si="10"/>
        <v>787.94750606719595</v>
      </c>
      <c r="L33" s="483">
        <f t="shared" si="10"/>
        <v>568.34750606719604</v>
      </c>
      <c r="M33" s="483">
        <f t="shared" si="10"/>
        <v>550.94750606719595</v>
      </c>
      <c r="N33" s="483">
        <f t="shared" si="10"/>
        <v>575.54750606719608</v>
      </c>
      <c r="O33" s="483">
        <f t="shared" si="10"/>
        <v>724.35396083553712</v>
      </c>
      <c r="P33" s="483">
        <f t="shared" si="10"/>
        <v>685.32928776003018</v>
      </c>
      <c r="Q33" s="483">
        <f t="shared" si="11"/>
        <v>676.44965658647686</v>
      </c>
      <c r="R33" s="483">
        <f t="shared" si="11"/>
        <v>544.54514411829655</v>
      </c>
      <c r="S33" s="483">
        <f t="shared" si="11"/>
        <v>564.99613734252068</v>
      </c>
      <c r="T33" s="483">
        <f t="shared" si="11"/>
        <v>578.93464071345272</v>
      </c>
      <c r="U33" s="483">
        <f t="shared" si="11"/>
        <v>589.12389558324367</v>
      </c>
      <c r="V33" s="483">
        <f t="shared" si="11"/>
        <v>596.54276254241279</v>
      </c>
      <c r="W33" s="483">
        <f t="shared" si="11"/>
        <v>604.7355425722676</v>
      </c>
      <c r="X33" s="483">
        <f t="shared" si="11"/>
        <v>612.76437517333534</v>
      </c>
      <c r="Y33" s="483">
        <f t="shared" si="11"/>
        <v>620.15110295557633</v>
      </c>
      <c r="Z33" s="483">
        <f t="shared" si="11"/>
        <v>627.90761427717473</v>
      </c>
      <c r="AA33" s="483">
        <f t="shared" si="12"/>
        <v>635.24675368279941</v>
      </c>
      <c r="AB33" s="483">
        <f t="shared" si="12"/>
        <v>633.4098911095823</v>
      </c>
      <c r="AC33" s="483">
        <f t="shared" si="12"/>
        <v>631.56863543058591</v>
      </c>
      <c r="AD33" s="483">
        <f t="shared" si="12"/>
        <v>629.73498198422374</v>
      </c>
      <c r="AE33" s="483">
        <f t="shared" si="12"/>
        <v>627.89672295414312</v>
      </c>
      <c r="AF33" s="483">
        <f t="shared" si="12"/>
        <v>626.0590441028512</v>
      </c>
      <c r="AG33" s="483">
        <f t="shared" si="12"/>
        <v>624.2158099794998</v>
      </c>
      <c r="AH33" s="483">
        <f t="shared" si="12"/>
        <v>622.37907133085298</v>
      </c>
      <c r="AI33" s="483">
        <f t="shared" si="12"/>
        <v>620.5379498249431</v>
      </c>
      <c r="AJ33" s="483">
        <f t="shared" si="12"/>
        <v>618.7024013448339</v>
      </c>
      <c r="AK33" s="483">
        <f t="shared" si="13"/>
        <v>616.86504160387904</v>
      </c>
      <c r="AL33" s="483">
        <f t="shared" si="13"/>
        <v>615.0276848888717</v>
      </c>
      <c r="AM33" s="483">
        <f t="shared" si="13"/>
        <v>613.20929008891517</v>
      </c>
      <c r="AN33" s="483">
        <f t="shared" si="13"/>
        <v>611.39092974368452</v>
      </c>
      <c r="AO33" s="483">
        <f t="shared" si="13"/>
        <v>609.57260389723285</v>
      </c>
      <c r="AP33" s="483">
        <f t="shared" si="13"/>
        <v>607.75431259366883</v>
      </c>
      <c r="AQ33" s="483">
        <f t="shared" si="13"/>
        <v>605.93605587715763</v>
      </c>
      <c r="AR33" s="483">
        <f t="shared" si="13"/>
        <v>604.11783379192116</v>
      </c>
      <c r="AS33" s="483">
        <f t="shared" si="13"/>
        <v>602.29964638223794</v>
      </c>
      <c r="AT33" s="483">
        <f t="shared" si="13"/>
        <v>600.48149369244254</v>
      </c>
      <c r="AU33" s="483">
        <f t="shared" si="13"/>
        <v>598.66337576692695</v>
      </c>
      <c r="AV33" s="484">
        <v>5</v>
      </c>
      <c r="BB33" s="518"/>
      <c r="BC33" s="518"/>
      <c r="BD33" s="603"/>
      <c r="BE33" s="603"/>
      <c r="BF33" s="603"/>
      <c r="BG33" s="603"/>
      <c r="BH33" s="603"/>
      <c r="BI33" s="603"/>
      <c r="BJ33" s="603"/>
      <c r="BK33" s="603"/>
      <c r="BL33" s="603"/>
      <c r="BM33" s="603"/>
      <c r="BN33" s="603"/>
      <c r="BO33" s="603"/>
      <c r="BP33" s="603"/>
      <c r="BQ33" s="603"/>
      <c r="BR33" s="603"/>
      <c r="BS33" s="603"/>
      <c r="BT33" s="603"/>
      <c r="BU33" s="603"/>
      <c r="BV33" s="603"/>
      <c r="BW33" s="603"/>
      <c r="BX33" s="603"/>
      <c r="BY33" s="603"/>
      <c r="BZ33" s="603"/>
      <c r="CA33" s="603"/>
      <c r="CB33" s="603"/>
      <c r="CC33" s="603"/>
      <c r="CD33" s="603"/>
      <c r="CE33" s="603"/>
      <c r="CF33" s="603"/>
      <c r="CG33" s="518"/>
      <c r="CH33" s="518"/>
    </row>
    <row r="34" spans="2:119" ht="14.4">
      <c r="B34" s="8" t="str">
        <f>Processes!D33</f>
        <v>IMPSNG1</v>
      </c>
      <c r="C34" s="8" t="str">
        <f>Processes!E33</f>
        <v>Import technology - Bio Synt. Nat. Gas G1</v>
      </c>
      <c r="D34" s="216"/>
      <c r="E34" s="216" t="str">
        <f t="shared" si="4"/>
        <v>SNG1</v>
      </c>
      <c r="F34" s="1119" t="str">
        <f t="shared" si="5"/>
        <v>MKr19</v>
      </c>
      <c r="G34" s="483">
        <f t="shared" si="10"/>
        <v>133.19999999999999</v>
      </c>
      <c r="H34" s="483">
        <f t="shared" si="10"/>
        <v>138.30000000000001</v>
      </c>
      <c r="I34" s="483">
        <f t="shared" si="10"/>
        <v>165.3</v>
      </c>
      <c r="J34" s="483">
        <f t="shared" si="10"/>
        <v>162.60000000000002</v>
      </c>
      <c r="K34" s="483">
        <f t="shared" si="10"/>
        <v>137.10000000000002</v>
      </c>
      <c r="L34" s="483">
        <f t="shared" si="10"/>
        <v>132</v>
      </c>
      <c r="M34" s="483">
        <f t="shared" si="10"/>
        <v>110.39999999999999</v>
      </c>
      <c r="N34" s="483">
        <f t="shared" si="10"/>
        <v>110.69999999999999</v>
      </c>
      <c r="O34" s="483">
        <f t="shared" si="10"/>
        <v>160.26655014555075</v>
      </c>
      <c r="P34" s="483">
        <f t="shared" si="10"/>
        <v>102.78303372186139</v>
      </c>
      <c r="Q34" s="483">
        <f t="shared" si="11"/>
        <v>100.19354995944677</v>
      </c>
      <c r="R34" s="483">
        <f t="shared" si="11"/>
        <v>94.575870076314601</v>
      </c>
      <c r="S34" s="483">
        <f t="shared" si="11"/>
        <v>98.287645864625688</v>
      </c>
      <c r="T34" s="483">
        <f t="shared" si="11"/>
        <v>100.1030649386264</v>
      </c>
      <c r="U34" s="483">
        <f t="shared" si="11"/>
        <v>100.70137176108622</v>
      </c>
      <c r="V34" s="483">
        <f t="shared" si="11"/>
        <v>100.518250388741</v>
      </c>
      <c r="W34" s="483">
        <f t="shared" si="11"/>
        <v>100.40291761291219</v>
      </c>
      <c r="X34" s="483">
        <f t="shared" si="11"/>
        <v>100.32884125869501</v>
      </c>
      <c r="Y34" s="483">
        <f t="shared" si="11"/>
        <v>100.26539877136038</v>
      </c>
      <c r="Z34" s="483">
        <f t="shared" si="11"/>
        <v>100.24266074406691</v>
      </c>
      <c r="AA34" s="483">
        <f t="shared" si="12"/>
        <v>100.23645783122964</v>
      </c>
      <c r="AB34" s="483">
        <f t="shared" si="12"/>
        <v>100.37471501444514</v>
      </c>
      <c r="AC34" s="483">
        <f t="shared" si="12"/>
        <v>100.51297219766064</v>
      </c>
      <c r="AD34" s="483">
        <f t="shared" si="12"/>
        <v>100.65122938087613</v>
      </c>
      <c r="AE34" s="483">
        <f t="shared" si="12"/>
        <v>100.78948656409162</v>
      </c>
      <c r="AF34" s="483">
        <f t="shared" si="12"/>
        <v>100.92774374730713</v>
      </c>
      <c r="AG34" s="483">
        <f t="shared" si="12"/>
        <v>101.06600093052263</v>
      </c>
      <c r="AH34" s="483">
        <f t="shared" si="12"/>
        <v>101.20425811373809</v>
      </c>
      <c r="AI34" s="483">
        <f t="shared" si="12"/>
        <v>101.34251529695359</v>
      </c>
      <c r="AJ34" s="483">
        <f t="shared" si="12"/>
        <v>101.48077248016905</v>
      </c>
      <c r="AK34" s="483">
        <f t="shared" si="13"/>
        <v>101.61902966338455</v>
      </c>
      <c r="AL34" s="483">
        <f t="shared" si="13"/>
        <v>101.75728684660005</v>
      </c>
      <c r="AM34" s="483">
        <f t="shared" si="13"/>
        <v>101.89554402981554</v>
      </c>
      <c r="AN34" s="483">
        <f t="shared" si="13"/>
        <v>102.03380121303101</v>
      </c>
      <c r="AO34" s="483">
        <f t="shared" si="13"/>
        <v>102.17205839624651</v>
      </c>
      <c r="AP34" s="483">
        <f t="shared" si="13"/>
        <v>102.31031557946201</v>
      </c>
      <c r="AQ34" s="483">
        <f t="shared" si="13"/>
        <v>102.44857276267751</v>
      </c>
      <c r="AR34" s="483">
        <f t="shared" si="13"/>
        <v>102.58682994589297</v>
      </c>
      <c r="AS34" s="483">
        <f t="shared" si="13"/>
        <v>102.72508712910849</v>
      </c>
      <c r="AT34" s="483">
        <f t="shared" si="13"/>
        <v>102.86334431232396</v>
      </c>
      <c r="AU34" s="483">
        <f t="shared" si="13"/>
        <v>103.00160149553948</v>
      </c>
      <c r="AV34" s="484">
        <v>5</v>
      </c>
      <c r="BB34" s="518"/>
      <c r="BC34" s="518"/>
      <c r="BD34" s="603"/>
      <c r="BE34" s="603"/>
      <c r="BF34" s="603"/>
      <c r="BG34" s="603"/>
      <c r="BH34" s="603"/>
      <c r="BI34" s="603"/>
      <c r="BJ34" s="603"/>
      <c r="BK34" s="603"/>
      <c r="BL34" s="603"/>
      <c r="BM34" s="603"/>
      <c r="BN34" s="603"/>
      <c r="BO34" s="603"/>
      <c r="BP34" s="603"/>
      <c r="BQ34" s="603"/>
      <c r="BR34" s="603"/>
      <c r="BS34" s="603"/>
      <c r="BT34" s="603"/>
      <c r="BU34" s="603"/>
      <c r="BV34" s="603"/>
      <c r="BW34" s="603"/>
      <c r="BX34" s="603"/>
      <c r="BY34" s="603"/>
      <c r="BZ34" s="603"/>
      <c r="CA34" s="603"/>
      <c r="CB34" s="603"/>
      <c r="CC34" s="603"/>
      <c r="CD34" s="603"/>
      <c r="CE34" s="603"/>
      <c r="CF34" s="603"/>
      <c r="CG34" s="518"/>
      <c r="CH34" s="518"/>
    </row>
    <row r="35" spans="2:119" ht="14.4">
      <c r="B35" s="8" t="str">
        <f>Processes!D34</f>
        <v>IMPSNG2</v>
      </c>
      <c r="C35" s="8" t="str">
        <f>Processes!E34</f>
        <v>Import technology - Bio Synt. Nat. Gas G2</v>
      </c>
      <c r="D35" s="216"/>
      <c r="E35" s="216" t="str">
        <f t="shared" si="4"/>
        <v>SNG2</v>
      </c>
      <c r="F35" s="1119" t="str">
        <f t="shared" si="5"/>
        <v>MKr19</v>
      </c>
      <c r="G35" s="483">
        <f t="shared" si="10"/>
        <v>146.52000000000001</v>
      </c>
      <c r="H35" s="483">
        <f t="shared" si="10"/>
        <v>201.973753033598</v>
      </c>
      <c r="I35" s="483">
        <f t="shared" si="10"/>
        <v>228.973753033598</v>
      </c>
      <c r="J35" s="483">
        <f t="shared" si="10"/>
        <v>226.27375303359801</v>
      </c>
      <c r="K35" s="483">
        <f t="shared" si="10"/>
        <v>200.77375303359801</v>
      </c>
      <c r="L35" s="483">
        <f t="shared" si="10"/>
        <v>195.67375303359799</v>
      </c>
      <c r="M35" s="483">
        <f t="shared" si="10"/>
        <v>174.073753033598</v>
      </c>
      <c r="N35" s="483">
        <f t="shared" si="10"/>
        <v>174.37375303359798</v>
      </c>
      <c r="O35" s="483">
        <f t="shared" si="10"/>
        <v>223.94030317914874</v>
      </c>
      <c r="P35" s="483">
        <f t="shared" si="10"/>
        <v>166.45678675545938</v>
      </c>
      <c r="Q35" s="483">
        <f t="shared" si="11"/>
        <v>163.86730299304477</v>
      </c>
      <c r="R35" s="483">
        <f t="shared" si="11"/>
        <v>158.24962310991259</v>
      </c>
      <c r="S35" s="483">
        <f t="shared" si="11"/>
        <v>161.96139889822368</v>
      </c>
      <c r="T35" s="483">
        <f t="shared" si="11"/>
        <v>163.77681797222439</v>
      </c>
      <c r="U35" s="483">
        <f t="shared" si="11"/>
        <v>164.37512479468421</v>
      </c>
      <c r="V35" s="483">
        <f t="shared" si="11"/>
        <v>164.19200342233898</v>
      </c>
      <c r="W35" s="483">
        <f t="shared" si="11"/>
        <v>164.07667064651019</v>
      </c>
      <c r="X35" s="483">
        <f t="shared" si="11"/>
        <v>164.002594292293</v>
      </c>
      <c r="Y35" s="483">
        <f t="shared" si="11"/>
        <v>163.93915180495839</v>
      </c>
      <c r="Z35" s="483">
        <f t="shared" si="11"/>
        <v>163.9164137776649</v>
      </c>
      <c r="AA35" s="483">
        <f t="shared" si="12"/>
        <v>163.91021086482763</v>
      </c>
      <c r="AB35" s="483">
        <f t="shared" si="12"/>
        <v>164.04846804804313</v>
      </c>
      <c r="AC35" s="483">
        <f t="shared" si="12"/>
        <v>164.18672523125863</v>
      </c>
      <c r="AD35" s="483">
        <f t="shared" si="12"/>
        <v>164.32498241447414</v>
      </c>
      <c r="AE35" s="483">
        <f t="shared" si="12"/>
        <v>164.46323959768961</v>
      </c>
      <c r="AF35" s="483">
        <f t="shared" si="12"/>
        <v>164.60149678090514</v>
      </c>
      <c r="AG35" s="483">
        <f t="shared" si="12"/>
        <v>164.73975396412064</v>
      </c>
      <c r="AH35" s="483">
        <f t="shared" si="12"/>
        <v>164.87801114733608</v>
      </c>
      <c r="AI35" s="483">
        <f t="shared" si="12"/>
        <v>165.01626833055158</v>
      </c>
      <c r="AJ35" s="483">
        <f t="shared" si="12"/>
        <v>165.15452551376706</v>
      </c>
      <c r="AK35" s="483">
        <f t="shared" si="13"/>
        <v>165.29278269698256</v>
      </c>
      <c r="AL35" s="483">
        <f t="shared" si="13"/>
        <v>165.43103988019806</v>
      </c>
      <c r="AM35" s="483">
        <f t="shared" si="13"/>
        <v>165.56929706341353</v>
      </c>
      <c r="AN35" s="483">
        <f t="shared" si="13"/>
        <v>165.707554246629</v>
      </c>
      <c r="AO35" s="483">
        <f t="shared" si="13"/>
        <v>165.8458114298445</v>
      </c>
      <c r="AP35" s="483">
        <f t="shared" si="13"/>
        <v>165.98406861306</v>
      </c>
      <c r="AQ35" s="483">
        <f t="shared" si="13"/>
        <v>166.1223257962755</v>
      </c>
      <c r="AR35" s="483">
        <f t="shared" si="13"/>
        <v>166.26058297949098</v>
      </c>
      <c r="AS35" s="483">
        <f t="shared" si="13"/>
        <v>166.39884016270648</v>
      </c>
      <c r="AT35" s="483">
        <f t="shared" si="13"/>
        <v>166.53709734592195</v>
      </c>
      <c r="AU35" s="483">
        <f t="shared" si="13"/>
        <v>166.67535452913748</v>
      </c>
      <c r="AV35" s="484">
        <v>5</v>
      </c>
      <c r="BC35" s="518"/>
      <c r="BD35" s="603"/>
      <c r="BE35" s="603"/>
      <c r="BF35" s="603"/>
      <c r="BG35" s="603"/>
      <c r="BH35" s="603"/>
      <c r="BI35" s="603"/>
      <c r="BJ35" s="603"/>
      <c r="BK35" s="603"/>
      <c r="BL35" s="603"/>
      <c r="BM35" s="603"/>
      <c r="BN35" s="603"/>
      <c r="BO35" s="603"/>
      <c r="BP35" s="603"/>
      <c r="BQ35" s="603"/>
      <c r="BR35" s="603"/>
      <c r="BS35" s="603"/>
      <c r="BT35" s="603"/>
      <c r="BU35" s="603"/>
      <c r="BV35" s="603"/>
      <c r="BW35" s="603"/>
      <c r="BX35" s="603"/>
      <c r="BY35" s="603"/>
      <c r="BZ35" s="603"/>
      <c r="CA35" s="603"/>
      <c r="CB35" s="603"/>
      <c r="CC35" s="603"/>
      <c r="CD35" s="603"/>
      <c r="CE35" s="603"/>
      <c r="CF35" s="603"/>
      <c r="CG35" s="518"/>
      <c r="CH35" s="518"/>
    </row>
    <row r="36" spans="2:119" ht="14.4">
      <c r="B36" s="8" t="str">
        <f>Processes!D35</f>
        <v>IMPSNE</v>
      </c>
      <c r="C36" s="8" t="str">
        <f>Processes!E35</f>
        <v>Import technology - Electro Synt. Nat. Gas</v>
      </c>
      <c r="D36" s="216"/>
      <c r="E36" s="216" t="str">
        <f t="shared" si="4"/>
        <v>SNE</v>
      </c>
      <c r="F36" s="1119" t="str">
        <f t="shared" si="5"/>
        <v>MKr19</v>
      </c>
      <c r="G36" s="483">
        <f t="shared" si="10"/>
        <v>293.04000000000002</v>
      </c>
      <c r="H36" s="483">
        <f t="shared" si="10"/>
        <v>403.947506067196</v>
      </c>
      <c r="I36" s="483">
        <f t="shared" si="10"/>
        <v>457.947506067196</v>
      </c>
      <c r="J36" s="483">
        <f t="shared" si="10"/>
        <v>452.54750606719603</v>
      </c>
      <c r="K36" s="483">
        <f t="shared" si="10"/>
        <v>401.54750606719603</v>
      </c>
      <c r="L36" s="483">
        <f t="shared" si="10"/>
        <v>391.34750606719598</v>
      </c>
      <c r="M36" s="483">
        <f t="shared" si="10"/>
        <v>348.14750606719599</v>
      </c>
      <c r="N36" s="483">
        <f t="shared" si="10"/>
        <v>348.74750606719596</v>
      </c>
      <c r="O36" s="483">
        <f t="shared" si="10"/>
        <v>447.88060635829748</v>
      </c>
      <c r="P36" s="483">
        <f t="shared" si="10"/>
        <v>332.91357351091875</v>
      </c>
      <c r="Q36" s="483">
        <f t="shared" si="11"/>
        <v>327.73460598608955</v>
      </c>
      <c r="R36" s="483">
        <f t="shared" si="11"/>
        <v>316.49924621982518</v>
      </c>
      <c r="S36" s="483">
        <f t="shared" si="11"/>
        <v>323.92279779644736</v>
      </c>
      <c r="T36" s="483">
        <f t="shared" si="11"/>
        <v>327.55363594444879</v>
      </c>
      <c r="U36" s="483">
        <f t="shared" si="11"/>
        <v>328.75024958936842</v>
      </c>
      <c r="V36" s="483">
        <f t="shared" si="11"/>
        <v>328.38400684467797</v>
      </c>
      <c r="W36" s="483">
        <f t="shared" si="11"/>
        <v>328.15334129302039</v>
      </c>
      <c r="X36" s="483">
        <f t="shared" si="11"/>
        <v>328.00518858458599</v>
      </c>
      <c r="Y36" s="483">
        <f t="shared" si="11"/>
        <v>327.87830360991677</v>
      </c>
      <c r="Z36" s="483">
        <f t="shared" si="11"/>
        <v>327.8328275553298</v>
      </c>
      <c r="AA36" s="483">
        <f t="shared" si="12"/>
        <v>327.82042172965527</v>
      </c>
      <c r="AB36" s="483">
        <f t="shared" si="12"/>
        <v>328.09693609608627</v>
      </c>
      <c r="AC36" s="483">
        <f t="shared" si="12"/>
        <v>328.37345046251727</v>
      </c>
      <c r="AD36" s="483">
        <f t="shared" si="12"/>
        <v>328.64996482894827</v>
      </c>
      <c r="AE36" s="483">
        <f t="shared" si="12"/>
        <v>328.92647919537922</v>
      </c>
      <c r="AF36" s="483">
        <f t="shared" si="12"/>
        <v>329.20299356181027</v>
      </c>
      <c r="AG36" s="483">
        <f t="shared" si="12"/>
        <v>329.47950792824128</v>
      </c>
      <c r="AH36" s="483">
        <f t="shared" si="12"/>
        <v>329.75602229467216</v>
      </c>
      <c r="AI36" s="483">
        <f t="shared" si="12"/>
        <v>330.03253666110317</v>
      </c>
      <c r="AJ36" s="483">
        <f t="shared" si="12"/>
        <v>330.30905102753411</v>
      </c>
      <c r="AK36" s="483">
        <f t="shared" si="13"/>
        <v>330.58556539396511</v>
      </c>
      <c r="AL36" s="483">
        <f t="shared" si="13"/>
        <v>330.86207976039611</v>
      </c>
      <c r="AM36" s="483">
        <f t="shared" si="13"/>
        <v>331.13859412682706</v>
      </c>
      <c r="AN36" s="483">
        <f t="shared" si="13"/>
        <v>331.415108493258</v>
      </c>
      <c r="AO36" s="483">
        <f t="shared" si="13"/>
        <v>331.69162285968901</v>
      </c>
      <c r="AP36" s="483">
        <f t="shared" si="13"/>
        <v>331.96813722612001</v>
      </c>
      <c r="AQ36" s="483">
        <f t="shared" si="13"/>
        <v>332.24465159255101</v>
      </c>
      <c r="AR36" s="483">
        <f t="shared" si="13"/>
        <v>332.52116595898195</v>
      </c>
      <c r="AS36" s="483">
        <f t="shared" si="13"/>
        <v>332.79768032541295</v>
      </c>
      <c r="AT36" s="483">
        <f t="shared" si="13"/>
        <v>333.0741946918439</v>
      </c>
      <c r="AU36" s="483">
        <f t="shared" si="13"/>
        <v>333.35070905827496</v>
      </c>
      <c r="AV36" s="484">
        <v>5</v>
      </c>
      <c r="BC36" s="518"/>
      <c r="BD36" s="603"/>
      <c r="BE36" s="603"/>
      <c r="BF36" s="603"/>
      <c r="BG36" s="603"/>
      <c r="BH36" s="603"/>
      <c r="BI36" s="603"/>
      <c r="BJ36" s="603"/>
      <c r="BK36" s="603"/>
      <c r="BL36" s="603"/>
      <c r="BM36" s="603"/>
      <c r="BN36" s="603"/>
      <c r="BO36" s="603"/>
      <c r="BP36" s="603"/>
      <c r="BQ36" s="603"/>
      <c r="BR36" s="603"/>
      <c r="BS36" s="603"/>
      <c r="BT36" s="603"/>
      <c r="BU36" s="603"/>
      <c r="BV36" s="603"/>
      <c r="BW36" s="603"/>
      <c r="BX36" s="603"/>
      <c r="BY36" s="603"/>
      <c r="BZ36" s="603"/>
      <c r="CA36" s="603"/>
      <c r="CB36" s="603"/>
      <c r="CC36" s="603"/>
      <c r="CD36" s="603"/>
      <c r="CE36" s="603"/>
      <c r="CF36" s="603"/>
      <c r="CG36" s="518"/>
      <c r="CH36" s="518"/>
    </row>
    <row r="37" spans="2:119" s="7" customFormat="1" ht="14.4">
      <c r="B37" s="8" t="str">
        <f>Processes!D36</f>
        <v>IMPDSB1</v>
      </c>
      <c r="C37" s="8" t="str">
        <f>Processes!E36</f>
        <v>Import technology - Biodiesel G1</v>
      </c>
      <c r="D37" s="216"/>
      <c r="E37" s="216" t="str">
        <f t="shared" si="4"/>
        <v>DSB1</v>
      </c>
      <c r="F37" s="1119" t="str">
        <f t="shared" si="5"/>
        <v>MKr19</v>
      </c>
      <c r="G37" s="483">
        <f t="shared" ref="G37:P50" si="14">IFERROR(INDEX($G$122:$AU$177,MATCH($E37,$E$122:$E$177,0),MATCH(G$6,$G$121:$AU$121,0)),0)</f>
        <v>169.073753033598</v>
      </c>
      <c r="H37" s="483">
        <f t="shared" si="14"/>
        <v>181.073753033598</v>
      </c>
      <c r="I37" s="483">
        <f t="shared" si="14"/>
        <v>197.87375303359798</v>
      </c>
      <c r="J37" s="483">
        <f t="shared" si="14"/>
        <v>186.87375303359801</v>
      </c>
      <c r="K37" s="483">
        <f t="shared" si="14"/>
        <v>177.17375303359799</v>
      </c>
      <c r="L37" s="483">
        <f t="shared" si="14"/>
        <v>140.67375303359799</v>
      </c>
      <c r="M37" s="483">
        <f t="shared" si="14"/>
        <v>137.67375303359799</v>
      </c>
      <c r="N37" s="483">
        <f t="shared" si="14"/>
        <v>141.87375303359801</v>
      </c>
      <c r="O37" s="483">
        <f t="shared" si="14"/>
        <v>165.17482882832152</v>
      </c>
      <c r="P37" s="483">
        <f t="shared" si="14"/>
        <v>159.26071664907036</v>
      </c>
      <c r="Q37" s="483">
        <f t="shared" ref="Q37:Z50" si="15">IFERROR(INDEX($G$122:$AU$177,MATCH($E37,$E$122:$E$177,0),MATCH(Q$6,$G$121:$AU$121,0)),0)</f>
        <v>157.78077812014482</v>
      </c>
      <c r="R37" s="483">
        <f t="shared" si="15"/>
        <v>135.79669270878142</v>
      </c>
      <c r="S37" s="483">
        <f t="shared" si="15"/>
        <v>139.20519157948544</v>
      </c>
      <c r="T37" s="483">
        <f t="shared" si="15"/>
        <v>141.52827547464079</v>
      </c>
      <c r="U37" s="483">
        <f t="shared" si="15"/>
        <v>143.22648461960594</v>
      </c>
      <c r="V37" s="483">
        <f t="shared" si="15"/>
        <v>144.46296244613413</v>
      </c>
      <c r="W37" s="483">
        <f t="shared" si="15"/>
        <v>145.82842578444325</v>
      </c>
      <c r="X37" s="483">
        <f t="shared" si="15"/>
        <v>147.16656455128788</v>
      </c>
      <c r="Y37" s="483">
        <f t="shared" si="15"/>
        <v>148.39768584832805</v>
      </c>
      <c r="Z37" s="483">
        <f t="shared" si="15"/>
        <v>149.69043773526113</v>
      </c>
      <c r="AA37" s="483">
        <f t="shared" ref="AA37:AJ50" si="16">IFERROR(INDEX($G$122:$AU$177,MATCH($E37,$E$122:$E$177,0),MATCH(AA$6,$G$121:$AU$121,0)),0)</f>
        <v>150.91362763619856</v>
      </c>
      <c r="AB37" s="483">
        <f t="shared" si="16"/>
        <v>150.6074838739957</v>
      </c>
      <c r="AC37" s="483">
        <f t="shared" si="16"/>
        <v>150.30060792749632</v>
      </c>
      <c r="AD37" s="483">
        <f t="shared" si="16"/>
        <v>149.9949990197693</v>
      </c>
      <c r="AE37" s="483">
        <f t="shared" si="16"/>
        <v>149.68862251475585</v>
      </c>
      <c r="AF37" s="483">
        <f t="shared" si="16"/>
        <v>149.3823427062072</v>
      </c>
      <c r="AG37" s="483">
        <f t="shared" si="16"/>
        <v>149.07513701898196</v>
      </c>
      <c r="AH37" s="483">
        <f t="shared" si="16"/>
        <v>148.76901391087415</v>
      </c>
      <c r="AI37" s="483">
        <f t="shared" si="16"/>
        <v>148.46216032655585</v>
      </c>
      <c r="AJ37" s="483">
        <f t="shared" si="16"/>
        <v>148.15623557987098</v>
      </c>
      <c r="AK37" s="483">
        <f t="shared" ref="AK37:AU50" si="17">IFERROR(INDEX($G$122:$AU$177,MATCH($E37,$E$122:$E$177,0),MATCH(AK$6,$G$121:$AU$121,0)),0)</f>
        <v>147.8500089563785</v>
      </c>
      <c r="AL37" s="483">
        <f t="shared" si="17"/>
        <v>147.54378283721061</v>
      </c>
      <c r="AM37" s="483">
        <f t="shared" si="17"/>
        <v>147.24071703721785</v>
      </c>
      <c r="AN37" s="483">
        <f t="shared" si="17"/>
        <v>146.93765697967942</v>
      </c>
      <c r="AO37" s="483">
        <f t="shared" si="17"/>
        <v>146.63460267193747</v>
      </c>
      <c r="AP37" s="483">
        <f t="shared" si="17"/>
        <v>146.33155412134346</v>
      </c>
      <c r="AQ37" s="483">
        <f t="shared" si="17"/>
        <v>146.02851133525826</v>
      </c>
      <c r="AR37" s="483">
        <f t="shared" si="17"/>
        <v>145.72547432105219</v>
      </c>
      <c r="AS37" s="483">
        <f t="shared" si="17"/>
        <v>145.42244308610498</v>
      </c>
      <c r="AT37" s="483">
        <f t="shared" si="17"/>
        <v>145.11941763780575</v>
      </c>
      <c r="AU37" s="483">
        <f t="shared" si="17"/>
        <v>144.81639798355314</v>
      </c>
      <c r="AV37" s="484">
        <v>5</v>
      </c>
      <c r="BC37" s="518"/>
      <c r="BD37" s="603"/>
      <c r="BE37" s="603"/>
      <c r="BF37" s="603"/>
      <c r="BG37" s="603"/>
      <c r="BH37" s="603"/>
      <c r="BI37" s="603"/>
      <c r="BJ37" s="603"/>
      <c r="BK37" s="603"/>
      <c r="BL37" s="603"/>
      <c r="BM37" s="603"/>
      <c r="BN37" s="603"/>
      <c r="BO37" s="603"/>
      <c r="BP37" s="603"/>
      <c r="BQ37" s="603"/>
      <c r="BR37" s="603"/>
      <c r="BS37" s="603"/>
      <c r="BT37" s="603"/>
      <c r="BU37" s="603"/>
      <c r="BV37" s="603"/>
      <c r="BW37" s="603"/>
      <c r="BX37" s="603"/>
      <c r="BY37" s="603"/>
      <c r="BZ37" s="603"/>
      <c r="CA37" s="603"/>
      <c r="CB37" s="603"/>
      <c r="CC37" s="603"/>
      <c r="CD37" s="603"/>
      <c r="CE37" s="603"/>
      <c r="CF37" s="603"/>
      <c r="CG37" s="518"/>
      <c r="CH37" s="518"/>
      <c r="CI37" s="484"/>
      <c r="CJ37" s="484"/>
      <c r="CK37" s="484"/>
      <c r="CL37" s="484"/>
      <c r="CM37" s="484"/>
      <c r="CN37" s="484"/>
      <c r="CO37" s="484"/>
      <c r="CP37" s="484"/>
      <c r="CQ37" s="484"/>
      <c r="CR37" s="484"/>
      <c r="CS37" s="484"/>
      <c r="CT37" s="484"/>
      <c r="CU37" s="484"/>
      <c r="CV37" s="484"/>
      <c r="CW37" s="484"/>
      <c r="CX37" s="484"/>
      <c r="CY37" s="484"/>
      <c r="CZ37" s="484"/>
      <c r="DA37" s="484"/>
      <c r="DB37" s="484"/>
      <c r="DC37" s="484"/>
      <c r="DD37" s="484"/>
      <c r="DE37" s="484"/>
      <c r="DF37" s="484"/>
      <c r="DG37" s="484"/>
      <c r="DH37" s="484"/>
      <c r="DI37" s="484"/>
      <c r="DJ37" s="484"/>
      <c r="DK37" s="484"/>
      <c r="DL37" s="484"/>
      <c r="DM37" s="484"/>
      <c r="DN37" s="484"/>
      <c r="DO37" s="484"/>
    </row>
    <row r="38" spans="2:119" s="7" customFormat="1" ht="14.4">
      <c r="B38" s="8" t="str">
        <f>Processes!D37</f>
        <v>IMPDSB2</v>
      </c>
      <c r="C38" s="8" t="str">
        <f>Processes!E37</f>
        <v>Import technology - Biodiesel G2</v>
      </c>
      <c r="D38" s="216"/>
      <c r="E38" s="216" t="str">
        <f t="shared" si="4"/>
        <v>DSB2</v>
      </c>
      <c r="F38" s="1119" t="str">
        <f t="shared" si="5"/>
        <v>MKr19</v>
      </c>
      <c r="G38" s="483">
        <f t="shared" si="14"/>
        <v>185.98112833695782</v>
      </c>
      <c r="H38" s="483">
        <f t="shared" si="14"/>
        <v>244.74750606719599</v>
      </c>
      <c r="I38" s="483">
        <f t="shared" si="14"/>
        <v>261.54750606719597</v>
      </c>
      <c r="J38" s="483">
        <f t="shared" si="14"/>
        <v>250.547506067196</v>
      </c>
      <c r="K38" s="483">
        <f t="shared" si="14"/>
        <v>240.84750606719598</v>
      </c>
      <c r="L38" s="483">
        <f t="shared" si="14"/>
        <v>204.34750606719598</v>
      </c>
      <c r="M38" s="483">
        <f t="shared" si="14"/>
        <v>201.34750606719598</v>
      </c>
      <c r="N38" s="483">
        <f t="shared" si="14"/>
        <v>205.547506067196</v>
      </c>
      <c r="O38" s="483">
        <f t="shared" si="14"/>
        <v>228.84858186191951</v>
      </c>
      <c r="P38" s="483">
        <f t="shared" si="14"/>
        <v>222.93446968266835</v>
      </c>
      <c r="Q38" s="483">
        <f t="shared" si="15"/>
        <v>221.45453115374281</v>
      </c>
      <c r="R38" s="483">
        <f t="shared" si="15"/>
        <v>199.47044574237941</v>
      </c>
      <c r="S38" s="483">
        <f t="shared" si="15"/>
        <v>202.87894461308343</v>
      </c>
      <c r="T38" s="483">
        <f t="shared" si="15"/>
        <v>205.20202850823878</v>
      </c>
      <c r="U38" s="483">
        <f t="shared" si="15"/>
        <v>206.90023765320393</v>
      </c>
      <c r="V38" s="483">
        <f t="shared" si="15"/>
        <v>208.13671547973212</v>
      </c>
      <c r="W38" s="483">
        <f t="shared" si="15"/>
        <v>209.50217881804124</v>
      </c>
      <c r="X38" s="483">
        <f t="shared" si="15"/>
        <v>210.84031758488587</v>
      </c>
      <c r="Y38" s="483">
        <f t="shared" si="15"/>
        <v>212.07143888192604</v>
      </c>
      <c r="Z38" s="483">
        <f t="shared" si="15"/>
        <v>213.36419076885912</v>
      </c>
      <c r="AA38" s="483">
        <f t="shared" si="16"/>
        <v>214.58738066979654</v>
      </c>
      <c r="AB38" s="483">
        <f t="shared" si="16"/>
        <v>214.28123690759369</v>
      </c>
      <c r="AC38" s="483">
        <f t="shared" si="16"/>
        <v>213.97436096109431</v>
      </c>
      <c r="AD38" s="483">
        <f t="shared" si="16"/>
        <v>213.66875205336729</v>
      </c>
      <c r="AE38" s="483">
        <f t="shared" si="16"/>
        <v>213.36237554835384</v>
      </c>
      <c r="AF38" s="483">
        <f t="shared" si="16"/>
        <v>213.05609573980519</v>
      </c>
      <c r="AG38" s="483">
        <f t="shared" si="16"/>
        <v>212.74889005257995</v>
      </c>
      <c r="AH38" s="483">
        <f t="shared" si="16"/>
        <v>212.44276694447214</v>
      </c>
      <c r="AI38" s="483">
        <f t="shared" si="16"/>
        <v>212.13591336015384</v>
      </c>
      <c r="AJ38" s="483">
        <f t="shared" si="16"/>
        <v>211.82998861346897</v>
      </c>
      <c r="AK38" s="483">
        <f t="shared" si="17"/>
        <v>211.52376198997649</v>
      </c>
      <c r="AL38" s="483">
        <f t="shared" si="17"/>
        <v>211.2175358708086</v>
      </c>
      <c r="AM38" s="483">
        <f t="shared" si="17"/>
        <v>210.91447007081584</v>
      </c>
      <c r="AN38" s="483">
        <f t="shared" si="17"/>
        <v>210.61141001327741</v>
      </c>
      <c r="AO38" s="483">
        <f t="shared" si="17"/>
        <v>210.30835570553546</v>
      </c>
      <c r="AP38" s="483">
        <f t="shared" si="17"/>
        <v>210.00530715494145</v>
      </c>
      <c r="AQ38" s="483">
        <f t="shared" si="17"/>
        <v>209.70226436885625</v>
      </c>
      <c r="AR38" s="483">
        <f t="shared" si="17"/>
        <v>209.39922735465018</v>
      </c>
      <c r="AS38" s="483">
        <f t="shared" si="17"/>
        <v>209.09619611970297</v>
      </c>
      <c r="AT38" s="483">
        <f t="shared" si="17"/>
        <v>208.79317067140374</v>
      </c>
      <c r="AU38" s="483">
        <f t="shared" si="17"/>
        <v>208.49015101715113</v>
      </c>
      <c r="AV38" s="484">
        <v>5</v>
      </c>
      <c r="BB38" s="518"/>
      <c r="BC38" s="518"/>
      <c r="BD38" s="603"/>
      <c r="BE38" s="603"/>
      <c r="BF38" s="603"/>
      <c r="BG38" s="603"/>
      <c r="BH38" s="603"/>
      <c r="BI38" s="603"/>
      <c r="BJ38" s="603"/>
      <c r="BK38" s="603"/>
      <c r="BL38" s="603"/>
      <c r="BM38" s="603"/>
      <c r="BN38" s="603"/>
      <c r="BO38" s="603"/>
      <c r="BP38" s="603"/>
      <c r="BQ38" s="603"/>
      <c r="BR38" s="603"/>
      <c r="BS38" s="603"/>
      <c r="BT38" s="603"/>
      <c r="BU38" s="603"/>
      <c r="BV38" s="603"/>
      <c r="BW38" s="603"/>
      <c r="BX38" s="603"/>
      <c r="BY38" s="603"/>
      <c r="BZ38" s="603"/>
      <c r="CA38" s="603"/>
      <c r="CB38" s="603"/>
      <c r="CC38" s="603"/>
      <c r="CD38" s="603"/>
      <c r="CE38" s="603"/>
      <c r="CF38" s="603"/>
      <c r="CG38" s="518"/>
      <c r="CH38" s="518"/>
      <c r="CI38" s="484"/>
      <c r="CJ38" s="484"/>
      <c r="CK38" s="484"/>
      <c r="CL38" s="484"/>
      <c r="CM38" s="484"/>
      <c r="CN38" s="484"/>
      <c r="CO38" s="484"/>
      <c r="CP38" s="484"/>
      <c r="CQ38" s="484"/>
      <c r="CR38" s="484"/>
      <c r="CS38" s="484"/>
      <c r="CT38" s="484"/>
      <c r="CU38" s="484"/>
      <c r="CV38" s="484"/>
      <c r="CW38" s="484"/>
      <c r="CX38" s="484"/>
      <c r="CY38" s="484"/>
      <c r="CZ38" s="484"/>
      <c r="DA38" s="484"/>
      <c r="DB38" s="484"/>
      <c r="DC38" s="484"/>
      <c r="DD38" s="484"/>
      <c r="DE38" s="484"/>
      <c r="DF38" s="484"/>
      <c r="DG38" s="484"/>
      <c r="DH38" s="484"/>
      <c r="DI38" s="484"/>
      <c r="DJ38" s="484"/>
      <c r="DK38" s="484"/>
      <c r="DL38" s="484"/>
      <c r="DM38" s="484"/>
      <c r="DN38" s="484"/>
      <c r="DO38" s="484"/>
    </row>
    <row r="39" spans="2:119" s="7" customFormat="1" ht="14.4">
      <c r="B39" s="8" t="str">
        <f>Processes!D38</f>
        <v>IMPDSE</v>
      </c>
      <c r="C39" s="8" t="str">
        <f>Processes!E38</f>
        <v>Import technology - Electro Diesel</v>
      </c>
      <c r="D39" s="216"/>
      <c r="E39" s="216" t="str">
        <f t="shared" si="4"/>
        <v>DSE</v>
      </c>
      <c r="F39" s="1119" t="str">
        <f t="shared" si="5"/>
        <v>MKr19</v>
      </c>
      <c r="G39" s="483">
        <f t="shared" si="14"/>
        <v>371.96225667391565</v>
      </c>
      <c r="H39" s="483">
        <f t="shared" si="14"/>
        <v>489.49501213439197</v>
      </c>
      <c r="I39" s="483">
        <f t="shared" si="14"/>
        <v>523.09501213439194</v>
      </c>
      <c r="J39" s="483">
        <f t="shared" si="14"/>
        <v>501.09501213439199</v>
      </c>
      <c r="K39" s="483">
        <f t="shared" si="14"/>
        <v>481.69501213439196</v>
      </c>
      <c r="L39" s="483">
        <f t="shared" si="14"/>
        <v>408.69501213439196</v>
      </c>
      <c r="M39" s="483">
        <f t="shared" si="14"/>
        <v>402.69501213439196</v>
      </c>
      <c r="N39" s="483">
        <f t="shared" si="14"/>
        <v>411.09501213439199</v>
      </c>
      <c r="O39" s="483">
        <f t="shared" si="14"/>
        <v>457.69716372383903</v>
      </c>
      <c r="P39" s="483">
        <f t="shared" si="14"/>
        <v>445.8689393653367</v>
      </c>
      <c r="Q39" s="483">
        <f t="shared" si="15"/>
        <v>442.90906230748561</v>
      </c>
      <c r="R39" s="483">
        <f t="shared" si="15"/>
        <v>398.94089148475882</v>
      </c>
      <c r="S39" s="483">
        <f t="shared" si="15"/>
        <v>405.75788922616687</v>
      </c>
      <c r="T39" s="483">
        <f t="shared" si="15"/>
        <v>410.40405701647757</v>
      </c>
      <c r="U39" s="483">
        <f t="shared" si="15"/>
        <v>413.80047530640786</v>
      </c>
      <c r="V39" s="483">
        <f t="shared" si="15"/>
        <v>416.27343095946424</v>
      </c>
      <c r="W39" s="483">
        <f t="shared" si="15"/>
        <v>419.00435763608249</v>
      </c>
      <c r="X39" s="483">
        <f t="shared" si="15"/>
        <v>421.68063516977173</v>
      </c>
      <c r="Y39" s="483">
        <f t="shared" si="15"/>
        <v>424.14287776385208</v>
      </c>
      <c r="Z39" s="483">
        <f t="shared" si="15"/>
        <v>426.72838153771823</v>
      </c>
      <c r="AA39" s="483">
        <f t="shared" si="16"/>
        <v>429.17476133959309</v>
      </c>
      <c r="AB39" s="483">
        <f t="shared" si="16"/>
        <v>428.56247381518739</v>
      </c>
      <c r="AC39" s="483">
        <f t="shared" si="16"/>
        <v>427.94872192218861</v>
      </c>
      <c r="AD39" s="483">
        <f t="shared" si="16"/>
        <v>427.33750410673457</v>
      </c>
      <c r="AE39" s="483">
        <f t="shared" si="16"/>
        <v>426.72475109670768</v>
      </c>
      <c r="AF39" s="483">
        <f t="shared" si="16"/>
        <v>426.11219147961037</v>
      </c>
      <c r="AG39" s="483">
        <f t="shared" si="16"/>
        <v>425.4977801051599</v>
      </c>
      <c r="AH39" s="483">
        <f t="shared" si="16"/>
        <v>424.88553388894428</v>
      </c>
      <c r="AI39" s="483">
        <f t="shared" si="16"/>
        <v>424.27182672030767</v>
      </c>
      <c r="AJ39" s="483">
        <f t="shared" si="16"/>
        <v>423.65997722693794</v>
      </c>
      <c r="AK39" s="483">
        <f t="shared" si="17"/>
        <v>423.04752397995298</v>
      </c>
      <c r="AL39" s="483">
        <f t="shared" si="17"/>
        <v>422.43507174161721</v>
      </c>
      <c r="AM39" s="483">
        <f t="shared" si="17"/>
        <v>421.82894014163168</v>
      </c>
      <c r="AN39" s="483">
        <f t="shared" si="17"/>
        <v>421.22282002655481</v>
      </c>
      <c r="AO39" s="483">
        <f t="shared" si="17"/>
        <v>420.61671141107092</v>
      </c>
      <c r="AP39" s="483">
        <f t="shared" si="17"/>
        <v>420.0106143098829</v>
      </c>
      <c r="AQ39" s="483">
        <f t="shared" si="17"/>
        <v>419.4045287377125</v>
      </c>
      <c r="AR39" s="483">
        <f t="shared" si="17"/>
        <v>418.79845470930036</v>
      </c>
      <c r="AS39" s="483">
        <f t="shared" si="17"/>
        <v>418.19239223940593</v>
      </c>
      <c r="AT39" s="483">
        <f t="shared" si="17"/>
        <v>417.58634134280749</v>
      </c>
      <c r="AU39" s="483">
        <f t="shared" si="17"/>
        <v>416.98030203430227</v>
      </c>
      <c r="AV39" s="484">
        <v>5</v>
      </c>
      <c r="BB39" s="518"/>
      <c r="BC39" s="518"/>
      <c r="BD39" s="603"/>
      <c r="BE39" s="603"/>
      <c r="BF39" s="603"/>
      <c r="BG39" s="603"/>
      <c r="BH39" s="603"/>
      <c r="BI39" s="603"/>
      <c r="BJ39" s="603"/>
      <c r="BK39" s="603"/>
      <c r="BL39" s="603"/>
      <c r="BM39" s="603"/>
      <c r="BN39" s="603"/>
      <c r="BO39" s="603"/>
      <c r="BP39" s="603"/>
      <c r="BQ39" s="603"/>
      <c r="BR39" s="603"/>
      <c r="BS39" s="603"/>
      <c r="BT39" s="603"/>
      <c r="BU39" s="603"/>
      <c r="BV39" s="603"/>
      <c r="BW39" s="603"/>
      <c r="BX39" s="603"/>
      <c r="BY39" s="603"/>
      <c r="BZ39" s="603"/>
      <c r="CA39" s="603"/>
      <c r="CB39" s="603"/>
      <c r="CC39" s="603"/>
      <c r="CD39" s="603"/>
      <c r="CE39" s="603"/>
      <c r="CF39" s="603"/>
      <c r="CG39" s="518"/>
      <c r="CH39" s="518"/>
    </row>
    <row r="40" spans="2:119" s="7" customFormat="1" ht="14.4">
      <c r="B40" s="8" t="str">
        <f>Processes!D39</f>
        <v>IMPGSB1</v>
      </c>
      <c r="C40" s="8" t="str">
        <f>Processes!E39</f>
        <v>Import technology - Bioethanol G1</v>
      </c>
      <c r="D40" s="216"/>
      <c r="E40" s="216" t="str">
        <f t="shared" si="4"/>
        <v>GSB1</v>
      </c>
      <c r="F40" s="1119" t="str">
        <f t="shared" si="5"/>
        <v>MKr19</v>
      </c>
      <c r="G40" s="483">
        <f t="shared" si="14"/>
        <v>191.9869989234187</v>
      </c>
      <c r="H40" s="483">
        <f t="shared" si="14"/>
        <v>222.08699892341872</v>
      </c>
      <c r="I40" s="483">
        <f t="shared" si="14"/>
        <v>235.88699892341867</v>
      </c>
      <c r="J40" s="483">
        <f t="shared" si="14"/>
        <v>221.18699892341868</v>
      </c>
      <c r="K40" s="483">
        <f t="shared" si="14"/>
        <v>213.9869989234187</v>
      </c>
      <c r="L40" s="483">
        <f t="shared" si="14"/>
        <v>177.3869989234187</v>
      </c>
      <c r="M40" s="483">
        <f t="shared" si="14"/>
        <v>174.4869989234187</v>
      </c>
      <c r="N40" s="483">
        <f t="shared" si="14"/>
        <v>178.58699892341872</v>
      </c>
      <c r="O40" s="483">
        <f t="shared" si="14"/>
        <v>201.58807471814222</v>
      </c>
      <c r="P40" s="483">
        <f t="shared" si="14"/>
        <v>196.93396253889108</v>
      </c>
      <c r="Q40" s="483">
        <f t="shared" si="15"/>
        <v>195.45402400996551</v>
      </c>
      <c r="R40" s="483">
        <f t="shared" si="15"/>
        <v>173.46993859860214</v>
      </c>
      <c r="S40" s="483">
        <f t="shared" si="15"/>
        <v>176.87843746930616</v>
      </c>
      <c r="T40" s="483">
        <f t="shared" si="15"/>
        <v>179.20152136446148</v>
      </c>
      <c r="U40" s="483">
        <f t="shared" si="15"/>
        <v>180.89973050942663</v>
      </c>
      <c r="V40" s="483">
        <f t="shared" si="15"/>
        <v>182.13620833595482</v>
      </c>
      <c r="W40" s="483">
        <f t="shared" si="15"/>
        <v>183.50167167426395</v>
      </c>
      <c r="X40" s="483">
        <f t="shared" si="15"/>
        <v>184.83981044110857</v>
      </c>
      <c r="Y40" s="483">
        <f t="shared" si="15"/>
        <v>186.07093173814874</v>
      </c>
      <c r="Z40" s="483">
        <f t="shared" si="15"/>
        <v>187.36368362508182</v>
      </c>
      <c r="AA40" s="483">
        <f t="shared" si="16"/>
        <v>188.58687352601925</v>
      </c>
      <c r="AB40" s="483">
        <f t="shared" si="16"/>
        <v>188.2807297638164</v>
      </c>
      <c r="AC40" s="483">
        <f t="shared" si="16"/>
        <v>187.97385381731704</v>
      </c>
      <c r="AD40" s="483">
        <f t="shared" si="16"/>
        <v>187.66824490958999</v>
      </c>
      <c r="AE40" s="483">
        <f t="shared" si="16"/>
        <v>187.36186840457654</v>
      </c>
      <c r="AF40" s="483">
        <f t="shared" si="16"/>
        <v>187.05558859602792</v>
      </c>
      <c r="AG40" s="483">
        <f t="shared" si="16"/>
        <v>186.74838290880265</v>
      </c>
      <c r="AH40" s="483">
        <f t="shared" si="16"/>
        <v>186.44225980069484</v>
      </c>
      <c r="AI40" s="483">
        <f t="shared" si="16"/>
        <v>186.13540621637654</v>
      </c>
      <c r="AJ40" s="483">
        <f t="shared" si="16"/>
        <v>185.8294814696917</v>
      </c>
      <c r="AK40" s="483">
        <f t="shared" si="17"/>
        <v>185.52325484619922</v>
      </c>
      <c r="AL40" s="483">
        <f t="shared" si="17"/>
        <v>185.21702872703131</v>
      </c>
      <c r="AM40" s="483">
        <f t="shared" si="17"/>
        <v>184.91396292703854</v>
      </c>
      <c r="AN40" s="483">
        <f t="shared" si="17"/>
        <v>184.61090286950014</v>
      </c>
      <c r="AO40" s="483">
        <f t="shared" si="17"/>
        <v>184.30784856175819</v>
      </c>
      <c r="AP40" s="483">
        <f t="shared" si="17"/>
        <v>184.00480001116415</v>
      </c>
      <c r="AQ40" s="483">
        <f t="shared" si="17"/>
        <v>183.70175722507895</v>
      </c>
      <c r="AR40" s="483">
        <f t="shared" si="17"/>
        <v>183.39872021087291</v>
      </c>
      <c r="AS40" s="483">
        <f t="shared" si="17"/>
        <v>183.09568897592567</v>
      </c>
      <c r="AT40" s="483">
        <f t="shared" si="17"/>
        <v>182.79266352762647</v>
      </c>
      <c r="AU40" s="483">
        <f t="shared" si="17"/>
        <v>182.48964387337384</v>
      </c>
      <c r="AV40" s="484">
        <v>5</v>
      </c>
      <c r="BB40" s="518"/>
      <c r="BC40" s="518"/>
      <c r="BD40" s="603"/>
      <c r="BE40" s="603"/>
      <c r="BF40" s="603"/>
      <c r="BG40" s="603"/>
      <c r="BH40" s="603"/>
      <c r="BI40" s="603"/>
      <c r="BJ40" s="603"/>
      <c r="BK40" s="603"/>
      <c r="BL40" s="603"/>
      <c r="BM40" s="603"/>
      <c r="BN40" s="603"/>
      <c r="BO40" s="603"/>
      <c r="BP40" s="603"/>
      <c r="BQ40" s="603"/>
      <c r="BR40" s="603"/>
      <c r="BS40" s="603"/>
      <c r="BT40" s="603"/>
      <c r="BU40" s="603"/>
      <c r="BV40" s="603"/>
      <c r="BW40" s="603"/>
      <c r="BX40" s="603"/>
      <c r="BY40" s="603"/>
      <c r="BZ40" s="603"/>
      <c r="CA40" s="603"/>
      <c r="CB40" s="603"/>
      <c r="CC40" s="603"/>
      <c r="CD40" s="603"/>
      <c r="CE40" s="603"/>
      <c r="CF40" s="603"/>
      <c r="CG40" s="518"/>
      <c r="CH40" s="518"/>
    </row>
    <row r="41" spans="2:119" s="7" customFormat="1" ht="14.4">
      <c r="B41" s="8" t="str">
        <f>Processes!D40</f>
        <v>IMPGSB2</v>
      </c>
      <c r="C41" s="8" t="str">
        <f>Processes!E40</f>
        <v>Import technology - Bioethanol G2</v>
      </c>
      <c r="D41" s="216"/>
      <c r="E41" s="216" t="str">
        <f t="shared" si="4"/>
        <v>GSB2</v>
      </c>
      <c r="F41" s="1119" t="str">
        <f t="shared" si="5"/>
        <v>MKr19</v>
      </c>
      <c r="G41" s="483">
        <f t="shared" si="14"/>
        <v>211.18569881576059</v>
      </c>
      <c r="H41" s="483">
        <f t="shared" si="14"/>
        <v>321.2739978468374</v>
      </c>
      <c r="I41" s="483">
        <f t="shared" si="14"/>
        <v>335.07399784683736</v>
      </c>
      <c r="J41" s="483">
        <f t="shared" si="14"/>
        <v>320.37399784683737</v>
      </c>
      <c r="K41" s="483">
        <f t="shared" si="14"/>
        <v>313.17399784683738</v>
      </c>
      <c r="L41" s="483">
        <f t="shared" si="14"/>
        <v>276.57399784683741</v>
      </c>
      <c r="M41" s="483">
        <f t="shared" si="14"/>
        <v>273.67399784683738</v>
      </c>
      <c r="N41" s="483">
        <f t="shared" si="14"/>
        <v>277.7739978468374</v>
      </c>
      <c r="O41" s="483">
        <f t="shared" si="14"/>
        <v>300.77507364156094</v>
      </c>
      <c r="P41" s="483">
        <f t="shared" si="14"/>
        <v>296.12096146230977</v>
      </c>
      <c r="Q41" s="483">
        <f t="shared" si="15"/>
        <v>294.64102293338419</v>
      </c>
      <c r="R41" s="483">
        <f t="shared" si="15"/>
        <v>272.65693752202083</v>
      </c>
      <c r="S41" s="483">
        <f t="shared" si="15"/>
        <v>276.06543639272485</v>
      </c>
      <c r="T41" s="483">
        <f t="shared" si="15"/>
        <v>278.38852028788017</v>
      </c>
      <c r="U41" s="483">
        <f t="shared" si="15"/>
        <v>280.08672943284535</v>
      </c>
      <c r="V41" s="483">
        <f t="shared" si="15"/>
        <v>281.32320725937353</v>
      </c>
      <c r="W41" s="483">
        <f t="shared" si="15"/>
        <v>282.68867059768263</v>
      </c>
      <c r="X41" s="483">
        <f t="shared" si="15"/>
        <v>284.02680936452725</v>
      </c>
      <c r="Y41" s="483">
        <f t="shared" si="15"/>
        <v>285.25793066156746</v>
      </c>
      <c r="Z41" s="483">
        <f t="shared" si="15"/>
        <v>286.5506825485005</v>
      </c>
      <c r="AA41" s="483">
        <f t="shared" si="16"/>
        <v>287.77387244943793</v>
      </c>
      <c r="AB41" s="483">
        <f t="shared" si="16"/>
        <v>287.46772868723508</v>
      </c>
      <c r="AC41" s="483">
        <f t="shared" si="16"/>
        <v>287.16085274073572</v>
      </c>
      <c r="AD41" s="483">
        <f t="shared" si="16"/>
        <v>286.85524383300867</v>
      </c>
      <c r="AE41" s="483">
        <f t="shared" si="16"/>
        <v>286.54886732799525</v>
      </c>
      <c r="AF41" s="483">
        <f t="shared" si="16"/>
        <v>286.2425875194466</v>
      </c>
      <c r="AG41" s="483">
        <f t="shared" si="16"/>
        <v>285.93538183222137</v>
      </c>
      <c r="AH41" s="483">
        <f t="shared" si="16"/>
        <v>285.62925872411353</v>
      </c>
      <c r="AI41" s="483">
        <f t="shared" si="16"/>
        <v>285.32240513979525</v>
      </c>
      <c r="AJ41" s="483">
        <f t="shared" si="16"/>
        <v>285.01648039311038</v>
      </c>
      <c r="AK41" s="483">
        <f t="shared" si="17"/>
        <v>284.71025376961791</v>
      </c>
      <c r="AL41" s="483">
        <f t="shared" si="17"/>
        <v>284.40402765045002</v>
      </c>
      <c r="AM41" s="483">
        <f t="shared" si="17"/>
        <v>284.10096185045722</v>
      </c>
      <c r="AN41" s="483">
        <f t="shared" si="17"/>
        <v>283.79790179291882</v>
      </c>
      <c r="AO41" s="483">
        <f t="shared" si="17"/>
        <v>283.49484748517688</v>
      </c>
      <c r="AP41" s="483">
        <f t="shared" si="17"/>
        <v>283.19179893458283</v>
      </c>
      <c r="AQ41" s="483">
        <f t="shared" si="17"/>
        <v>282.88875614849763</v>
      </c>
      <c r="AR41" s="483">
        <f t="shared" si="17"/>
        <v>282.58571913429159</v>
      </c>
      <c r="AS41" s="483">
        <f t="shared" si="17"/>
        <v>282.28268789934435</v>
      </c>
      <c r="AT41" s="483">
        <f t="shared" si="17"/>
        <v>281.97966245104516</v>
      </c>
      <c r="AU41" s="483">
        <f t="shared" si="17"/>
        <v>281.67664279679252</v>
      </c>
      <c r="AV41" s="484">
        <v>5</v>
      </c>
      <c r="BB41" s="518"/>
      <c r="BC41" s="518"/>
      <c r="BD41" s="603"/>
      <c r="BE41" s="603"/>
      <c r="BF41" s="603"/>
      <c r="BG41" s="603"/>
      <c r="BH41" s="603"/>
      <c r="BI41" s="603"/>
      <c r="BJ41" s="603"/>
      <c r="BK41" s="603"/>
      <c r="BL41" s="603"/>
      <c r="BM41" s="603"/>
      <c r="BN41" s="603"/>
      <c r="BO41" s="603"/>
      <c r="BP41" s="603"/>
      <c r="BQ41" s="603"/>
      <c r="BR41" s="603"/>
      <c r="BS41" s="603"/>
      <c r="BT41" s="603"/>
      <c r="BU41" s="603"/>
      <c r="BV41" s="603"/>
      <c r="BW41" s="603"/>
      <c r="BX41" s="603"/>
      <c r="BY41" s="603"/>
      <c r="BZ41" s="603"/>
      <c r="CA41" s="603"/>
      <c r="CB41" s="603"/>
      <c r="CC41" s="603"/>
      <c r="CD41" s="603"/>
      <c r="CE41" s="603"/>
      <c r="CF41" s="603"/>
      <c r="CG41" s="518"/>
      <c r="CH41" s="518"/>
    </row>
    <row r="42" spans="2:119" s="7" customFormat="1" ht="14.4">
      <c r="B42" s="8" t="str">
        <f>Processes!D41</f>
        <v>IMPGSE</v>
      </c>
      <c r="C42" s="8" t="str">
        <f>Processes!E41</f>
        <v>Import technology - Electro Gasoline</v>
      </c>
      <c r="D42" s="216"/>
      <c r="E42" s="216" t="str">
        <f t="shared" si="4"/>
        <v>GSE</v>
      </c>
      <c r="F42" s="1119" t="str">
        <f t="shared" si="5"/>
        <v>MKr19</v>
      </c>
      <c r="G42" s="483">
        <f t="shared" si="14"/>
        <v>422.37139763152118</v>
      </c>
      <c r="H42" s="483">
        <f t="shared" si="14"/>
        <v>642.54799569367481</v>
      </c>
      <c r="I42" s="483">
        <f t="shared" si="14"/>
        <v>670.14799569367472</v>
      </c>
      <c r="J42" s="483">
        <f t="shared" si="14"/>
        <v>640.74799569367474</v>
      </c>
      <c r="K42" s="483">
        <f t="shared" si="14"/>
        <v>626.34799569367476</v>
      </c>
      <c r="L42" s="483">
        <f t="shared" si="14"/>
        <v>553.14799569367483</v>
      </c>
      <c r="M42" s="483">
        <f t="shared" si="14"/>
        <v>547.34799569367476</v>
      </c>
      <c r="N42" s="483">
        <f t="shared" si="14"/>
        <v>555.54799569367481</v>
      </c>
      <c r="O42" s="483">
        <f t="shared" si="14"/>
        <v>601.55014728312187</v>
      </c>
      <c r="P42" s="483">
        <f t="shared" si="14"/>
        <v>592.24192292461953</v>
      </c>
      <c r="Q42" s="483">
        <f t="shared" si="15"/>
        <v>589.28204586676839</v>
      </c>
      <c r="R42" s="483">
        <f t="shared" si="15"/>
        <v>545.31387504404165</v>
      </c>
      <c r="S42" s="483">
        <f t="shared" si="15"/>
        <v>552.1308727854497</v>
      </c>
      <c r="T42" s="483">
        <f t="shared" si="15"/>
        <v>556.77704057576034</v>
      </c>
      <c r="U42" s="483">
        <f t="shared" si="15"/>
        <v>560.17345886569069</v>
      </c>
      <c r="V42" s="483">
        <f t="shared" si="15"/>
        <v>562.64641451874706</v>
      </c>
      <c r="W42" s="483">
        <f t="shared" si="15"/>
        <v>565.37734119536526</v>
      </c>
      <c r="X42" s="483">
        <f t="shared" si="15"/>
        <v>568.05361872905451</v>
      </c>
      <c r="Y42" s="483">
        <f t="shared" si="15"/>
        <v>570.51586132313491</v>
      </c>
      <c r="Z42" s="483">
        <f t="shared" si="15"/>
        <v>573.10136509700101</v>
      </c>
      <c r="AA42" s="483">
        <f t="shared" si="16"/>
        <v>575.54774489887586</v>
      </c>
      <c r="AB42" s="483">
        <f t="shared" si="16"/>
        <v>574.93545737447016</v>
      </c>
      <c r="AC42" s="483">
        <f t="shared" si="16"/>
        <v>574.32170548147144</v>
      </c>
      <c r="AD42" s="483">
        <f t="shared" si="16"/>
        <v>573.71048766601734</v>
      </c>
      <c r="AE42" s="483">
        <f t="shared" si="16"/>
        <v>573.09773465599051</v>
      </c>
      <c r="AF42" s="483">
        <f t="shared" si="16"/>
        <v>572.4851750388932</v>
      </c>
      <c r="AG42" s="483">
        <f t="shared" si="16"/>
        <v>571.87076366444273</v>
      </c>
      <c r="AH42" s="483">
        <f t="shared" si="16"/>
        <v>571.25851744822705</v>
      </c>
      <c r="AI42" s="483">
        <f t="shared" si="16"/>
        <v>570.6448102795905</v>
      </c>
      <c r="AJ42" s="483">
        <f t="shared" si="16"/>
        <v>570.03296078622077</v>
      </c>
      <c r="AK42" s="483">
        <f t="shared" si="17"/>
        <v>569.42050753923581</v>
      </c>
      <c r="AL42" s="483">
        <f t="shared" si="17"/>
        <v>568.80805530090004</v>
      </c>
      <c r="AM42" s="483">
        <f t="shared" si="17"/>
        <v>568.20192370091445</v>
      </c>
      <c r="AN42" s="483">
        <f t="shared" si="17"/>
        <v>567.59580358583764</v>
      </c>
      <c r="AO42" s="483">
        <f t="shared" si="17"/>
        <v>566.98969497035375</v>
      </c>
      <c r="AP42" s="483">
        <f t="shared" si="17"/>
        <v>566.38359786916567</v>
      </c>
      <c r="AQ42" s="483">
        <f t="shared" si="17"/>
        <v>565.77751229699527</v>
      </c>
      <c r="AR42" s="483">
        <f t="shared" si="17"/>
        <v>565.17143826858319</v>
      </c>
      <c r="AS42" s="483">
        <f t="shared" si="17"/>
        <v>564.56537579868871</v>
      </c>
      <c r="AT42" s="483">
        <f t="shared" si="17"/>
        <v>563.95932490209032</v>
      </c>
      <c r="AU42" s="483">
        <f t="shared" si="17"/>
        <v>563.35328559358504</v>
      </c>
      <c r="AV42" s="484">
        <v>5</v>
      </c>
      <c r="BB42" s="518"/>
      <c r="BC42" s="518"/>
      <c r="BD42" s="603"/>
      <c r="BE42" s="603"/>
      <c r="BF42" s="603"/>
      <c r="BG42" s="603"/>
      <c r="BH42" s="603"/>
      <c r="BI42" s="603"/>
      <c r="BJ42" s="603"/>
      <c r="BK42" s="603"/>
      <c r="BL42" s="603"/>
      <c r="BM42" s="603"/>
      <c r="BN42" s="603"/>
      <c r="BO42" s="603"/>
      <c r="BP42" s="603"/>
      <c r="BQ42" s="603"/>
      <c r="BR42" s="603"/>
      <c r="BS42" s="603"/>
      <c r="BT42" s="603"/>
      <c r="BU42" s="603"/>
      <c r="BV42" s="603"/>
      <c r="BW42" s="603"/>
      <c r="BX42" s="603"/>
      <c r="BY42" s="603"/>
      <c r="BZ42" s="603"/>
      <c r="CA42" s="603"/>
      <c r="CB42" s="603"/>
      <c r="CC42" s="603"/>
      <c r="CD42" s="603"/>
      <c r="CE42" s="603"/>
      <c r="CF42" s="603"/>
      <c r="CG42" s="518"/>
      <c r="CH42" s="518"/>
    </row>
    <row r="43" spans="2:119" ht="14.4">
      <c r="B43" s="8" t="str">
        <f>Processes!D42</f>
        <v>IMPMOB1</v>
      </c>
      <c r="C43" s="8" t="str">
        <f>Processes!E42</f>
        <v>Import technology - Bio Methanol G1</v>
      </c>
      <c r="D43" s="216"/>
      <c r="E43" s="216" t="str">
        <f t="shared" si="4"/>
        <v>MOB1</v>
      </c>
      <c r="F43" s="1119" t="str">
        <f t="shared" si="5"/>
        <v>MKr14</v>
      </c>
      <c r="G43" s="483">
        <f t="shared" si="14"/>
        <v>207.6</v>
      </c>
      <c r="H43" s="483">
        <f t="shared" si="14"/>
        <v>207.6</v>
      </c>
      <c r="I43" s="483">
        <f t="shared" si="14"/>
        <v>207.6</v>
      </c>
      <c r="J43" s="483">
        <f t="shared" si="14"/>
        <v>207.6</v>
      </c>
      <c r="K43" s="483">
        <f t="shared" si="14"/>
        <v>207.6</v>
      </c>
      <c r="L43" s="483">
        <f t="shared" si="14"/>
        <v>207.6</v>
      </c>
      <c r="M43" s="483">
        <f t="shared" si="14"/>
        <v>207.6</v>
      </c>
      <c r="N43" s="483">
        <f t="shared" si="14"/>
        <v>207.6</v>
      </c>
      <c r="O43" s="483">
        <f t="shared" si="14"/>
        <v>207.6</v>
      </c>
      <c r="P43" s="483">
        <f t="shared" si="14"/>
        <v>207.6</v>
      </c>
      <c r="Q43" s="483">
        <f t="shared" si="15"/>
        <v>207.6</v>
      </c>
      <c r="R43" s="483">
        <f t="shared" si="15"/>
        <v>207.6</v>
      </c>
      <c r="S43" s="483">
        <f t="shared" si="15"/>
        <v>207.6</v>
      </c>
      <c r="T43" s="483">
        <f t="shared" si="15"/>
        <v>207.6</v>
      </c>
      <c r="U43" s="483">
        <f t="shared" si="15"/>
        <v>207.6</v>
      </c>
      <c r="V43" s="483">
        <f t="shared" si="15"/>
        <v>207.6</v>
      </c>
      <c r="W43" s="483">
        <f t="shared" si="15"/>
        <v>207.6</v>
      </c>
      <c r="X43" s="483">
        <f t="shared" si="15"/>
        <v>207.6</v>
      </c>
      <c r="Y43" s="483">
        <f t="shared" si="15"/>
        <v>207.6</v>
      </c>
      <c r="Z43" s="483">
        <f t="shared" si="15"/>
        <v>207.6</v>
      </c>
      <c r="AA43" s="483">
        <f t="shared" si="16"/>
        <v>207.6</v>
      </c>
      <c r="AB43" s="483">
        <f t="shared" si="16"/>
        <v>207.6</v>
      </c>
      <c r="AC43" s="483">
        <f t="shared" si="16"/>
        <v>207.6</v>
      </c>
      <c r="AD43" s="483">
        <f t="shared" si="16"/>
        <v>207.6</v>
      </c>
      <c r="AE43" s="483">
        <f t="shared" si="16"/>
        <v>207.6</v>
      </c>
      <c r="AF43" s="483">
        <f t="shared" si="16"/>
        <v>207.6</v>
      </c>
      <c r="AG43" s="483">
        <f t="shared" si="16"/>
        <v>207.6</v>
      </c>
      <c r="AH43" s="483">
        <f t="shared" si="16"/>
        <v>207.6</v>
      </c>
      <c r="AI43" s="483">
        <f t="shared" si="16"/>
        <v>207.6</v>
      </c>
      <c r="AJ43" s="483">
        <f t="shared" si="16"/>
        <v>207.6</v>
      </c>
      <c r="AK43" s="483">
        <f t="shared" si="17"/>
        <v>207.6</v>
      </c>
      <c r="AL43" s="483">
        <f t="shared" si="17"/>
        <v>207.6</v>
      </c>
      <c r="AM43" s="483">
        <f t="shared" si="17"/>
        <v>207.6</v>
      </c>
      <c r="AN43" s="483">
        <f t="shared" si="17"/>
        <v>207.6</v>
      </c>
      <c r="AO43" s="483">
        <f t="shared" si="17"/>
        <v>207.6</v>
      </c>
      <c r="AP43" s="483">
        <f t="shared" si="17"/>
        <v>207.6</v>
      </c>
      <c r="AQ43" s="483">
        <f t="shared" si="17"/>
        <v>207.6</v>
      </c>
      <c r="AR43" s="483">
        <f t="shared" si="17"/>
        <v>207.6</v>
      </c>
      <c r="AS43" s="483">
        <f t="shared" si="17"/>
        <v>207.6</v>
      </c>
      <c r="AT43" s="483">
        <f t="shared" si="17"/>
        <v>207.6</v>
      </c>
      <c r="AU43" s="483">
        <f t="shared" si="17"/>
        <v>207.6</v>
      </c>
      <c r="AV43" s="484">
        <v>5</v>
      </c>
      <c r="BB43" s="518"/>
      <c r="BC43" s="518"/>
      <c r="BD43" s="603"/>
      <c r="BE43" s="603"/>
      <c r="BF43" s="603"/>
      <c r="BG43" s="603"/>
      <c r="BH43" s="603"/>
      <c r="BI43" s="603"/>
      <c r="BJ43" s="603"/>
      <c r="BK43" s="603"/>
      <c r="BL43" s="603"/>
      <c r="BM43" s="603"/>
      <c r="BN43" s="603"/>
      <c r="BO43" s="603"/>
      <c r="BP43" s="603"/>
      <c r="BQ43" s="603"/>
      <c r="BR43" s="603"/>
      <c r="BS43" s="603"/>
      <c r="BT43" s="603"/>
      <c r="BU43" s="603"/>
      <c r="BV43" s="603"/>
      <c r="BW43" s="603"/>
      <c r="BX43" s="603"/>
      <c r="BY43" s="603"/>
      <c r="BZ43" s="603"/>
      <c r="CA43" s="603"/>
      <c r="CB43" s="603"/>
      <c r="CC43" s="603"/>
      <c r="CD43" s="603"/>
      <c r="CE43" s="603"/>
      <c r="CF43" s="603"/>
      <c r="CG43" s="518"/>
      <c r="CH43" s="518"/>
    </row>
    <row r="44" spans="2:119" ht="14.4">
      <c r="B44" s="8" t="str">
        <f>Processes!D43</f>
        <v>IMPMOB2</v>
      </c>
      <c r="C44" s="8" t="str">
        <f>Processes!E43</f>
        <v>Import technology - Bio Methanol G2</v>
      </c>
      <c r="D44" s="216"/>
      <c r="E44" s="216" t="str">
        <f t="shared" si="4"/>
        <v>MOB2</v>
      </c>
      <c r="F44" s="1119" t="str">
        <f t="shared" si="5"/>
        <v>MKr14</v>
      </c>
      <c r="G44" s="483">
        <f t="shared" si="14"/>
        <v>207.6</v>
      </c>
      <c r="H44" s="483">
        <f t="shared" si="14"/>
        <v>207.6</v>
      </c>
      <c r="I44" s="483">
        <f t="shared" si="14"/>
        <v>207.6</v>
      </c>
      <c r="J44" s="483">
        <f t="shared" si="14"/>
        <v>207.6</v>
      </c>
      <c r="K44" s="483">
        <f t="shared" si="14"/>
        <v>207.6</v>
      </c>
      <c r="L44" s="483">
        <f t="shared" si="14"/>
        <v>207.6</v>
      </c>
      <c r="M44" s="483">
        <f t="shared" si="14"/>
        <v>207.6</v>
      </c>
      <c r="N44" s="483">
        <f t="shared" si="14"/>
        <v>207.6</v>
      </c>
      <c r="O44" s="483">
        <f t="shared" si="14"/>
        <v>207.6</v>
      </c>
      <c r="P44" s="483">
        <f t="shared" si="14"/>
        <v>207.6</v>
      </c>
      <c r="Q44" s="483">
        <f t="shared" si="15"/>
        <v>207.6</v>
      </c>
      <c r="R44" s="483">
        <f t="shared" si="15"/>
        <v>207.6</v>
      </c>
      <c r="S44" s="483">
        <f t="shared" si="15"/>
        <v>207.6</v>
      </c>
      <c r="T44" s="483">
        <f t="shared" si="15"/>
        <v>207.6</v>
      </c>
      <c r="U44" s="483">
        <f t="shared" si="15"/>
        <v>207.6</v>
      </c>
      <c r="V44" s="483">
        <f t="shared" si="15"/>
        <v>207.6</v>
      </c>
      <c r="W44" s="483">
        <f t="shared" si="15"/>
        <v>207.6</v>
      </c>
      <c r="X44" s="483">
        <f t="shared" si="15"/>
        <v>207.6</v>
      </c>
      <c r="Y44" s="483">
        <f t="shared" si="15"/>
        <v>207.6</v>
      </c>
      <c r="Z44" s="483">
        <f t="shared" si="15"/>
        <v>207.6</v>
      </c>
      <c r="AA44" s="483">
        <f t="shared" si="16"/>
        <v>207.6</v>
      </c>
      <c r="AB44" s="483">
        <f t="shared" si="16"/>
        <v>207.6</v>
      </c>
      <c r="AC44" s="483">
        <f t="shared" si="16"/>
        <v>207.6</v>
      </c>
      <c r="AD44" s="483">
        <f t="shared" si="16"/>
        <v>207.6</v>
      </c>
      <c r="AE44" s="483">
        <f t="shared" si="16"/>
        <v>207.6</v>
      </c>
      <c r="AF44" s="483">
        <f t="shared" si="16"/>
        <v>207.6</v>
      </c>
      <c r="AG44" s="483">
        <f t="shared" si="16"/>
        <v>207.6</v>
      </c>
      <c r="AH44" s="483">
        <f t="shared" si="16"/>
        <v>207.6</v>
      </c>
      <c r="AI44" s="483">
        <f t="shared" si="16"/>
        <v>207.6</v>
      </c>
      <c r="AJ44" s="483">
        <f t="shared" si="16"/>
        <v>207.6</v>
      </c>
      <c r="AK44" s="483">
        <f t="shared" si="17"/>
        <v>207.6</v>
      </c>
      <c r="AL44" s="483">
        <f t="shared" si="17"/>
        <v>207.6</v>
      </c>
      <c r="AM44" s="483">
        <f t="shared" si="17"/>
        <v>207.6</v>
      </c>
      <c r="AN44" s="483">
        <f t="shared" si="17"/>
        <v>207.6</v>
      </c>
      <c r="AO44" s="483">
        <f t="shared" si="17"/>
        <v>207.6</v>
      </c>
      <c r="AP44" s="483">
        <f t="shared" si="17"/>
        <v>207.6</v>
      </c>
      <c r="AQ44" s="483">
        <f t="shared" si="17"/>
        <v>207.6</v>
      </c>
      <c r="AR44" s="483">
        <f t="shared" si="17"/>
        <v>207.6</v>
      </c>
      <c r="AS44" s="483">
        <f t="shared" si="17"/>
        <v>207.6</v>
      </c>
      <c r="AT44" s="483">
        <f t="shared" si="17"/>
        <v>207.6</v>
      </c>
      <c r="AU44" s="483">
        <f t="shared" si="17"/>
        <v>207.6</v>
      </c>
      <c r="AV44" s="484">
        <v>5</v>
      </c>
      <c r="BB44" s="518"/>
      <c r="BC44" s="518"/>
      <c r="BD44" s="603"/>
      <c r="BE44" s="603"/>
      <c r="BF44" s="603"/>
      <c r="BG44" s="603"/>
      <c r="BH44" s="603"/>
      <c r="BI44" s="603"/>
      <c r="BJ44" s="603"/>
      <c r="BK44" s="603"/>
      <c r="BL44" s="603"/>
      <c r="BM44" s="603"/>
      <c r="BN44" s="603"/>
      <c r="BO44" s="603"/>
      <c r="BP44" s="603"/>
      <c r="BQ44" s="603"/>
      <c r="BR44" s="603"/>
      <c r="BS44" s="603"/>
      <c r="BT44" s="603"/>
      <c r="BU44" s="603"/>
      <c r="BV44" s="603"/>
      <c r="BW44" s="603"/>
      <c r="BX44" s="603"/>
      <c r="BY44" s="603"/>
      <c r="BZ44" s="603"/>
      <c r="CA44" s="603"/>
      <c r="CB44" s="603"/>
      <c r="CC44" s="603"/>
      <c r="CD44" s="603"/>
      <c r="CE44" s="603"/>
      <c r="CF44" s="603"/>
      <c r="CG44" s="518"/>
      <c r="CH44" s="518"/>
    </row>
    <row r="45" spans="2:119" ht="14.4">
      <c r="B45" s="8" t="str">
        <f>Processes!D44</f>
        <v>IMPMOE</v>
      </c>
      <c r="C45" s="8" t="str">
        <f>Processes!E44</f>
        <v>Import technology - Electro Methanol</v>
      </c>
      <c r="D45" s="216"/>
      <c r="E45" s="216" t="str">
        <f t="shared" si="4"/>
        <v>MOE</v>
      </c>
      <c r="F45" s="1119" t="str">
        <f t="shared" si="5"/>
        <v>MKr14</v>
      </c>
      <c r="G45" s="483">
        <f t="shared" si="14"/>
        <v>415.2</v>
      </c>
      <c r="H45" s="483">
        <f t="shared" si="14"/>
        <v>415.2</v>
      </c>
      <c r="I45" s="483">
        <f t="shared" si="14"/>
        <v>415.2</v>
      </c>
      <c r="J45" s="483">
        <f t="shared" si="14"/>
        <v>415.2</v>
      </c>
      <c r="K45" s="483">
        <f t="shared" si="14"/>
        <v>415.2</v>
      </c>
      <c r="L45" s="483">
        <f t="shared" si="14"/>
        <v>415.2</v>
      </c>
      <c r="M45" s="483">
        <f t="shared" si="14"/>
        <v>415.2</v>
      </c>
      <c r="N45" s="483">
        <f t="shared" si="14"/>
        <v>415.2</v>
      </c>
      <c r="O45" s="483">
        <f t="shared" si="14"/>
        <v>415.2</v>
      </c>
      <c r="P45" s="483">
        <f t="shared" si="14"/>
        <v>415.2</v>
      </c>
      <c r="Q45" s="483">
        <f t="shared" si="15"/>
        <v>415.2</v>
      </c>
      <c r="R45" s="483">
        <f t="shared" si="15"/>
        <v>415.2</v>
      </c>
      <c r="S45" s="483">
        <f t="shared" si="15"/>
        <v>415.2</v>
      </c>
      <c r="T45" s="483">
        <f t="shared" si="15"/>
        <v>415.2</v>
      </c>
      <c r="U45" s="483">
        <f t="shared" si="15"/>
        <v>415.2</v>
      </c>
      <c r="V45" s="483">
        <f t="shared" si="15"/>
        <v>415.2</v>
      </c>
      <c r="W45" s="483">
        <f t="shared" si="15"/>
        <v>415.2</v>
      </c>
      <c r="X45" s="483">
        <f t="shared" si="15"/>
        <v>415.2</v>
      </c>
      <c r="Y45" s="483">
        <f t="shared" si="15"/>
        <v>415.2</v>
      </c>
      <c r="Z45" s="483">
        <f t="shared" si="15"/>
        <v>415.2</v>
      </c>
      <c r="AA45" s="483">
        <f t="shared" si="16"/>
        <v>415.2</v>
      </c>
      <c r="AB45" s="483">
        <f t="shared" si="16"/>
        <v>415.2</v>
      </c>
      <c r="AC45" s="483">
        <f t="shared" si="16"/>
        <v>415.2</v>
      </c>
      <c r="AD45" s="483">
        <f t="shared" si="16"/>
        <v>415.2</v>
      </c>
      <c r="AE45" s="483">
        <f t="shared" si="16"/>
        <v>415.2</v>
      </c>
      <c r="AF45" s="483">
        <f t="shared" si="16"/>
        <v>415.2</v>
      </c>
      <c r="AG45" s="483">
        <f t="shared" si="16"/>
        <v>415.2</v>
      </c>
      <c r="AH45" s="483">
        <f t="shared" si="16"/>
        <v>415.2</v>
      </c>
      <c r="AI45" s="483">
        <f t="shared" si="16"/>
        <v>415.2</v>
      </c>
      <c r="AJ45" s="483">
        <f t="shared" si="16"/>
        <v>415.2</v>
      </c>
      <c r="AK45" s="483">
        <f t="shared" si="17"/>
        <v>415.2</v>
      </c>
      <c r="AL45" s="483">
        <f t="shared" si="17"/>
        <v>415.2</v>
      </c>
      <c r="AM45" s="483">
        <f t="shared" si="17"/>
        <v>415.2</v>
      </c>
      <c r="AN45" s="483">
        <f t="shared" si="17"/>
        <v>415.2</v>
      </c>
      <c r="AO45" s="483">
        <f t="shared" si="17"/>
        <v>415.2</v>
      </c>
      <c r="AP45" s="483">
        <f t="shared" si="17"/>
        <v>415.2</v>
      </c>
      <c r="AQ45" s="483">
        <f t="shared" si="17"/>
        <v>415.2</v>
      </c>
      <c r="AR45" s="483">
        <f t="shared" si="17"/>
        <v>415.2</v>
      </c>
      <c r="AS45" s="483">
        <f t="shared" si="17"/>
        <v>415.2</v>
      </c>
      <c r="AT45" s="483">
        <f t="shared" si="17"/>
        <v>415.2</v>
      </c>
      <c r="AU45" s="483">
        <f t="shared" si="17"/>
        <v>415.2</v>
      </c>
      <c r="AV45" s="484">
        <v>5</v>
      </c>
      <c r="BB45" s="518"/>
      <c r="BC45" s="518"/>
      <c r="BD45" s="603"/>
      <c r="BE45" s="603"/>
      <c r="BF45" s="603"/>
      <c r="BG45" s="603"/>
      <c r="BH45" s="603"/>
      <c r="BI45" s="603"/>
      <c r="BJ45" s="603"/>
      <c r="BK45" s="603"/>
      <c r="BL45" s="603"/>
      <c r="BM45" s="603"/>
      <c r="BN45" s="603"/>
      <c r="BO45" s="603"/>
      <c r="BP45" s="603"/>
      <c r="BQ45" s="603"/>
      <c r="BR45" s="603"/>
      <c r="BS45" s="603"/>
      <c r="BT45" s="603"/>
      <c r="BU45" s="603"/>
      <c r="BV45" s="603"/>
      <c r="BW45" s="603"/>
      <c r="BX45" s="603"/>
      <c r="BY45" s="603"/>
      <c r="BZ45" s="603"/>
      <c r="CA45" s="603"/>
      <c r="CB45" s="603"/>
      <c r="CC45" s="603"/>
      <c r="CD45" s="603"/>
      <c r="CE45" s="603"/>
      <c r="CF45" s="603"/>
      <c r="CG45" s="518"/>
      <c r="CH45" s="518"/>
    </row>
    <row r="46" spans="2:119" ht="14.4">
      <c r="B46" s="8" t="str">
        <f>Processes!D45</f>
        <v>IMPWST</v>
      </c>
      <c r="C46" s="8" t="str">
        <f>Processes!E45</f>
        <v>Import technology - Waste</v>
      </c>
      <c r="D46" s="216"/>
      <c r="E46" s="216" t="str">
        <f t="shared" si="4"/>
        <v>WST</v>
      </c>
      <c r="F46" s="1119" t="str">
        <f t="shared" si="5"/>
        <v>MKr14</v>
      </c>
      <c r="G46" s="483">
        <f t="shared" si="14"/>
        <v>0.1</v>
      </c>
      <c r="H46" s="483">
        <f t="shared" si="14"/>
        <v>0.1</v>
      </c>
      <c r="I46" s="483">
        <f t="shared" si="14"/>
        <v>0.1</v>
      </c>
      <c r="J46" s="483">
        <f t="shared" si="14"/>
        <v>0.1</v>
      </c>
      <c r="K46" s="483">
        <f t="shared" si="14"/>
        <v>0.1</v>
      </c>
      <c r="L46" s="483">
        <f t="shared" si="14"/>
        <v>0.1</v>
      </c>
      <c r="M46" s="483">
        <f t="shared" si="14"/>
        <v>0.1</v>
      </c>
      <c r="N46" s="483">
        <f t="shared" si="14"/>
        <v>0.1</v>
      </c>
      <c r="O46" s="483">
        <f t="shared" si="14"/>
        <v>0.1</v>
      </c>
      <c r="P46" s="483">
        <f t="shared" si="14"/>
        <v>0.1</v>
      </c>
      <c r="Q46" s="483">
        <f t="shared" si="15"/>
        <v>0.1</v>
      </c>
      <c r="R46" s="483">
        <f t="shared" si="15"/>
        <v>0.1</v>
      </c>
      <c r="S46" s="483">
        <f t="shared" si="15"/>
        <v>0.1</v>
      </c>
      <c r="T46" s="483">
        <f t="shared" si="15"/>
        <v>0.1</v>
      </c>
      <c r="U46" s="483">
        <f t="shared" si="15"/>
        <v>0.1</v>
      </c>
      <c r="V46" s="483">
        <f t="shared" si="15"/>
        <v>0.1</v>
      </c>
      <c r="W46" s="483">
        <f t="shared" si="15"/>
        <v>0.1</v>
      </c>
      <c r="X46" s="483">
        <f t="shared" si="15"/>
        <v>0.1</v>
      </c>
      <c r="Y46" s="483">
        <f t="shared" si="15"/>
        <v>0.1</v>
      </c>
      <c r="Z46" s="483">
        <f t="shared" si="15"/>
        <v>0.1</v>
      </c>
      <c r="AA46" s="483">
        <f t="shared" si="16"/>
        <v>0.1</v>
      </c>
      <c r="AB46" s="483">
        <f t="shared" si="16"/>
        <v>0.1</v>
      </c>
      <c r="AC46" s="483">
        <f t="shared" si="16"/>
        <v>0.1</v>
      </c>
      <c r="AD46" s="483">
        <f t="shared" si="16"/>
        <v>0.1</v>
      </c>
      <c r="AE46" s="483">
        <f t="shared" si="16"/>
        <v>0.1</v>
      </c>
      <c r="AF46" s="483">
        <f t="shared" si="16"/>
        <v>0.1</v>
      </c>
      <c r="AG46" s="483">
        <f t="shared" si="16"/>
        <v>0.1</v>
      </c>
      <c r="AH46" s="483">
        <f t="shared" si="16"/>
        <v>0.1</v>
      </c>
      <c r="AI46" s="483">
        <f t="shared" si="16"/>
        <v>0.1</v>
      </c>
      <c r="AJ46" s="483">
        <f t="shared" si="16"/>
        <v>0.1</v>
      </c>
      <c r="AK46" s="483">
        <f t="shared" si="17"/>
        <v>0.1</v>
      </c>
      <c r="AL46" s="483">
        <f t="shared" si="17"/>
        <v>0.1</v>
      </c>
      <c r="AM46" s="483">
        <f t="shared" si="17"/>
        <v>0.1</v>
      </c>
      <c r="AN46" s="483">
        <f t="shared" si="17"/>
        <v>0.1</v>
      </c>
      <c r="AO46" s="483">
        <f t="shared" si="17"/>
        <v>0.1</v>
      </c>
      <c r="AP46" s="483">
        <f t="shared" si="17"/>
        <v>0.1</v>
      </c>
      <c r="AQ46" s="483">
        <f t="shared" si="17"/>
        <v>0.1</v>
      </c>
      <c r="AR46" s="483">
        <f t="shared" si="17"/>
        <v>0.1</v>
      </c>
      <c r="AS46" s="483">
        <f t="shared" si="17"/>
        <v>0.1</v>
      </c>
      <c r="AT46" s="483">
        <f t="shared" si="17"/>
        <v>0.1</v>
      </c>
      <c r="AU46" s="483">
        <f t="shared" si="17"/>
        <v>0.1</v>
      </c>
      <c r="AV46" s="484">
        <v>5</v>
      </c>
      <c r="BA46" s="597"/>
      <c r="BB46" s="597"/>
    </row>
    <row r="47" spans="2:119" ht="14.4">
      <c r="B47" s="8" t="str">
        <f>Processes!D46</f>
        <v>IMPSTR</v>
      </c>
      <c r="C47" s="8" t="str">
        <f>Processes!E46</f>
        <v>Import technology - Straw</v>
      </c>
      <c r="D47" s="216"/>
      <c r="E47" s="216" t="str">
        <f t="shared" si="4"/>
        <v>STR</v>
      </c>
      <c r="F47" s="1119" t="str">
        <f t="shared" si="5"/>
        <v>MKr19</v>
      </c>
      <c r="G47" s="483">
        <f>IFERROR(INDEX($G$122:$AU$177,MATCH($E47,$E$122:$E$177,0),MATCH(G$6,$G$121:$AU$121,0)),0)</f>
        <v>41.5</v>
      </c>
      <c r="H47" s="483">
        <f t="shared" si="14"/>
        <v>41.5</v>
      </c>
      <c r="I47" s="483">
        <f t="shared" si="14"/>
        <v>41.5</v>
      </c>
      <c r="J47" s="483">
        <f t="shared" si="14"/>
        <v>41.2</v>
      </c>
      <c r="K47" s="483">
        <f t="shared" si="14"/>
        <v>40.799999999999997</v>
      </c>
      <c r="L47" s="483">
        <f t="shared" si="14"/>
        <v>40.5</v>
      </c>
      <c r="M47" s="483">
        <f t="shared" si="14"/>
        <v>40.9</v>
      </c>
      <c r="N47" s="483">
        <f t="shared" si="14"/>
        <v>41.4</v>
      </c>
      <c r="O47" s="483">
        <f t="shared" si="14"/>
        <v>41.634898055339931</v>
      </c>
      <c r="P47" s="483">
        <f t="shared" si="14"/>
        <v>41.634898055339931</v>
      </c>
      <c r="Q47" s="483">
        <f t="shared" si="15"/>
        <v>41.962449107096752</v>
      </c>
      <c r="R47" s="483">
        <f t="shared" si="15"/>
        <v>42.37591413450582</v>
      </c>
      <c r="S47" s="483">
        <f t="shared" si="15"/>
        <v>42.791201303703261</v>
      </c>
      <c r="T47" s="483">
        <f t="shared" si="15"/>
        <v>43.208184541451871</v>
      </c>
      <c r="U47" s="483">
        <f t="shared" si="15"/>
        <v>43.626739530646304</v>
      </c>
      <c r="V47" s="483">
        <f t="shared" si="15"/>
        <v>44.046743692103149</v>
      </c>
      <c r="W47" s="483">
        <f t="shared" si="15"/>
        <v>44.303492323512977</v>
      </c>
      <c r="X47" s="483">
        <f t="shared" si="15"/>
        <v>44.56044844066794</v>
      </c>
      <c r="Y47" s="483">
        <f t="shared" si="15"/>
        <v>44.817607952103295</v>
      </c>
      <c r="Z47" s="483">
        <f t="shared" si="15"/>
        <v>45.074966809344929</v>
      </c>
      <c r="AA47" s="483">
        <f t="shared" si="16"/>
        <v>45.332521006394593</v>
      </c>
      <c r="AB47" s="483">
        <f t="shared" si="16"/>
        <v>45.549544275390517</v>
      </c>
      <c r="AC47" s="483">
        <f t="shared" si="16"/>
        <v>45.766845997017583</v>
      </c>
      <c r="AD47" s="483">
        <f t="shared" si="16"/>
        <v>45.93621057509371</v>
      </c>
      <c r="AE47" s="483">
        <f t="shared" si="16"/>
        <v>46.091987325464736</v>
      </c>
      <c r="AF47" s="483">
        <f t="shared" si="16"/>
        <v>46.247727566987081</v>
      </c>
      <c r="AG47" s="483">
        <f t="shared" si="16"/>
        <v>46.390503884981669</v>
      </c>
      <c r="AH47" s="483">
        <f t="shared" si="16"/>
        <v>46.533237561648519</v>
      </c>
      <c r="AI47" s="483">
        <f t="shared" si="16"/>
        <v>46.675927978934773</v>
      </c>
      <c r="AJ47" s="483">
        <f t="shared" si="16"/>
        <v>46.818574524689666</v>
      </c>
      <c r="AK47" s="483">
        <f t="shared" si="17"/>
        <v>46.961176592602918</v>
      </c>
      <c r="AL47" s="483">
        <f t="shared" si="17"/>
        <v>46.961176592602918</v>
      </c>
      <c r="AM47" s="483">
        <f t="shared" si="17"/>
        <v>46.961176592602918</v>
      </c>
      <c r="AN47" s="483">
        <f t="shared" si="17"/>
        <v>46.961176592602918</v>
      </c>
      <c r="AO47" s="483">
        <f t="shared" si="17"/>
        <v>46.961176592602918</v>
      </c>
      <c r="AP47" s="483">
        <f t="shared" si="17"/>
        <v>46.961176592602918</v>
      </c>
      <c r="AQ47" s="483">
        <f t="shared" si="17"/>
        <v>46.961176592602918</v>
      </c>
      <c r="AR47" s="483">
        <f t="shared" si="17"/>
        <v>46.961176592602918</v>
      </c>
      <c r="AS47" s="483">
        <f t="shared" si="17"/>
        <v>46.961176592602918</v>
      </c>
      <c r="AT47" s="483">
        <f t="shared" si="17"/>
        <v>46.961176592602918</v>
      </c>
      <c r="AU47" s="483">
        <f t="shared" si="17"/>
        <v>46.961176592602918</v>
      </c>
      <c r="AV47" s="484">
        <v>5</v>
      </c>
      <c r="BA47" s="597"/>
      <c r="BB47" s="597"/>
      <c r="BC47" s="602"/>
    </row>
    <row r="48" spans="2:119" ht="14.4">
      <c r="B48" s="8" t="str">
        <f>Processes!D47</f>
        <v>IMPGRS</v>
      </c>
      <c r="C48" s="8" t="str">
        <f>Processes!E47</f>
        <v>Import technology - Grass</v>
      </c>
      <c r="D48" s="216"/>
      <c r="E48" s="216" t="str">
        <f t="shared" si="4"/>
        <v>GRS</v>
      </c>
      <c r="F48" s="1119" t="str">
        <f t="shared" si="5"/>
        <v>MKr14</v>
      </c>
      <c r="G48" s="483">
        <f t="shared" si="14"/>
        <v>41.5</v>
      </c>
      <c r="H48" s="483">
        <f t="shared" si="14"/>
        <v>41.5</v>
      </c>
      <c r="I48" s="483">
        <f t="shared" si="14"/>
        <v>41.5</v>
      </c>
      <c r="J48" s="483">
        <f t="shared" si="14"/>
        <v>41.2</v>
      </c>
      <c r="K48" s="483">
        <f t="shared" si="14"/>
        <v>40.799999999999997</v>
      </c>
      <c r="L48" s="483">
        <f t="shared" si="14"/>
        <v>40.5</v>
      </c>
      <c r="M48" s="483">
        <f t="shared" si="14"/>
        <v>40.9</v>
      </c>
      <c r="N48" s="483">
        <f t="shared" si="14"/>
        <v>41.4</v>
      </c>
      <c r="O48" s="483">
        <f t="shared" si="14"/>
        <v>41.634898055339931</v>
      </c>
      <c r="P48" s="483">
        <f t="shared" si="14"/>
        <v>41.634898055339931</v>
      </c>
      <c r="Q48" s="483">
        <f t="shared" si="15"/>
        <v>41.962449107096752</v>
      </c>
      <c r="R48" s="483">
        <f t="shared" si="15"/>
        <v>42.37591413450582</v>
      </c>
      <c r="S48" s="483">
        <f t="shared" si="15"/>
        <v>42.791201303703261</v>
      </c>
      <c r="T48" s="483">
        <f t="shared" si="15"/>
        <v>43.208184541451871</v>
      </c>
      <c r="U48" s="483">
        <f t="shared" si="15"/>
        <v>43.626739530646304</v>
      </c>
      <c r="V48" s="483">
        <f t="shared" si="15"/>
        <v>44.046743692103149</v>
      </c>
      <c r="W48" s="483">
        <f t="shared" si="15"/>
        <v>44.303492323512977</v>
      </c>
      <c r="X48" s="483">
        <f t="shared" si="15"/>
        <v>44.56044844066794</v>
      </c>
      <c r="Y48" s="483">
        <f t="shared" si="15"/>
        <v>44.817607952103295</v>
      </c>
      <c r="Z48" s="483">
        <f t="shared" si="15"/>
        <v>45.074966809344929</v>
      </c>
      <c r="AA48" s="483">
        <f t="shared" si="16"/>
        <v>45.332521006394593</v>
      </c>
      <c r="AB48" s="483">
        <f t="shared" si="16"/>
        <v>45.549544275390517</v>
      </c>
      <c r="AC48" s="483">
        <f t="shared" si="16"/>
        <v>45.766845997017583</v>
      </c>
      <c r="AD48" s="483">
        <f t="shared" si="16"/>
        <v>45.93621057509371</v>
      </c>
      <c r="AE48" s="483">
        <f t="shared" si="16"/>
        <v>46.091987325464736</v>
      </c>
      <c r="AF48" s="483">
        <f t="shared" si="16"/>
        <v>46.247727566987081</v>
      </c>
      <c r="AG48" s="483">
        <f t="shared" si="16"/>
        <v>46.390503884981669</v>
      </c>
      <c r="AH48" s="483">
        <f t="shared" si="16"/>
        <v>46.533237561648519</v>
      </c>
      <c r="AI48" s="483">
        <f t="shared" si="16"/>
        <v>46.675927978934773</v>
      </c>
      <c r="AJ48" s="483">
        <f t="shared" si="16"/>
        <v>46.818574524689666</v>
      </c>
      <c r="AK48" s="483">
        <f t="shared" si="17"/>
        <v>46.961176592602918</v>
      </c>
      <c r="AL48" s="483">
        <f t="shared" si="17"/>
        <v>46.961176592602918</v>
      </c>
      <c r="AM48" s="483">
        <f t="shared" si="17"/>
        <v>46.961176592602918</v>
      </c>
      <c r="AN48" s="483">
        <f t="shared" si="17"/>
        <v>46.961176592602918</v>
      </c>
      <c r="AO48" s="483">
        <f t="shared" si="17"/>
        <v>46.961176592602918</v>
      </c>
      <c r="AP48" s="483">
        <f t="shared" si="17"/>
        <v>46.961176592602918</v>
      </c>
      <c r="AQ48" s="483">
        <f t="shared" si="17"/>
        <v>46.961176592602918</v>
      </c>
      <c r="AR48" s="483">
        <f t="shared" si="17"/>
        <v>46.961176592602918</v>
      </c>
      <c r="AS48" s="483">
        <f t="shared" si="17"/>
        <v>46.961176592602918</v>
      </c>
      <c r="AT48" s="483">
        <f t="shared" si="17"/>
        <v>46.961176592602918</v>
      </c>
      <c r="AU48" s="483">
        <f t="shared" si="17"/>
        <v>46.961176592602918</v>
      </c>
      <c r="AV48" s="484">
        <v>5</v>
      </c>
      <c r="BA48" s="597"/>
      <c r="BB48" s="597"/>
      <c r="BC48" s="602"/>
    </row>
    <row r="49" spans="1:55" ht="14.4">
      <c r="B49" s="8" t="str">
        <f>Processes!D48</f>
        <v>IMPWPE</v>
      </c>
      <c r="C49" s="8" t="str">
        <f>Processes!E48</f>
        <v>Import technology - Wood pellets</v>
      </c>
      <c r="D49" s="216"/>
      <c r="E49" s="216" t="str">
        <f t="shared" si="4"/>
        <v>WPE</v>
      </c>
      <c r="F49" s="1119" t="str">
        <f t="shared" si="5"/>
        <v>MKr19</v>
      </c>
      <c r="G49" s="483">
        <f t="shared" si="14"/>
        <v>73.7</v>
      </c>
      <c r="H49" s="483">
        <f t="shared" si="14"/>
        <v>73.7</v>
      </c>
      <c r="I49" s="483">
        <f t="shared" si="14"/>
        <v>73.7</v>
      </c>
      <c r="J49" s="483">
        <f t="shared" si="14"/>
        <v>72.7</v>
      </c>
      <c r="K49" s="483">
        <f t="shared" si="14"/>
        <v>71.8</v>
      </c>
      <c r="L49" s="483">
        <f t="shared" si="14"/>
        <v>70.8</v>
      </c>
      <c r="M49" s="483">
        <f t="shared" si="14"/>
        <v>71.2</v>
      </c>
      <c r="N49" s="483">
        <f t="shared" si="14"/>
        <v>71.599999999999994</v>
      </c>
      <c r="O49" s="483">
        <f t="shared" si="14"/>
        <v>69.494890781791952</v>
      </c>
      <c r="P49" s="483">
        <f t="shared" si="14"/>
        <v>69.433019142282461</v>
      </c>
      <c r="Q49" s="483">
        <f t="shared" si="15"/>
        <v>59.910194122791161</v>
      </c>
      <c r="R49" s="483">
        <f t="shared" si="15"/>
        <v>62.854344413402906</v>
      </c>
      <c r="S49" s="483">
        <f t="shared" si="15"/>
        <v>63.172513966646889</v>
      </c>
      <c r="T49" s="483">
        <f t="shared" si="15"/>
        <v>62.478874618815077</v>
      </c>
      <c r="U49" s="483">
        <f t="shared" si="15"/>
        <v>62.142339464339834</v>
      </c>
      <c r="V49" s="483">
        <f t="shared" si="15"/>
        <v>61.840436911371611</v>
      </c>
      <c r="W49" s="483">
        <f t="shared" si="15"/>
        <v>61.559038676176264</v>
      </c>
      <c r="X49" s="483">
        <f t="shared" si="15"/>
        <v>61.304552221855602</v>
      </c>
      <c r="Y49" s="483">
        <f t="shared" si="15"/>
        <v>61.075127920444082</v>
      </c>
      <c r="Z49" s="483">
        <f t="shared" si="15"/>
        <v>60.879811326662022</v>
      </c>
      <c r="AA49" s="483">
        <f t="shared" si="16"/>
        <v>60.705878120268423</v>
      </c>
      <c r="AB49" s="483">
        <f t="shared" si="16"/>
        <v>60.70433047636952</v>
      </c>
      <c r="AC49" s="483">
        <f t="shared" si="16"/>
        <v>60.702548817291905</v>
      </c>
      <c r="AD49" s="483">
        <f t="shared" si="16"/>
        <v>60.700536499539886</v>
      </c>
      <c r="AE49" s="483">
        <f t="shared" si="16"/>
        <v>60.698296822060883</v>
      </c>
      <c r="AF49" s="483">
        <f t="shared" si="16"/>
        <v>60.695833026853684</v>
      </c>
      <c r="AG49" s="483">
        <f t="shared" si="16"/>
        <v>60.689945389690699</v>
      </c>
      <c r="AH49" s="483">
        <f t="shared" si="16"/>
        <v>60.683892039969457</v>
      </c>
      <c r="AI49" s="483">
        <f t="shared" si="16"/>
        <v>60.677675969854107</v>
      </c>
      <c r="AJ49" s="483">
        <f t="shared" si="16"/>
        <v>60.671300113152753</v>
      </c>
      <c r="AK49" s="483">
        <f t="shared" si="17"/>
        <v>60.664767346129707</v>
      </c>
      <c r="AL49" s="483">
        <f t="shared" si="17"/>
        <v>60.675957923099851</v>
      </c>
      <c r="AM49" s="483">
        <f t="shared" si="17"/>
        <v>60.68702193291076</v>
      </c>
      <c r="AN49" s="483">
        <f t="shared" si="17"/>
        <v>60.697960969252613</v>
      </c>
      <c r="AO49" s="483">
        <f t="shared" si="17"/>
        <v>60.70877659234629</v>
      </c>
      <c r="AP49" s="483">
        <f t="shared" si="17"/>
        <v>60.719470329291362</v>
      </c>
      <c r="AQ49" s="483">
        <f t="shared" si="17"/>
        <v>60.774302670903623</v>
      </c>
      <c r="AR49" s="483">
        <f t="shared" si="17"/>
        <v>60.828784329157571</v>
      </c>
      <c r="AS49" s="483">
        <f t="shared" si="17"/>
        <v>60.882916997101603</v>
      </c>
      <c r="AT49" s="483">
        <f t="shared" si="17"/>
        <v>60.936702331670006</v>
      </c>
      <c r="AU49" s="483">
        <f t="shared" si="17"/>
        <v>60.990141954059872</v>
      </c>
      <c r="AV49" s="484">
        <v>5</v>
      </c>
      <c r="BA49" s="597"/>
      <c r="BB49" s="597"/>
    </row>
    <row r="50" spans="1:55" ht="14.4">
      <c r="B50" s="8" t="str">
        <f>Processes!D49</f>
        <v>IMPWCH</v>
      </c>
      <c r="C50" s="8" t="str">
        <f>Processes!E49</f>
        <v>Import technology - Wood chips and wood waste</v>
      </c>
      <c r="D50" s="216"/>
      <c r="E50" s="216" t="str">
        <f t="shared" si="4"/>
        <v>WCH</v>
      </c>
      <c r="F50" s="1119" t="str">
        <f t="shared" si="5"/>
        <v>MKr19</v>
      </c>
      <c r="G50" s="483">
        <f t="shared" si="14"/>
        <v>46</v>
      </c>
      <c r="H50" s="483">
        <f t="shared" si="14"/>
        <v>46</v>
      </c>
      <c r="I50" s="483">
        <f t="shared" si="14"/>
        <v>46</v>
      </c>
      <c r="J50" s="483">
        <f t="shared" si="14"/>
        <v>45.7</v>
      </c>
      <c r="K50" s="483">
        <f t="shared" si="14"/>
        <v>45.3</v>
      </c>
      <c r="L50" s="483">
        <f t="shared" si="14"/>
        <v>44.9</v>
      </c>
      <c r="M50" s="483">
        <f t="shared" si="14"/>
        <v>45.4</v>
      </c>
      <c r="N50" s="483">
        <f t="shared" si="14"/>
        <v>45.9</v>
      </c>
      <c r="O50" s="483">
        <f t="shared" si="14"/>
        <v>45.179472202489855</v>
      </c>
      <c r="P50" s="483">
        <f t="shared" si="14"/>
        <v>45.117600562980392</v>
      </c>
      <c r="Q50" s="483">
        <f t="shared" si="15"/>
        <v>45.248389703133633</v>
      </c>
      <c r="R50" s="483">
        <f t="shared" si="15"/>
        <v>45.190250127598674</v>
      </c>
      <c r="S50" s="483">
        <f t="shared" si="15"/>
        <v>45.392121473736516</v>
      </c>
      <c r="T50" s="483">
        <f t="shared" si="15"/>
        <v>45.644433925671841</v>
      </c>
      <c r="U50" s="483">
        <f t="shared" si="15"/>
        <v>45.923015098100862</v>
      </c>
      <c r="V50" s="483">
        <f t="shared" si="15"/>
        <v>46.207001444406053</v>
      </c>
      <c r="W50" s="483">
        <f t="shared" si="15"/>
        <v>46.419730980267232</v>
      </c>
      <c r="X50" s="483">
        <f t="shared" si="15"/>
        <v>46.631059323825987</v>
      </c>
      <c r="Y50" s="483">
        <f t="shared" si="15"/>
        <v>46.839924523073165</v>
      </c>
      <c r="Z50" s="483">
        <f t="shared" si="15"/>
        <v>47.054043906757286</v>
      </c>
      <c r="AA50" s="483">
        <f t="shared" si="16"/>
        <v>47.263106384197172</v>
      </c>
      <c r="AB50" s="483">
        <f t="shared" si="16"/>
        <v>47.363169268373781</v>
      </c>
      <c r="AC50" s="483">
        <f t="shared" si="16"/>
        <v>47.463048827686151</v>
      </c>
      <c r="AD50" s="483">
        <f t="shared" si="16"/>
        <v>47.562746231205452</v>
      </c>
      <c r="AE50" s="483">
        <f t="shared" si="16"/>
        <v>47.662262629564232</v>
      </c>
      <c r="AF50" s="483">
        <f t="shared" si="16"/>
        <v>47.761599155151828</v>
      </c>
      <c r="AG50" s="483">
        <f t="shared" si="16"/>
        <v>47.861557709026719</v>
      </c>
      <c r="AH50" s="483">
        <f t="shared" si="16"/>
        <v>47.961224086497161</v>
      </c>
      <c r="AI50" s="483">
        <f t="shared" si="16"/>
        <v>48.06060022028862</v>
      </c>
      <c r="AJ50" s="483">
        <f t="shared" si="16"/>
        <v>48.159688016832391</v>
      </c>
      <c r="AK50" s="483">
        <f t="shared" si="17"/>
        <v>48.258489356547372</v>
      </c>
      <c r="AL50" s="483">
        <f t="shared" si="17"/>
        <v>48.37762671431922</v>
      </c>
      <c r="AM50" s="483">
        <f t="shared" si="17"/>
        <v>48.496315696545963</v>
      </c>
      <c r="AN50" s="483">
        <f t="shared" si="17"/>
        <v>48.614559135690349</v>
      </c>
      <c r="AO50" s="483">
        <f t="shared" si="17"/>
        <v>48.73235982855357</v>
      </c>
      <c r="AP50" s="483">
        <f t="shared" si="17"/>
        <v>48.849720536660548</v>
      </c>
      <c r="AQ50" s="483">
        <f t="shared" si="17"/>
        <v>49.024574818868821</v>
      </c>
      <c r="AR50" s="483">
        <f t="shared" si="17"/>
        <v>49.198719487894593</v>
      </c>
      <c r="AS50" s="483">
        <f t="shared" si="17"/>
        <v>49.372158440659689</v>
      </c>
      <c r="AT50" s="483">
        <f t="shared" si="17"/>
        <v>49.544895527221009</v>
      </c>
      <c r="AU50" s="483">
        <f t="shared" si="17"/>
        <v>49.716934551280723</v>
      </c>
      <c r="AV50" s="484">
        <v>5</v>
      </c>
      <c r="BA50" s="597"/>
      <c r="BB50" s="597"/>
    </row>
    <row r="51" spans="1:55" ht="14.4">
      <c r="B51" s="8" t="str">
        <f>Processes!D50</f>
        <v>IMPFIW</v>
      </c>
      <c r="C51" s="8" t="str">
        <f>Processes!E50</f>
        <v>Import technology - Firewood</v>
      </c>
      <c r="D51" s="216"/>
      <c r="E51" s="216" t="str">
        <f t="shared" si="4"/>
        <v>FIW</v>
      </c>
      <c r="F51" s="1119" t="str">
        <f t="shared" si="5"/>
        <v>MKr14</v>
      </c>
      <c r="G51" s="483">
        <f>G50</f>
        <v>46</v>
      </c>
      <c r="H51" s="483">
        <f t="shared" ref="H51:AU51" si="18">H50</f>
        <v>46</v>
      </c>
      <c r="I51" s="483">
        <f t="shared" si="18"/>
        <v>46</v>
      </c>
      <c r="J51" s="483">
        <f t="shared" si="18"/>
        <v>45.7</v>
      </c>
      <c r="K51" s="483">
        <f t="shared" si="18"/>
        <v>45.3</v>
      </c>
      <c r="L51" s="483">
        <f t="shared" si="18"/>
        <v>44.9</v>
      </c>
      <c r="M51" s="483">
        <f t="shared" si="18"/>
        <v>45.4</v>
      </c>
      <c r="N51" s="483">
        <f t="shared" si="18"/>
        <v>45.9</v>
      </c>
      <c r="O51" s="483">
        <f t="shared" si="18"/>
        <v>45.179472202489855</v>
      </c>
      <c r="P51" s="483">
        <f t="shared" si="18"/>
        <v>45.117600562980392</v>
      </c>
      <c r="Q51" s="483">
        <f t="shared" si="18"/>
        <v>45.248389703133633</v>
      </c>
      <c r="R51" s="483">
        <f t="shared" si="18"/>
        <v>45.190250127598674</v>
      </c>
      <c r="S51" s="483">
        <f t="shared" si="18"/>
        <v>45.392121473736516</v>
      </c>
      <c r="T51" s="483">
        <f t="shared" si="18"/>
        <v>45.644433925671841</v>
      </c>
      <c r="U51" s="483">
        <f t="shared" si="18"/>
        <v>45.923015098100862</v>
      </c>
      <c r="V51" s="483">
        <f t="shared" si="18"/>
        <v>46.207001444406053</v>
      </c>
      <c r="W51" s="483">
        <f t="shared" si="18"/>
        <v>46.419730980267232</v>
      </c>
      <c r="X51" s="483">
        <f t="shared" si="18"/>
        <v>46.631059323825987</v>
      </c>
      <c r="Y51" s="483">
        <f t="shared" si="18"/>
        <v>46.839924523073165</v>
      </c>
      <c r="Z51" s="483">
        <f t="shared" si="18"/>
        <v>47.054043906757286</v>
      </c>
      <c r="AA51" s="483">
        <f t="shared" si="18"/>
        <v>47.263106384197172</v>
      </c>
      <c r="AB51" s="483">
        <f t="shared" si="18"/>
        <v>47.363169268373781</v>
      </c>
      <c r="AC51" s="483">
        <f t="shared" si="18"/>
        <v>47.463048827686151</v>
      </c>
      <c r="AD51" s="483">
        <f t="shared" si="18"/>
        <v>47.562746231205452</v>
      </c>
      <c r="AE51" s="483">
        <f t="shared" si="18"/>
        <v>47.662262629564232</v>
      </c>
      <c r="AF51" s="483">
        <f t="shared" si="18"/>
        <v>47.761599155151828</v>
      </c>
      <c r="AG51" s="483">
        <f t="shared" si="18"/>
        <v>47.861557709026719</v>
      </c>
      <c r="AH51" s="483">
        <f t="shared" si="18"/>
        <v>47.961224086497161</v>
      </c>
      <c r="AI51" s="483">
        <f t="shared" si="18"/>
        <v>48.06060022028862</v>
      </c>
      <c r="AJ51" s="483">
        <f t="shared" si="18"/>
        <v>48.159688016832391</v>
      </c>
      <c r="AK51" s="483">
        <f t="shared" si="18"/>
        <v>48.258489356547372</v>
      </c>
      <c r="AL51" s="483">
        <f t="shared" si="18"/>
        <v>48.37762671431922</v>
      </c>
      <c r="AM51" s="483">
        <f t="shared" si="18"/>
        <v>48.496315696545963</v>
      </c>
      <c r="AN51" s="483">
        <f t="shared" si="18"/>
        <v>48.614559135690349</v>
      </c>
      <c r="AO51" s="483">
        <f t="shared" si="18"/>
        <v>48.73235982855357</v>
      </c>
      <c r="AP51" s="483">
        <f t="shared" si="18"/>
        <v>48.849720536660548</v>
      </c>
      <c r="AQ51" s="483">
        <f t="shared" si="18"/>
        <v>49.024574818868821</v>
      </c>
      <c r="AR51" s="483">
        <f t="shared" si="18"/>
        <v>49.198719487894593</v>
      </c>
      <c r="AS51" s="483">
        <f t="shared" si="18"/>
        <v>49.372158440659689</v>
      </c>
      <c r="AT51" s="483">
        <f t="shared" si="18"/>
        <v>49.544895527221009</v>
      </c>
      <c r="AU51" s="483">
        <f t="shared" si="18"/>
        <v>49.716934551280723</v>
      </c>
      <c r="AV51" s="484">
        <v>5</v>
      </c>
      <c r="BA51" s="597"/>
      <c r="BB51" s="597"/>
    </row>
    <row r="52" spans="1:55" ht="14.4">
      <c r="B52" s="8" t="str">
        <f>Processes!D51</f>
        <v>IMPCRN</v>
      </c>
      <c r="C52" s="8" t="str">
        <f>Processes!E51</f>
        <v>Import technology - Corn</v>
      </c>
      <c r="D52" s="216"/>
      <c r="E52" s="216" t="str">
        <f t="shared" si="4"/>
        <v>CRN</v>
      </c>
      <c r="F52" s="1119" t="str">
        <f t="shared" si="5"/>
        <v>MKr14</v>
      </c>
      <c r="G52" s="483">
        <f t="shared" ref="G52:P55" si="19">IFERROR(INDEX($G$122:$AU$177,MATCH($E52,$E$122:$E$177,0),MATCH(G$6,$G$121:$AU$121,0)),0)</f>
        <v>72.400000000000006</v>
      </c>
      <c r="H52" s="483">
        <f t="shared" si="19"/>
        <v>72.400000000000006</v>
      </c>
      <c r="I52" s="483">
        <f t="shared" si="19"/>
        <v>72.400000000000006</v>
      </c>
      <c r="J52" s="483">
        <f t="shared" si="19"/>
        <v>72.400000000000006</v>
      </c>
      <c r="K52" s="483">
        <f t="shared" si="19"/>
        <v>72.400000000000006</v>
      </c>
      <c r="L52" s="483">
        <f t="shared" si="19"/>
        <v>72.400000000000006</v>
      </c>
      <c r="M52" s="483">
        <f t="shared" si="19"/>
        <v>72.400000000000006</v>
      </c>
      <c r="N52" s="483">
        <f t="shared" si="19"/>
        <v>72.400000000000006</v>
      </c>
      <c r="O52" s="483">
        <f t="shared" si="19"/>
        <v>72.400000000000006</v>
      </c>
      <c r="P52" s="483">
        <f t="shared" si="19"/>
        <v>72.400000000000006</v>
      </c>
      <c r="Q52" s="483">
        <f t="shared" ref="Q52:Z55" si="20">IFERROR(INDEX($G$122:$AU$177,MATCH($E52,$E$122:$E$177,0),MATCH(Q$6,$G$121:$AU$121,0)),0)</f>
        <v>72.400000000000006</v>
      </c>
      <c r="R52" s="483">
        <f t="shared" si="20"/>
        <v>72.400000000000006</v>
      </c>
      <c r="S52" s="483">
        <f t="shared" si="20"/>
        <v>72.400000000000006</v>
      </c>
      <c r="T52" s="483">
        <f t="shared" si="20"/>
        <v>72.400000000000006</v>
      </c>
      <c r="U52" s="483">
        <f t="shared" si="20"/>
        <v>72.400000000000006</v>
      </c>
      <c r="V52" s="483">
        <f t="shared" si="20"/>
        <v>72.400000000000006</v>
      </c>
      <c r="W52" s="483">
        <f t="shared" si="20"/>
        <v>72.400000000000006</v>
      </c>
      <c r="X52" s="483">
        <f t="shared" si="20"/>
        <v>72.400000000000006</v>
      </c>
      <c r="Y52" s="483">
        <f t="shared" si="20"/>
        <v>72.400000000000006</v>
      </c>
      <c r="Z52" s="483">
        <f t="shared" si="20"/>
        <v>72.400000000000006</v>
      </c>
      <c r="AA52" s="483">
        <f t="shared" ref="AA52:AJ55" si="21">IFERROR(INDEX($G$122:$AU$177,MATCH($E52,$E$122:$E$177,0),MATCH(AA$6,$G$121:$AU$121,0)),0)</f>
        <v>72.400000000000006</v>
      </c>
      <c r="AB52" s="483">
        <f t="shared" si="21"/>
        <v>72.400000000000006</v>
      </c>
      <c r="AC52" s="483">
        <f t="shared" si="21"/>
        <v>72.400000000000006</v>
      </c>
      <c r="AD52" s="483">
        <f t="shared" si="21"/>
        <v>72.400000000000006</v>
      </c>
      <c r="AE52" s="483">
        <f t="shared" si="21"/>
        <v>72.400000000000006</v>
      </c>
      <c r="AF52" s="483">
        <f t="shared" si="21"/>
        <v>72.400000000000006</v>
      </c>
      <c r="AG52" s="483">
        <f t="shared" si="21"/>
        <v>72.400000000000006</v>
      </c>
      <c r="AH52" s="483">
        <f t="shared" si="21"/>
        <v>72.400000000000006</v>
      </c>
      <c r="AI52" s="483">
        <f t="shared" si="21"/>
        <v>72.400000000000006</v>
      </c>
      <c r="AJ52" s="483">
        <f t="shared" si="21"/>
        <v>72.400000000000006</v>
      </c>
      <c r="AK52" s="483">
        <f t="shared" ref="AK52:AU55" si="22">IFERROR(INDEX($G$122:$AU$177,MATCH($E52,$E$122:$E$177,0),MATCH(AK$6,$G$121:$AU$121,0)),0)</f>
        <v>72.400000000000006</v>
      </c>
      <c r="AL52" s="483">
        <f t="shared" si="22"/>
        <v>72.400000000000006</v>
      </c>
      <c r="AM52" s="483">
        <f t="shared" si="22"/>
        <v>72.400000000000006</v>
      </c>
      <c r="AN52" s="483">
        <f t="shared" si="22"/>
        <v>72.400000000000006</v>
      </c>
      <c r="AO52" s="483">
        <f t="shared" si="22"/>
        <v>72.400000000000006</v>
      </c>
      <c r="AP52" s="483">
        <f t="shared" si="22"/>
        <v>72.400000000000006</v>
      </c>
      <c r="AQ52" s="483">
        <f t="shared" si="22"/>
        <v>72.400000000000006</v>
      </c>
      <c r="AR52" s="483">
        <f t="shared" si="22"/>
        <v>72.400000000000006</v>
      </c>
      <c r="AS52" s="483">
        <f t="shared" si="22"/>
        <v>72.400000000000006</v>
      </c>
      <c r="AT52" s="483">
        <f t="shared" si="22"/>
        <v>72.400000000000006</v>
      </c>
      <c r="AU52" s="483">
        <f t="shared" si="22"/>
        <v>72.400000000000006</v>
      </c>
      <c r="AV52" s="484">
        <v>5</v>
      </c>
      <c r="BA52" s="597"/>
      <c r="BB52" s="597"/>
      <c r="BC52" s="597"/>
    </row>
    <row r="53" spans="1:55" ht="14.4">
      <c r="B53" s="8" t="str">
        <f>Processes!D52</f>
        <v>IMPRPS</v>
      </c>
      <c r="C53" s="8" t="str">
        <f>Processes!E52</f>
        <v>Import technology - Rapeseed</v>
      </c>
      <c r="D53" s="216"/>
      <c r="E53" s="216" t="str">
        <f t="shared" si="4"/>
        <v>RPS</v>
      </c>
      <c r="F53" s="1119" t="str">
        <f t="shared" si="5"/>
        <v>MKr14</v>
      </c>
      <c r="G53" s="483">
        <f t="shared" si="19"/>
        <v>101.7</v>
      </c>
      <c r="H53" s="483">
        <f t="shared" si="19"/>
        <v>101.7</v>
      </c>
      <c r="I53" s="483">
        <f t="shared" si="19"/>
        <v>101.7</v>
      </c>
      <c r="J53" s="483">
        <f t="shared" si="19"/>
        <v>101.7</v>
      </c>
      <c r="K53" s="483">
        <f t="shared" si="19"/>
        <v>101.7</v>
      </c>
      <c r="L53" s="483">
        <f t="shared" si="19"/>
        <v>101.7</v>
      </c>
      <c r="M53" s="483">
        <f t="shared" si="19"/>
        <v>101.7</v>
      </c>
      <c r="N53" s="483">
        <f t="shared" si="19"/>
        <v>101.7</v>
      </c>
      <c r="O53" s="483">
        <f t="shared" si="19"/>
        <v>101.7</v>
      </c>
      <c r="P53" s="483">
        <f t="shared" si="19"/>
        <v>101.7</v>
      </c>
      <c r="Q53" s="483">
        <f t="shared" si="20"/>
        <v>101.7</v>
      </c>
      <c r="R53" s="483">
        <f t="shared" si="20"/>
        <v>101.7</v>
      </c>
      <c r="S53" s="483">
        <f t="shared" si="20"/>
        <v>101.7</v>
      </c>
      <c r="T53" s="483">
        <f t="shared" si="20"/>
        <v>101.7</v>
      </c>
      <c r="U53" s="483">
        <f t="shared" si="20"/>
        <v>101.7</v>
      </c>
      <c r="V53" s="483">
        <f t="shared" si="20"/>
        <v>101.7</v>
      </c>
      <c r="W53" s="483">
        <f t="shared" si="20"/>
        <v>101.7</v>
      </c>
      <c r="X53" s="483">
        <f t="shared" si="20"/>
        <v>101.7</v>
      </c>
      <c r="Y53" s="483">
        <f t="shared" si="20"/>
        <v>101.7</v>
      </c>
      <c r="Z53" s="483">
        <f t="shared" si="20"/>
        <v>101.7</v>
      </c>
      <c r="AA53" s="483">
        <f t="shared" si="21"/>
        <v>101.7</v>
      </c>
      <c r="AB53" s="483">
        <f t="shared" si="21"/>
        <v>101.7</v>
      </c>
      <c r="AC53" s="483">
        <f t="shared" si="21"/>
        <v>101.7</v>
      </c>
      <c r="AD53" s="483">
        <f t="shared" si="21"/>
        <v>101.7</v>
      </c>
      <c r="AE53" s="483">
        <f t="shared" si="21"/>
        <v>101.7</v>
      </c>
      <c r="AF53" s="483">
        <f t="shared" si="21"/>
        <v>101.7</v>
      </c>
      <c r="AG53" s="483">
        <f t="shared" si="21"/>
        <v>101.7</v>
      </c>
      <c r="AH53" s="483">
        <f t="shared" si="21"/>
        <v>101.7</v>
      </c>
      <c r="AI53" s="483">
        <f t="shared" si="21"/>
        <v>101.7</v>
      </c>
      <c r="AJ53" s="483">
        <f t="shared" si="21"/>
        <v>101.7</v>
      </c>
      <c r="AK53" s="483">
        <f t="shared" si="22"/>
        <v>101.7</v>
      </c>
      <c r="AL53" s="483">
        <f t="shared" si="22"/>
        <v>101.7</v>
      </c>
      <c r="AM53" s="483">
        <f t="shared" si="22"/>
        <v>101.7</v>
      </c>
      <c r="AN53" s="483">
        <f t="shared" si="22"/>
        <v>101.7</v>
      </c>
      <c r="AO53" s="483">
        <f t="shared" si="22"/>
        <v>101.7</v>
      </c>
      <c r="AP53" s="483">
        <f t="shared" si="22"/>
        <v>101.7</v>
      </c>
      <c r="AQ53" s="483">
        <f t="shared" si="22"/>
        <v>101.7</v>
      </c>
      <c r="AR53" s="483">
        <f t="shared" si="22"/>
        <v>101.7</v>
      </c>
      <c r="AS53" s="483">
        <f t="shared" si="22"/>
        <v>101.7</v>
      </c>
      <c r="AT53" s="483">
        <f t="shared" si="22"/>
        <v>101.7</v>
      </c>
      <c r="AU53" s="483">
        <f t="shared" si="22"/>
        <v>101.7</v>
      </c>
      <c r="AV53" s="484">
        <v>5</v>
      </c>
      <c r="BA53" s="597"/>
      <c r="BB53" s="597"/>
      <c r="BC53" s="597"/>
    </row>
    <row r="54" spans="1:55" ht="14.4">
      <c r="B54" s="8" t="str">
        <f>Processes!D53</f>
        <v>IMPSGB</v>
      </c>
      <c r="C54" s="8" t="str">
        <f>Processes!E53</f>
        <v>Import technology - Sugar Beet</v>
      </c>
      <c r="D54" s="1"/>
      <c r="E54" s="216" t="str">
        <f>IF(LEN(B54)=6,RIGHT(B54,3),RIGHT(B54,4))</f>
        <v>SGB</v>
      </c>
      <c r="F54" s="1119" t="str">
        <f t="shared" si="5"/>
        <v>MKr14</v>
      </c>
      <c r="G54" s="483">
        <f t="shared" si="19"/>
        <v>10.6</v>
      </c>
      <c r="H54" s="483">
        <f t="shared" si="19"/>
        <v>10.6</v>
      </c>
      <c r="I54" s="483">
        <f t="shared" si="19"/>
        <v>10.6</v>
      </c>
      <c r="J54" s="483">
        <f t="shared" si="19"/>
        <v>10.6</v>
      </c>
      <c r="K54" s="483">
        <f t="shared" si="19"/>
        <v>10.6</v>
      </c>
      <c r="L54" s="483">
        <f t="shared" si="19"/>
        <v>10.6</v>
      </c>
      <c r="M54" s="483">
        <f t="shared" si="19"/>
        <v>10.6</v>
      </c>
      <c r="N54" s="483">
        <f t="shared" si="19"/>
        <v>10.6</v>
      </c>
      <c r="O54" s="483">
        <f t="shared" si="19"/>
        <v>10.6</v>
      </c>
      <c r="P54" s="483">
        <f t="shared" si="19"/>
        <v>10.6</v>
      </c>
      <c r="Q54" s="483">
        <f t="shared" si="20"/>
        <v>10.6</v>
      </c>
      <c r="R54" s="483">
        <f t="shared" si="20"/>
        <v>10.6</v>
      </c>
      <c r="S54" s="483">
        <f t="shared" si="20"/>
        <v>10.6</v>
      </c>
      <c r="T54" s="483">
        <f t="shared" si="20"/>
        <v>10.6</v>
      </c>
      <c r="U54" s="483">
        <f t="shared" si="20"/>
        <v>10.6</v>
      </c>
      <c r="V54" s="483">
        <f t="shared" si="20"/>
        <v>10.6</v>
      </c>
      <c r="W54" s="483">
        <f t="shared" si="20"/>
        <v>10.6</v>
      </c>
      <c r="X54" s="483">
        <f t="shared" si="20"/>
        <v>10.6</v>
      </c>
      <c r="Y54" s="483">
        <f t="shared" si="20"/>
        <v>10.6</v>
      </c>
      <c r="Z54" s="483">
        <f t="shared" si="20"/>
        <v>10.6</v>
      </c>
      <c r="AA54" s="483">
        <f t="shared" si="21"/>
        <v>10.6</v>
      </c>
      <c r="AB54" s="483">
        <f t="shared" si="21"/>
        <v>10.6</v>
      </c>
      <c r="AC54" s="483">
        <f t="shared" si="21"/>
        <v>10.6</v>
      </c>
      <c r="AD54" s="483">
        <f t="shared" si="21"/>
        <v>10.6</v>
      </c>
      <c r="AE54" s="483">
        <f t="shared" si="21"/>
        <v>10.6</v>
      </c>
      <c r="AF54" s="483">
        <f t="shared" si="21"/>
        <v>10.6</v>
      </c>
      <c r="AG54" s="483">
        <f t="shared" si="21"/>
        <v>10.6</v>
      </c>
      <c r="AH54" s="483">
        <f t="shared" si="21"/>
        <v>10.6</v>
      </c>
      <c r="AI54" s="483">
        <f t="shared" si="21"/>
        <v>10.6</v>
      </c>
      <c r="AJ54" s="483">
        <f t="shared" si="21"/>
        <v>10.6</v>
      </c>
      <c r="AK54" s="483">
        <f t="shared" si="22"/>
        <v>10.6</v>
      </c>
      <c r="AL54" s="483">
        <f t="shared" si="22"/>
        <v>10.6</v>
      </c>
      <c r="AM54" s="483">
        <f t="shared" si="22"/>
        <v>10.6</v>
      </c>
      <c r="AN54" s="483">
        <f t="shared" si="22"/>
        <v>10.6</v>
      </c>
      <c r="AO54" s="483">
        <f t="shared" si="22"/>
        <v>10.6</v>
      </c>
      <c r="AP54" s="483">
        <f t="shared" si="22"/>
        <v>10.6</v>
      </c>
      <c r="AQ54" s="483">
        <f t="shared" si="22"/>
        <v>10.6</v>
      </c>
      <c r="AR54" s="483">
        <f t="shared" si="22"/>
        <v>10.6</v>
      </c>
      <c r="AS54" s="483">
        <f t="shared" si="22"/>
        <v>10.6</v>
      </c>
      <c r="AT54" s="483">
        <f t="shared" si="22"/>
        <v>10.6</v>
      </c>
      <c r="AU54" s="483">
        <f t="shared" si="22"/>
        <v>10.6</v>
      </c>
      <c r="AV54" s="484">
        <v>5</v>
      </c>
      <c r="BA54" s="597"/>
      <c r="BB54" s="597"/>
      <c r="BC54" s="597"/>
    </row>
    <row r="55" spans="1:55" ht="14.4">
      <c r="A55" s="1"/>
      <c r="B55" s="8" t="str">
        <f>Processes!D54</f>
        <v>IMPDLI</v>
      </c>
      <c r="C55" s="8" t="str">
        <f>Processes!E54</f>
        <v>Import technology - Deep Litter</v>
      </c>
      <c r="D55" s="1"/>
      <c r="E55" s="216" t="str">
        <f t="shared" ref="E55:E75" si="23">IF(LEN(B55)=6,RIGHT(B55,3),RIGHT(B55,4))</f>
        <v>DLI</v>
      </c>
      <c r="F55" s="1119" t="str">
        <f t="shared" si="5"/>
        <v>MKr14</v>
      </c>
      <c r="G55" s="483">
        <f t="shared" si="19"/>
        <v>0.01</v>
      </c>
      <c r="H55" s="483">
        <f t="shared" si="19"/>
        <v>0.01</v>
      </c>
      <c r="I55" s="483">
        <f t="shared" si="19"/>
        <v>0.01</v>
      </c>
      <c r="J55" s="483">
        <f t="shared" si="19"/>
        <v>0.01</v>
      </c>
      <c r="K55" s="483">
        <f t="shared" si="19"/>
        <v>0.01</v>
      </c>
      <c r="L55" s="483">
        <f t="shared" si="19"/>
        <v>0.01</v>
      </c>
      <c r="M55" s="483">
        <f t="shared" si="19"/>
        <v>0.01</v>
      </c>
      <c r="N55" s="483">
        <f t="shared" si="19"/>
        <v>0.01</v>
      </c>
      <c r="O55" s="483">
        <f t="shared" si="19"/>
        <v>0.01</v>
      </c>
      <c r="P55" s="483">
        <f t="shared" si="19"/>
        <v>0.01</v>
      </c>
      <c r="Q55" s="483">
        <f t="shared" si="20"/>
        <v>0.01</v>
      </c>
      <c r="R55" s="483">
        <f t="shared" si="20"/>
        <v>0.01</v>
      </c>
      <c r="S55" s="483">
        <f t="shared" si="20"/>
        <v>0.01</v>
      </c>
      <c r="T55" s="483">
        <f t="shared" si="20"/>
        <v>0.01</v>
      </c>
      <c r="U55" s="483">
        <f t="shared" si="20"/>
        <v>0.01</v>
      </c>
      <c r="V55" s="483">
        <f t="shared" si="20"/>
        <v>0.01</v>
      </c>
      <c r="W55" s="483">
        <f t="shared" si="20"/>
        <v>0.01</v>
      </c>
      <c r="X55" s="483">
        <f t="shared" si="20"/>
        <v>0.01</v>
      </c>
      <c r="Y55" s="483">
        <f t="shared" si="20"/>
        <v>0.01</v>
      </c>
      <c r="Z55" s="483">
        <f t="shared" si="20"/>
        <v>0.01</v>
      </c>
      <c r="AA55" s="483">
        <f t="shared" si="21"/>
        <v>0.01</v>
      </c>
      <c r="AB55" s="483">
        <f t="shared" si="21"/>
        <v>0.01</v>
      </c>
      <c r="AC55" s="483">
        <f t="shared" si="21"/>
        <v>0.01</v>
      </c>
      <c r="AD55" s="483">
        <f t="shared" si="21"/>
        <v>0.01</v>
      </c>
      <c r="AE55" s="483">
        <f t="shared" si="21"/>
        <v>0.01</v>
      </c>
      <c r="AF55" s="483">
        <f t="shared" si="21"/>
        <v>0.01</v>
      </c>
      <c r="AG55" s="483">
        <f t="shared" si="21"/>
        <v>0.01</v>
      </c>
      <c r="AH55" s="483">
        <f t="shared" si="21"/>
        <v>0.01</v>
      </c>
      <c r="AI55" s="483">
        <f t="shared" si="21"/>
        <v>0.01</v>
      </c>
      <c r="AJ55" s="483">
        <f t="shared" si="21"/>
        <v>0.01</v>
      </c>
      <c r="AK55" s="483">
        <f t="shared" si="22"/>
        <v>0.01</v>
      </c>
      <c r="AL55" s="483">
        <f t="shared" si="22"/>
        <v>0.01</v>
      </c>
      <c r="AM55" s="483">
        <f t="shared" si="22"/>
        <v>0.01</v>
      </c>
      <c r="AN55" s="483">
        <f t="shared" si="22"/>
        <v>0.01</v>
      </c>
      <c r="AO55" s="483">
        <f t="shared" si="22"/>
        <v>0.01</v>
      </c>
      <c r="AP55" s="483">
        <f t="shared" si="22"/>
        <v>0.01</v>
      </c>
      <c r="AQ55" s="483">
        <f t="shared" si="22"/>
        <v>0.01</v>
      </c>
      <c r="AR55" s="483">
        <f t="shared" si="22"/>
        <v>0.01</v>
      </c>
      <c r="AS55" s="483">
        <f t="shared" si="22"/>
        <v>0.01</v>
      </c>
      <c r="AT55" s="483">
        <f t="shared" si="22"/>
        <v>0.01</v>
      </c>
      <c r="AU55" s="483">
        <f t="shared" si="22"/>
        <v>0.01</v>
      </c>
      <c r="AV55" s="484">
        <v>5</v>
      </c>
      <c r="BA55" s="597"/>
      <c r="BB55" s="597"/>
      <c r="BC55" s="597"/>
    </row>
    <row r="56" spans="1:55" ht="14.4">
      <c r="B56" s="560" t="str">
        <f>Processes!D55</f>
        <v>IMPMNR</v>
      </c>
      <c r="C56" s="560" t="str">
        <f>Processes!E55</f>
        <v>Import technology - Manure (Gylle)</v>
      </c>
      <c r="D56" s="525"/>
      <c r="E56" s="561" t="str">
        <f t="shared" si="23"/>
        <v>MNR</v>
      </c>
      <c r="F56" s="1119" t="str">
        <f t="shared" si="5"/>
        <v>MKr14</v>
      </c>
      <c r="G56" s="562">
        <f t="shared" ref="G56:P57" si="24">IFERROR(INDEX($G$122:$AU$177,MATCH($E56,$E$122:$E$177,0),MATCH(G$6,$G$121:$AU$121,0)),0)*$E$189</f>
        <v>5.0000000000000001E-3</v>
      </c>
      <c r="H56" s="562">
        <f t="shared" si="24"/>
        <v>5.0000000000000001E-3</v>
      </c>
      <c r="I56" s="562">
        <f t="shared" si="24"/>
        <v>5.0000000000000001E-3</v>
      </c>
      <c r="J56" s="562">
        <f t="shared" si="24"/>
        <v>5.0000000000000001E-3</v>
      </c>
      <c r="K56" s="562">
        <f t="shared" si="24"/>
        <v>5.0000000000000001E-3</v>
      </c>
      <c r="L56" s="562">
        <f t="shared" si="24"/>
        <v>5.0000000000000001E-3</v>
      </c>
      <c r="M56" s="562">
        <f t="shared" si="24"/>
        <v>5.0000000000000001E-3</v>
      </c>
      <c r="N56" s="562">
        <f t="shared" si="24"/>
        <v>5.0000000000000001E-3</v>
      </c>
      <c r="O56" s="562">
        <f t="shared" si="24"/>
        <v>5.0000000000000001E-3</v>
      </c>
      <c r="P56" s="562">
        <f t="shared" si="24"/>
        <v>5.0000000000000001E-3</v>
      </c>
      <c r="Q56" s="562">
        <f t="shared" ref="Q56:Z57" si="25">IFERROR(INDEX($G$122:$AU$177,MATCH($E56,$E$122:$E$177,0),MATCH(Q$6,$G$121:$AU$121,0)),0)*$E$189</f>
        <v>5.0000000000000001E-3</v>
      </c>
      <c r="R56" s="562">
        <f t="shared" si="25"/>
        <v>5.0000000000000001E-3</v>
      </c>
      <c r="S56" s="562">
        <f t="shared" si="25"/>
        <v>5.0000000000000001E-3</v>
      </c>
      <c r="T56" s="562">
        <f t="shared" si="25"/>
        <v>5.0000000000000001E-3</v>
      </c>
      <c r="U56" s="562">
        <f t="shared" si="25"/>
        <v>5.0000000000000001E-3</v>
      </c>
      <c r="V56" s="562">
        <f t="shared" si="25"/>
        <v>5.0000000000000001E-3</v>
      </c>
      <c r="W56" s="562">
        <f t="shared" si="25"/>
        <v>5.0000000000000001E-3</v>
      </c>
      <c r="X56" s="562">
        <f t="shared" si="25"/>
        <v>5.0000000000000001E-3</v>
      </c>
      <c r="Y56" s="562">
        <f t="shared" si="25"/>
        <v>5.0000000000000001E-3</v>
      </c>
      <c r="Z56" s="562">
        <f t="shared" si="25"/>
        <v>5.0000000000000001E-3</v>
      </c>
      <c r="AA56" s="562">
        <f t="shared" ref="AA56:AJ57" si="26">IFERROR(INDEX($G$122:$AU$177,MATCH($E56,$E$122:$E$177,0),MATCH(AA$6,$G$121:$AU$121,0)),0)*$E$189</f>
        <v>5.0000000000000001E-3</v>
      </c>
      <c r="AB56" s="562">
        <f t="shared" si="26"/>
        <v>5.0000000000000001E-3</v>
      </c>
      <c r="AC56" s="562">
        <f t="shared" si="26"/>
        <v>5.0000000000000001E-3</v>
      </c>
      <c r="AD56" s="562">
        <f t="shared" si="26"/>
        <v>5.0000000000000001E-3</v>
      </c>
      <c r="AE56" s="562">
        <f t="shared" si="26"/>
        <v>5.0000000000000001E-3</v>
      </c>
      <c r="AF56" s="562">
        <f t="shared" si="26"/>
        <v>5.0000000000000001E-3</v>
      </c>
      <c r="AG56" s="562">
        <f t="shared" si="26"/>
        <v>5.0000000000000001E-3</v>
      </c>
      <c r="AH56" s="562">
        <f t="shared" si="26"/>
        <v>5.0000000000000001E-3</v>
      </c>
      <c r="AI56" s="562">
        <f t="shared" si="26"/>
        <v>5.0000000000000001E-3</v>
      </c>
      <c r="AJ56" s="562">
        <f t="shared" si="26"/>
        <v>5.0000000000000001E-3</v>
      </c>
      <c r="AK56" s="562">
        <f t="shared" ref="AK56:AU57" si="27">IFERROR(INDEX($G$122:$AU$177,MATCH($E56,$E$122:$E$177,0),MATCH(AK$6,$G$121:$AU$121,0)),0)*$E$189</f>
        <v>5.0000000000000001E-3</v>
      </c>
      <c r="AL56" s="562">
        <f t="shared" si="27"/>
        <v>5.0000000000000001E-3</v>
      </c>
      <c r="AM56" s="562">
        <f t="shared" si="27"/>
        <v>5.0000000000000001E-3</v>
      </c>
      <c r="AN56" s="562">
        <f t="shared" si="27"/>
        <v>5.0000000000000001E-3</v>
      </c>
      <c r="AO56" s="562">
        <f t="shared" si="27"/>
        <v>5.0000000000000001E-3</v>
      </c>
      <c r="AP56" s="562">
        <f t="shared" si="27"/>
        <v>5.0000000000000001E-3</v>
      </c>
      <c r="AQ56" s="562">
        <f t="shared" si="27"/>
        <v>5.0000000000000001E-3</v>
      </c>
      <c r="AR56" s="562">
        <f t="shared" si="27"/>
        <v>5.0000000000000001E-3</v>
      </c>
      <c r="AS56" s="562">
        <f t="shared" si="27"/>
        <v>5.0000000000000001E-3</v>
      </c>
      <c r="AT56" s="562">
        <f t="shared" si="27"/>
        <v>5.0000000000000001E-3</v>
      </c>
      <c r="AU56" s="562">
        <f t="shared" si="27"/>
        <v>5.0000000000000001E-3</v>
      </c>
      <c r="AV56" s="484">
        <v>5</v>
      </c>
      <c r="BA56" s="597"/>
      <c r="BB56" s="597"/>
      <c r="BC56" s="597"/>
    </row>
    <row r="57" spans="1:55" ht="14.4">
      <c r="B57" s="8" t="str">
        <f>Processes!D71</f>
        <v>MINWST</v>
      </c>
      <c r="C57" s="8" t="str">
        <f>Processes!E71</f>
        <v>Mining technology - Waste</v>
      </c>
      <c r="E57" s="216" t="str">
        <f t="shared" si="23"/>
        <v>WST</v>
      </c>
      <c r="F57" s="1119" t="str">
        <f t="shared" si="5"/>
        <v>MKr14</v>
      </c>
      <c r="G57" s="483">
        <f t="shared" si="24"/>
        <v>0.05</v>
      </c>
      <c r="H57" s="483">
        <f t="shared" si="24"/>
        <v>0.05</v>
      </c>
      <c r="I57" s="483">
        <f t="shared" si="24"/>
        <v>0.05</v>
      </c>
      <c r="J57" s="483">
        <f t="shared" si="24"/>
        <v>0.05</v>
      </c>
      <c r="K57" s="483">
        <f t="shared" si="24"/>
        <v>0.05</v>
      </c>
      <c r="L57" s="483">
        <f t="shared" si="24"/>
        <v>0.05</v>
      </c>
      <c r="M57" s="483">
        <f t="shared" si="24"/>
        <v>0.05</v>
      </c>
      <c r="N57" s="483">
        <f t="shared" si="24"/>
        <v>0.05</v>
      </c>
      <c r="O57" s="483">
        <f t="shared" si="24"/>
        <v>0.05</v>
      </c>
      <c r="P57" s="483">
        <f t="shared" si="24"/>
        <v>0.05</v>
      </c>
      <c r="Q57" s="483">
        <f t="shared" si="25"/>
        <v>0.05</v>
      </c>
      <c r="R57" s="483">
        <f t="shared" si="25"/>
        <v>0.05</v>
      </c>
      <c r="S57" s="483">
        <f t="shared" si="25"/>
        <v>0.05</v>
      </c>
      <c r="T57" s="483">
        <f t="shared" si="25"/>
        <v>0.05</v>
      </c>
      <c r="U57" s="483">
        <f t="shared" si="25"/>
        <v>0.05</v>
      </c>
      <c r="V57" s="483">
        <f t="shared" si="25"/>
        <v>0.05</v>
      </c>
      <c r="W57" s="483">
        <f t="shared" si="25"/>
        <v>0.05</v>
      </c>
      <c r="X57" s="483">
        <f t="shared" si="25"/>
        <v>0.05</v>
      </c>
      <c r="Y57" s="483">
        <f t="shared" si="25"/>
        <v>0.05</v>
      </c>
      <c r="Z57" s="483">
        <f t="shared" si="25"/>
        <v>0.05</v>
      </c>
      <c r="AA57" s="483">
        <f t="shared" si="26"/>
        <v>0.05</v>
      </c>
      <c r="AB57" s="483">
        <f t="shared" si="26"/>
        <v>0.05</v>
      </c>
      <c r="AC57" s="483">
        <f t="shared" si="26"/>
        <v>0.05</v>
      </c>
      <c r="AD57" s="483">
        <f t="shared" si="26"/>
        <v>0.05</v>
      </c>
      <c r="AE57" s="483">
        <f t="shared" si="26"/>
        <v>0.05</v>
      </c>
      <c r="AF57" s="483">
        <f t="shared" si="26"/>
        <v>0.05</v>
      </c>
      <c r="AG57" s="483">
        <f t="shared" si="26"/>
        <v>0.05</v>
      </c>
      <c r="AH57" s="483">
        <f t="shared" si="26"/>
        <v>0.05</v>
      </c>
      <c r="AI57" s="483">
        <f t="shared" si="26"/>
        <v>0.05</v>
      </c>
      <c r="AJ57" s="483">
        <f t="shared" si="26"/>
        <v>0.05</v>
      </c>
      <c r="AK57" s="483">
        <f t="shared" si="27"/>
        <v>0.05</v>
      </c>
      <c r="AL57" s="483">
        <f t="shared" si="27"/>
        <v>0.05</v>
      </c>
      <c r="AM57" s="483">
        <f t="shared" si="27"/>
        <v>0.05</v>
      </c>
      <c r="AN57" s="483">
        <f t="shared" si="27"/>
        <v>0.05</v>
      </c>
      <c r="AO57" s="483">
        <f t="shared" si="27"/>
        <v>0.05</v>
      </c>
      <c r="AP57" s="483">
        <f t="shared" si="27"/>
        <v>0.05</v>
      </c>
      <c r="AQ57" s="483">
        <f t="shared" si="27"/>
        <v>0.05</v>
      </c>
      <c r="AR57" s="483">
        <f t="shared" si="27"/>
        <v>0.05</v>
      </c>
      <c r="AS57" s="483">
        <f t="shared" si="27"/>
        <v>0.05</v>
      </c>
      <c r="AT57" s="483">
        <f t="shared" si="27"/>
        <v>0.05</v>
      </c>
      <c r="AU57" s="483">
        <f t="shared" si="27"/>
        <v>0.05</v>
      </c>
      <c r="AV57" s="484">
        <v>5</v>
      </c>
      <c r="BA57" s="597"/>
      <c r="BB57" s="597"/>
    </row>
    <row r="58" spans="1:55" ht="14.4">
      <c r="B58" s="8" t="str">
        <f>Processes!D72</f>
        <v>MINSTR</v>
      </c>
      <c r="C58" s="8" t="str">
        <f>Processes!E72</f>
        <v>Mining technology - Straw</v>
      </c>
      <c r="E58" s="216" t="str">
        <f t="shared" si="23"/>
        <v>STR</v>
      </c>
      <c r="F58" s="1119" t="str">
        <f t="shared" si="5"/>
        <v>MKr19</v>
      </c>
      <c r="G58" s="483">
        <f t="shared" ref="G58:G67" si="28">IFERROR(INDEX($G$122:$AU$177,MATCH($E58,$E$122:$E$177,0),MATCH(G$6,$G$121:$AU$121,0)),0)*$E$188</f>
        <v>39.424999999999997</v>
      </c>
      <c r="H58" s="483">
        <f t="shared" ref="H58:AU64" si="29">IFERROR(INDEX($G$122:$AU$177,MATCH($E58,$E$122:$E$177,0),MATCH(H$6,$G$121:$AU$121,0)),0)*$E$188</f>
        <v>39.424999999999997</v>
      </c>
      <c r="I58" s="483">
        <f t="shared" si="29"/>
        <v>39.424999999999997</v>
      </c>
      <c r="J58" s="483">
        <f t="shared" si="29"/>
        <v>39.14</v>
      </c>
      <c r="K58" s="483">
        <f t="shared" si="29"/>
        <v>38.76</v>
      </c>
      <c r="L58" s="483">
        <f t="shared" si="29"/>
        <v>38.475000000000001</v>
      </c>
      <c r="M58" s="483">
        <f t="shared" si="29"/>
        <v>38.854999999999997</v>
      </c>
      <c r="N58" s="483">
        <f t="shared" si="29"/>
        <v>39.33</v>
      </c>
      <c r="O58" s="483">
        <f t="shared" si="29"/>
        <v>39.553153152572932</v>
      </c>
      <c r="P58" s="483">
        <f t="shared" si="29"/>
        <v>39.553153152572932</v>
      </c>
      <c r="Q58" s="483">
        <f t="shared" si="29"/>
        <v>39.864326651741912</v>
      </c>
      <c r="R58" s="483">
        <f t="shared" si="29"/>
        <v>40.257118427780526</v>
      </c>
      <c r="S58" s="483">
        <f t="shared" si="29"/>
        <v>40.651641238518096</v>
      </c>
      <c r="T58" s="483">
        <f t="shared" si="29"/>
        <v>41.047775314379273</v>
      </c>
      <c r="U58" s="483">
        <f t="shared" si="29"/>
        <v>41.44540255411399</v>
      </c>
      <c r="V58" s="483">
        <f t="shared" si="29"/>
        <v>41.844406507497993</v>
      </c>
      <c r="W58" s="483">
        <f t="shared" si="29"/>
        <v>42.088317707337325</v>
      </c>
      <c r="X58" s="483">
        <f t="shared" si="29"/>
        <v>42.332426018634543</v>
      </c>
      <c r="Y58" s="483">
        <f t="shared" si="29"/>
        <v>42.576727554498127</v>
      </c>
      <c r="Z58" s="483">
        <f t="shared" si="29"/>
        <v>42.821218468877682</v>
      </c>
      <c r="AA58" s="483">
        <f t="shared" si="29"/>
        <v>43.065894956074864</v>
      </c>
      <c r="AB58" s="483">
        <f t="shared" si="29"/>
        <v>43.272067061620987</v>
      </c>
      <c r="AC58" s="483">
        <f t="shared" si="29"/>
        <v>43.478503697166701</v>
      </c>
      <c r="AD58" s="483">
        <f t="shared" si="29"/>
        <v>43.63940004633902</v>
      </c>
      <c r="AE58" s="483">
        <f t="shared" si="29"/>
        <v>43.787387959191499</v>
      </c>
      <c r="AF58" s="483">
        <f t="shared" si="29"/>
        <v>43.935341188637722</v>
      </c>
      <c r="AG58" s="483">
        <f t="shared" si="29"/>
        <v>44.070978690732581</v>
      </c>
      <c r="AH58" s="483">
        <f t="shared" si="29"/>
        <v>44.206575683566093</v>
      </c>
      <c r="AI58" s="483">
        <f t="shared" si="29"/>
        <v>44.342131579988035</v>
      </c>
      <c r="AJ58" s="483">
        <f t="shared" si="29"/>
        <v>44.477645798455178</v>
      </c>
      <c r="AK58" s="483">
        <f t="shared" si="29"/>
        <v>44.61311776297277</v>
      </c>
      <c r="AL58" s="483">
        <f t="shared" si="29"/>
        <v>44.61311776297277</v>
      </c>
      <c r="AM58" s="483">
        <f t="shared" si="29"/>
        <v>44.61311776297277</v>
      </c>
      <c r="AN58" s="483">
        <f t="shared" si="29"/>
        <v>44.61311776297277</v>
      </c>
      <c r="AO58" s="483">
        <f t="shared" si="29"/>
        <v>44.61311776297277</v>
      </c>
      <c r="AP58" s="483">
        <f t="shared" si="29"/>
        <v>44.61311776297277</v>
      </c>
      <c r="AQ58" s="483">
        <f t="shared" si="29"/>
        <v>44.61311776297277</v>
      </c>
      <c r="AR58" s="483">
        <f t="shared" si="29"/>
        <v>44.61311776297277</v>
      </c>
      <c r="AS58" s="483">
        <f t="shared" si="29"/>
        <v>44.61311776297277</v>
      </c>
      <c r="AT58" s="483">
        <f t="shared" si="29"/>
        <v>44.61311776297277</v>
      </c>
      <c r="AU58" s="483">
        <f t="shared" si="29"/>
        <v>44.61311776297277</v>
      </c>
      <c r="AV58" s="484">
        <v>5</v>
      </c>
      <c r="BA58" s="597"/>
      <c r="BB58" s="597"/>
    </row>
    <row r="59" spans="1:55" ht="14.4">
      <c r="B59" s="8" t="str">
        <f>Processes!D73</f>
        <v>MINGRS</v>
      </c>
      <c r="C59" s="8" t="str">
        <f>Processes!E73</f>
        <v>Mining technology - Grass</v>
      </c>
      <c r="D59" s="216"/>
      <c r="E59" s="216" t="str">
        <f t="shared" si="23"/>
        <v>GRS</v>
      </c>
      <c r="F59" s="1119" t="str">
        <f t="shared" si="5"/>
        <v>MKr14</v>
      </c>
      <c r="G59" s="483">
        <f t="shared" si="28"/>
        <v>39.424999999999997</v>
      </c>
      <c r="H59" s="483">
        <f t="shared" si="29"/>
        <v>39.424999999999997</v>
      </c>
      <c r="I59" s="483">
        <f t="shared" si="29"/>
        <v>39.424999999999997</v>
      </c>
      <c r="J59" s="483">
        <f t="shared" si="29"/>
        <v>39.14</v>
      </c>
      <c r="K59" s="483">
        <f t="shared" si="29"/>
        <v>38.76</v>
      </c>
      <c r="L59" s="483">
        <f t="shared" si="29"/>
        <v>38.475000000000001</v>
      </c>
      <c r="M59" s="483">
        <f t="shared" si="29"/>
        <v>38.854999999999997</v>
      </c>
      <c r="N59" s="483">
        <f t="shared" si="29"/>
        <v>39.33</v>
      </c>
      <c r="O59" s="483">
        <f t="shared" si="29"/>
        <v>39.553153152572932</v>
      </c>
      <c r="P59" s="483">
        <f t="shared" si="29"/>
        <v>39.553153152572932</v>
      </c>
      <c r="Q59" s="483">
        <f t="shared" si="29"/>
        <v>39.864326651741912</v>
      </c>
      <c r="R59" s="483">
        <f t="shared" si="29"/>
        <v>40.257118427780526</v>
      </c>
      <c r="S59" s="483">
        <f t="shared" si="29"/>
        <v>40.651641238518096</v>
      </c>
      <c r="T59" s="483">
        <f t="shared" si="29"/>
        <v>41.047775314379273</v>
      </c>
      <c r="U59" s="483">
        <f t="shared" si="29"/>
        <v>41.44540255411399</v>
      </c>
      <c r="V59" s="483">
        <f t="shared" si="29"/>
        <v>41.844406507497993</v>
      </c>
      <c r="W59" s="483">
        <f t="shared" si="29"/>
        <v>42.088317707337325</v>
      </c>
      <c r="X59" s="483">
        <f t="shared" si="29"/>
        <v>42.332426018634543</v>
      </c>
      <c r="Y59" s="483">
        <f t="shared" si="29"/>
        <v>42.576727554498127</v>
      </c>
      <c r="Z59" s="483">
        <f t="shared" si="29"/>
        <v>42.821218468877682</v>
      </c>
      <c r="AA59" s="483">
        <f t="shared" si="29"/>
        <v>43.065894956074864</v>
      </c>
      <c r="AB59" s="483">
        <f t="shared" si="29"/>
        <v>43.272067061620987</v>
      </c>
      <c r="AC59" s="483">
        <f t="shared" si="29"/>
        <v>43.478503697166701</v>
      </c>
      <c r="AD59" s="483">
        <f t="shared" si="29"/>
        <v>43.63940004633902</v>
      </c>
      <c r="AE59" s="483">
        <f t="shared" si="29"/>
        <v>43.787387959191499</v>
      </c>
      <c r="AF59" s="483">
        <f t="shared" si="29"/>
        <v>43.935341188637722</v>
      </c>
      <c r="AG59" s="483">
        <f t="shared" si="29"/>
        <v>44.070978690732581</v>
      </c>
      <c r="AH59" s="483">
        <f t="shared" si="29"/>
        <v>44.206575683566093</v>
      </c>
      <c r="AI59" s="483">
        <f t="shared" si="29"/>
        <v>44.342131579988035</v>
      </c>
      <c r="AJ59" s="483">
        <f t="shared" si="29"/>
        <v>44.477645798455178</v>
      </c>
      <c r="AK59" s="483">
        <f t="shared" si="29"/>
        <v>44.61311776297277</v>
      </c>
      <c r="AL59" s="483">
        <f t="shared" si="29"/>
        <v>44.61311776297277</v>
      </c>
      <c r="AM59" s="483">
        <f t="shared" si="29"/>
        <v>44.61311776297277</v>
      </c>
      <c r="AN59" s="483">
        <f t="shared" si="29"/>
        <v>44.61311776297277</v>
      </c>
      <c r="AO59" s="483">
        <f t="shared" si="29"/>
        <v>44.61311776297277</v>
      </c>
      <c r="AP59" s="483">
        <f t="shared" si="29"/>
        <v>44.61311776297277</v>
      </c>
      <c r="AQ59" s="483">
        <f t="shared" si="29"/>
        <v>44.61311776297277</v>
      </c>
      <c r="AR59" s="483">
        <f t="shared" si="29"/>
        <v>44.61311776297277</v>
      </c>
      <c r="AS59" s="483">
        <f t="shared" si="29"/>
        <v>44.61311776297277</v>
      </c>
      <c r="AT59" s="483">
        <f t="shared" si="29"/>
        <v>44.61311776297277</v>
      </c>
      <c r="AU59" s="483">
        <f t="shared" si="29"/>
        <v>44.61311776297277</v>
      </c>
      <c r="AV59" s="484">
        <v>5</v>
      </c>
      <c r="BA59" s="597"/>
      <c r="BB59" s="597"/>
    </row>
    <row r="60" spans="1:55" ht="14.4">
      <c r="B60" s="8" t="str">
        <f>Processes!D74</f>
        <v>MINWPE</v>
      </c>
      <c r="C60" s="8" t="str">
        <f>Processes!E74</f>
        <v>Mining technology - Wood pellets</v>
      </c>
      <c r="D60" s="216"/>
      <c r="E60" s="216" t="str">
        <f t="shared" si="23"/>
        <v>WPE</v>
      </c>
      <c r="F60" s="1119" t="str">
        <f t="shared" si="5"/>
        <v>MKr19</v>
      </c>
      <c r="G60" s="483">
        <f t="shared" si="28"/>
        <v>70.015000000000001</v>
      </c>
      <c r="H60" s="483">
        <f t="shared" si="29"/>
        <v>70.015000000000001</v>
      </c>
      <c r="I60" s="483">
        <f t="shared" si="29"/>
        <v>70.015000000000001</v>
      </c>
      <c r="J60" s="483">
        <f t="shared" si="29"/>
        <v>69.064999999999998</v>
      </c>
      <c r="K60" s="483">
        <f t="shared" si="29"/>
        <v>68.209999999999994</v>
      </c>
      <c r="L60" s="483">
        <f t="shared" si="29"/>
        <v>67.259999999999991</v>
      </c>
      <c r="M60" s="483">
        <f t="shared" si="29"/>
        <v>67.64</v>
      </c>
      <c r="N60" s="483">
        <f t="shared" si="29"/>
        <v>68.02</v>
      </c>
      <c r="O60" s="483">
        <f t="shared" si="29"/>
        <v>66.020146242702353</v>
      </c>
      <c r="P60" s="483">
        <f t="shared" si="29"/>
        <v>65.96136818516834</v>
      </c>
      <c r="Q60" s="483">
        <f t="shared" si="29"/>
        <v>56.914684416651603</v>
      </c>
      <c r="R60" s="483">
        <f t="shared" si="29"/>
        <v>59.711627192732756</v>
      </c>
      <c r="S60" s="483">
        <f t="shared" si="29"/>
        <v>60.013888268314545</v>
      </c>
      <c r="T60" s="483">
        <f t="shared" si="29"/>
        <v>59.354930887874318</v>
      </c>
      <c r="U60" s="483">
        <f t="shared" si="29"/>
        <v>59.035222491122838</v>
      </c>
      <c r="V60" s="483">
        <f t="shared" si="29"/>
        <v>58.74841506580303</v>
      </c>
      <c r="W60" s="483">
        <f t="shared" si="29"/>
        <v>58.481086742367445</v>
      </c>
      <c r="X60" s="483">
        <f t="shared" si="29"/>
        <v>58.239324610762822</v>
      </c>
      <c r="Y60" s="483">
        <f t="shared" si="29"/>
        <v>58.021371524421873</v>
      </c>
      <c r="Z60" s="483">
        <f t="shared" si="29"/>
        <v>57.835820760328922</v>
      </c>
      <c r="AA60" s="483">
        <f t="shared" si="29"/>
        <v>57.670584214255001</v>
      </c>
      <c r="AB60" s="483">
        <f t="shared" si="29"/>
        <v>57.669113952551044</v>
      </c>
      <c r="AC60" s="483">
        <f t="shared" si="29"/>
        <v>57.667421376427306</v>
      </c>
      <c r="AD60" s="483">
        <f t="shared" si="29"/>
        <v>57.665509674562891</v>
      </c>
      <c r="AE60" s="483">
        <f t="shared" si="29"/>
        <v>57.663381980957837</v>
      </c>
      <c r="AF60" s="483">
        <f t="shared" si="29"/>
        <v>57.661041375510997</v>
      </c>
      <c r="AG60" s="483">
        <f t="shared" si="29"/>
        <v>57.65544812020616</v>
      </c>
      <c r="AH60" s="483">
        <f t="shared" si="29"/>
        <v>57.649697437970978</v>
      </c>
      <c r="AI60" s="483">
        <f t="shared" si="29"/>
        <v>57.643792171361397</v>
      </c>
      <c r="AJ60" s="483">
        <f t="shared" si="29"/>
        <v>57.637735107495111</v>
      </c>
      <c r="AK60" s="483">
        <f t="shared" si="29"/>
        <v>57.631528978823219</v>
      </c>
      <c r="AL60" s="483">
        <f t="shared" si="29"/>
        <v>57.642160026944858</v>
      </c>
      <c r="AM60" s="483">
        <f t="shared" si="29"/>
        <v>57.652670836265216</v>
      </c>
      <c r="AN60" s="483">
        <f t="shared" si="29"/>
        <v>57.663062920789976</v>
      </c>
      <c r="AO60" s="483">
        <f t="shared" si="29"/>
        <v>57.67333776272897</v>
      </c>
      <c r="AP60" s="483">
        <f t="shared" si="29"/>
        <v>57.683496812826789</v>
      </c>
      <c r="AQ60" s="483">
        <f t="shared" si="29"/>
        <v>57.735587537358441</v>
      </c>
      <c r="AR60" s="483">
        <f t="shared" si="29"/>
        <v>57.78734511269969</v>
      </c>
      <c r="AS60" s="483">
        <f t="shared" si="29"/>
        <v>57.838771147246518</v>
      </c>
      <c r="AT60" s="483">
        <f t="shared" si="29"/>
        <v>57.889867215086504</v>
      </c>
      <c r="AU60" s="483">
        <f t="shared" si="29"/>
        <v>57.940634856356873</v>
      </c>
      <c r="AV60" s="484">
        <v>5</v>
      </c>
      <c r="BA60" s="597"/>
      <c r="BB60" s="597"/>
      <c r="BC60" s="597"/>
    </row>
    <row r="61" spans="1:55" ht="14.4">
      <c r="B61" s="8" t="str">
        <f>Processes!D75</f>
        <v>MINWCH</v>
      </c>
      <c r="C61" s="8" t="str">
        <f>Processes!E75</f>
        <v>Mining technology - Wood chips and wood waste</v>
      </c>
      <c r="D61" s="216"/>
      <c r="E61" s="216" t="str">
        <f t="shared" si="23"/>
        <v>WCH</v>
      </c>
      <c r="F61" s="1119" t="str">
        <f t="shared" si="5"/>
        <v>MKr19</v>
      </c>
      <c r="G61" s="483">
        <f t="shared" si="28"/>
        <v>43.699999999999996</v>
      </c>
      <c r="H61" s="483">
        <f t="shared" si="29"/>
        <v>43.699999999999996</v>
      </c>
      <c r="I61" s="483">
        <f t="shared" si="29"/>
        <v>43.699999999999996</v>
      </c>
      <c r="J61" s="483">
        <f t="shared" si="29"/>
        <v>43.414999999999999</v>
      </c>
      <c r="K61" s="483">
        <f t="shared" si="29"/>
        <v>43.034999999999997</v>
      </c>
      <c r="L61" s="483">
        <f t="shared" si="29"/>
        <v>42.654999999999994</v>
      </c>
      <c r="M61" s="483">
        <f t="shared" si="29"/>
        <v>43.129999999999995</v>
      </c>
      <c r="N61" s="483">
        <f t="shared" si="29"/>
        <v>43.604999999999997</v>
      </c>
      <c r="O61" s="483">
        <f t="shared" si="29"/>
        <v>42.920498592365362</v>
      </c>
      <c r="P61" s="483">
        <f t="shared" si="29"/>
        <v>42.86172053483137</v>
      </c>
      <c r="Q61" s="483">
        <f t="shared" si="29"/>
        <v>42.985970217976949</v>
      </c>
      <c r="R61" s="483">
        <f t="shared" si="29"/>
        <v>42.930737621218739</v>
      </c>
      <c r="S61" s="483">
        <f t="shared" si="29"/>
        <v>43.122515400049686</v>
      </c>
      <c r="T61" s="483">
        <f t="shared" si="29"/>
        <v>43.362212229388248</v>
      </c>
      <c r="U61" s="483">
        <f t="shared" si="29"/>
        <v>43.62686434319582</v>
      </c>
      <c r="V61" s="483">
        <f t="shared" si="29"/>
        <v>43.896651372185751</v>
      </c>
      <c r="W61" s="483">
        <f t="shared" si="29"/>
        <v>44.09874443125387</v>
      </c>
      <c r="X61" s="483">
        <f t="shared" si="29"/>
        <v>44.299506357634684</v>
      </c>
      <c r="Y61" s="483">
        <f t="shared" si="29"/>
        <v>44.497928296919504</v>
      </c>
      <c r="Z61" s="483">
        <f t="shared" si="29"/>
        <v>44.701341711419417</v>
      </c>
      <c r="AA61" s="483">
        <f t="shared" si="29"/>
        <v>44.899951064987313</v>
      </c>
      <c r="AB61" s="483">
        <f t="shared" si="29"/>
        <v>44.995010804955093</v>
      </c>
      <c r="AC61" s="483">
        <f t="shared" si="29"/>
        <v>45.089896386301845</v>
      </c>
      <c r="AD61" s="483">
        <f t="shared" si="29"/>
        <v>45.184608919645179</v>
      </c>
      <c r="AE61" s="483">
        <f t="shared" si="29"/>
        <v>45.279149498086021</v>
      </c>
      <c r="AF61" s="483">
        <f t="shared" si="29"/>
        <v>45.373519197394238</v>
      </c>
      <c r="AG61" s="483">
        <f t="shared" si="29"/>
        <v>45.468479823575379</v>
      </c>
      <c r="AH61" s="483">
        <f t="shared" si="29"/>
        <v>45.5631628821723</v>
      </c>
      <c r="AI61" s="483">
        <f t="shared" si="29"/>
        <v>45.657570209274184</v>
      </c>
      <c r="AJ61" s="483">
        <f t="shared" si="29"/>
        <v>45.75170361599077</v>
      </c>
      <c r="AK61" s="483">
        <f t="shared" si="29"/>
        <v>45.845564888719998</v>
      </c>
      <c r="AL61" s="483">
        <f t="shared" si="29"/>
        <v>45.958745378603254</v>
      </c>
      <c r="AM61" s="483">
        <f t="shared" si="29"/>
        <v>46.071499911718661</v>
      </c>
      <c r="AN61" s="483">
        <f t="shared" si="29"/>
        <v>46.183831178905827</v>
      </c>
      <c r="AO61" s="483">
        <f t="shared" si="29"/>
        <v>46.295741837125888</v>
      </c>
      <c r="AP61" s="483">
        <f t="shared" si="29"/>
        <v>46.407234509827518</v>
      </c>
      <c r="AQ61" s="483">
        <f t="shared" si="29"/>
        <v>46.573346077925379</v>
      </c>
      <c r="AR61" s="483">
        <f t="shared" si="29"/>
        <v>46.738783513499861</v>
      </c>
      <c r="AS61" s="483">
        <f t="shared" si="29"/>
        <v>46.903550518626702</v>
      </c>
      <c r="AT61" s="483">
        <f t="shared" si="29"/>
        <v>47.067650750859954</v>
      </c>
      <c r="AU61" s="483">
        <f t="shared" si="29"/>
        <v>47.231087823716685</v>
      </c>
      <c r="AV61" s="484">
        <v>5</v>
      </c>
    </row>
    <row r="62" spans="1:55" ht="14.4">
      <c r="B62" s="8" t="str">
        <f>Processes!D76</f>
        <v>MINFIW</v>
      </c>
      <c r="C62" s="8" t="str">
        <f>Processes!E76</f>
        <v>Mining technology - Firewood</v>
      </c>
      <c r="D62" s="216"/>
      <c r="E62" s="216" t="str">
        <f t="shared" si="23"/>
        <v>FIW</v>
      </c>
      <c r="F62" s="1119" t="str">
        <f t="shared" si="5"/>
        <v>MKr14</v>
      </c>
      <c r="G62" s="483">
        <f t="shared" si="28"/>
        <v>10.924999999999999</v>
      </c>
      <c r="H62" s="483">
        <f t="shared" si="29"/>
        <v>10.924999999999999</v>
      </c>
      <c r="I62" s="483">
        <f t="shared" si="29"/>
        <v>10.924999999999999</v>
      </c>
      <c r="J62" s="483">
        <f t="shared" si="29"/>
        <v>10.85375</v>
      </c>
      <c r="K62" s="483">
        <f t="shared" si="29"/>
        <v>10.758749999999999</v>
      </c>
      <c r="L62" s="483">
        <f t="shared" si="29"/>
        <v>10.663749999999999</v>
      </c>
      <c r="M62" s="483">
        <f t="shared" si="29"/>
        <v>10.782499999999999</v>
      </c>
      <c r="N62" s="483">
        <f t="shared" si="29"/>
        <v>10.901249999999999</v>
      </c>
      <c r="O62" s="483">
        <f t="shared" si="29"/>
        <v>10.730124648091341</v>
      </c>
      <c r="P62" s="483">
        <f t="shared" si="29"/>
        <v>10.715430133707843</v>
      </c>
      <c r="Q62" s="483">
        <f t="shared" si="29"/>
        <v>10.746492554494237</v>
      </c>
      <c r="R62" s="483">
        <f t="shared" si="29"/>
        <v>10.732684405304685</v>
      </c>
      <c r="S62" s="483">
        <f t="shared" si="29"/>
        <v>10.780628850012421</v>
      </c>
      <c r="T62" s="483">
        <f t="shared" si="29"/>
        <v>10.840553057347062</v>
      </c>
      <c r="U62" s="483">
        <f t="shared" si="29"/>
        <v>10.906716085798955</v>
      </c>
      <c r="V62" s="483">
        <f t="shared" si="29"/>
        <v>10.974162843046438</v>
      </c>
      <c r="W62" s="483">
        <f t="shared" si="29"/>
        <v>11.024686107813467</v>
      </c>
      <c r="X62" s="483">
        <f t="shared" si="29"/>
        <v>11.074876589408671</v>
      </c>
      <c r="Y62" s="483">
        <f t="shared" si="29"/>
        <v>11.124482074229876</v>
      </c>
      <c r="Z62" s="483">
        <f t="shared" si="29"/>
        <v>11.175335427854854</v>
      </c>
      <c r="AA62" s="483">
        <f t="shared" si="29"/>
        <v>11.224987766246828</v>
      </c>
      <c r="AB62" s="483">
        <f t="shared" si="29"/>
        <v>11.248752701238773</v>
      </c>
      <c r="AC62" s="483">
        <f t="shared" si="29"/>
        <v>11.272474096575461</v>
      </c>
      <c r="AD62" s="483">
        <f t="shared" si="29"/>
        <v>11.296152229911295</v>
      </c>
      <c r="AE62" s="483">
        <f t="shared" si="29"/>
        <v>11.319787374521505</v>
      </c>
      <c r="AF62" s="483">
        <f t="shared" si="29"/>
        <v>11.343379799348559</v>
      </c>
      <c r="AG62" s="483">
        <f t="shared" si="29"/>
        <v>11.367119955893845</v>
      </c>
      <c r="AH62" s="483">
        <f t="shared" si="29"/>
        <v>11.390790720543075</v>
      </c>
      <c r="AI62" s="483">
        <f t="shared" si="29"/>
        <v>11.414392552318546</v>
      </c>
      <c r="AJ62" s="483">
        <f t="shared" si="29"/>
        <v>11.437925903997693</v>
      </c>
      <c r="AK62" s="483">
        <f t="shared" si="29"/>
        <v>11.46139122218</v>
      </c>
      <c r="AL62" s="483">
        <f t="shared" si="29"/>
        <v>11.489686344650814</v>
      </c>
      <c r="AM62" s="483">
        <f t="shared" si="29"/>
        <v>11.517874977929665</v>
      </c>
      <c r="AN62" s="483">
        <f t="shared" si="29"/>
        <v>11.545957794726457</v>
      </c>
      <c r="AO62" s="483">
        <f t="shared" si="29"/>
        <v>11.573935459281472</v>
      </c>
      <c r="AP62" s="483">
        <f t="shared" si="29"/>
        <v>11.601808627456879</v>
      </c>
      <c r="AQ62" s="483">
        <f t="shared" si="29"/>
        <v>11.643336519481345</v>
      </c>
      <c r="AR62" s="483">
        <f t="shared" si="29"/>
        <v>11.684695878374965</v>
      </c>
      <c r="AS62" s="483">
        <f t="shared" si="29"/>
        <v>11.725887629656675</v>
      </c>
      <c r="AT62" s="483">
        <f t="shared" si="29"/>
        <v>11.766912687714989</v>
      </c>
      <c r="AU62" s="483">
        <f t="shared" si="29"/>
        <v>11.807771955929171</v>
      </c>
      <c r="AV62" s="484">
        <v>5</v>
      </c>
    </row>
    <row r="63" spans="1:55" ht="14.4">
      <c r="B63" s="8" t="str">
        <f>Processes!D77</f>
        <v>MINCRN</v>
      </c>
      <c r="C63" s="8" t="str">
        <f>Processes!E77</f>
        <v>Mining technology - Corn</v>
      </c>
      <c r="D63" s="216"/>
      <c r="E63" s="216" t="str">
        <f t="shared" si="23"/>
        <v>CRN</v>
      </c>
      <c r="F63" s="1119" t="str">
        <f t="shared" si="5"/>
        <v>MKr14</v>
      </c>
      <c r="G63" s="483">
        <f t="shared" si="28"/>
        <v>68.78</v>
      </c>
      <c r="H63" s="483">
        <f t="shared" si="29"/>
        <v>68.78</v>
      </c>
      <c r="I63" s="483">
        <f t="shared" si="29"/>
        <v>68.78</v>
      </c>
      <c r="J63" s="483">
        <f t="shared" si="29"/>
        <v>68.78</v>
      </c>
      <c r="K63" s="483">
        <f t="shared" si="29"/>
        <v>68.78</v>
      </c>
      <c r="L63" s="483">
        <f t="shared" si="29"/>
        <v>68.78</v>
      </c>
      <c r="M63" s="483">
        <f t="shared" si="29"/>
        <v>68.78</v>
      </c>
      <c r="N63" s="483">
        <f t="shared" si="29"/>
        <v>68.78</v>
      </c>
      <c r="O63" s="483">
        <f t="shared" si="29"/>
        <v>68.78</v>
      </c>
      <c r="P63" s="483">
        <f t="shared" si="29"/>
        <v>68.78</v>
      </c>
      <c r="Q63" s="483">
        <f t="shared" si="29"/>
        <v>68.78</v>
      </c>
      <c r="R63" s="483">
        <f t="shared" si="29"/>
        <v>68.78</v>
      </c>
      <c r="S63" s="483">
        <f t="shared" si="29"/>
        <v>68.78</v>
      </c>
      <c r="T63" s="483">
        <f t="shared" si="29"/>
        <v>68.78</v>
      </c>
      <c r="U63" s="483">
        <f t="shared" si="29"/>
        <v>68.78</v>
      </c>
      <c r="V63" s="483">
        <f t="shared" si="29"/>
        <v>68.78</v>
      </c>
      <c r="W63" s="483">
        <f t="shared" si="29"/>
        <v>68.78</v>
      </c>
      <c r="X63" s="483">
        <f t="shared" si="29"/>
        <v>68.78</v>
      </c>
      <c r="Y63" s="483">
        <f t="shared" si="29"/>
        <v>68.78</v>
      </c>
      <c r="Z63" s="483">
        <f t="shared" si="29"/>
        <v>68.78</v>
      </c>
      <c r="AA63" s="483">
        <f t="shared" si="29"/>
        <v>68.78</v>
      </c>
      <c r="AB63" s="483">
        <f t="shared" si="29"/>
        <v>68.78</v>
      </c>
      <c r="AC63" s="483">
        <f t="shared" si="29"/>
        <v>68.78</v>
      </c>
      <c r="AD63" s="483">
        <f t="shared" si="29"/>
        <v>68.78</v>
      </c>
      <c r="AE63" s="483">
        <f t="shared" si="29"/>
        <v>68.78</v>
      </c>
      <c r="AF63" s="483">
        <f t="shared" si="29"/>
        <v>68.78</v>
      </c>
      <c r="AG63" s="483">
        <f t="shared" si="29"/>
        <v>68.78</v>
      </c>
      <c r="AH63" s="483">
        <f t="shared" si="29"/>
        <v>68.78</v>
      </c>
      <c r="AI63" s="483">
        <f t="shared" si="29"/>
        <v>68.78</v>
      </c>
      <c r="AJ63" s="483">
        <f t="shared" si="29"/>
        <v>68.78</v>
      </c>
      <c r="AK63" s="483">
        <f t="shared" si="29"/>
        <v>68.78</v>
      </c>
      <c r="AL63" s="483">
        <f t="shared" si="29"/>
        <v>68.78</v>
      </c>
      <c r="AM63" s="483">
        <f t="shared" si="29"/>
        <v>68.78</v>
      </c>
      <c r="AN63" s="483">
        <f t="shared" si="29"/>
        <v>68.78</v>
      </c>
      <c r="AO63" s="483">
        <f t="shared" si="29"/>
        <v>68.78</v>
      </c>
      <c r="AP63" s="483">
        <f t="shared" si="29"/>
        <v>68.78</v>
      </c>
      <c r="AQ63" s="483">
        <f t="shared" si="29"/>
        <v>68.78</v>
      </c>
      <c r="AR63" s="483">
        <f t="shared" si="29"/>
        <v>68.78</v>
      </c>
      <c r="AS63" s="483">
        <f t="shared" si="29"/>
        <v>68.78</v>
      </c>
      <c r="AT63" s="483">
        <f t="shared" si="29"/>
        <v>68.78</v>
      </c>
      <c r="AU63" s="483">
        <f t="shared" si="29"/>
        <v>68.78</v>
      </c>
      <c r="AV63" s="484">
        <v>5</v>
      </c>
    </row>
    <row r="64" spans="1:55" ht="14.4">
      <c r="B64" s="8" t="str">
        <f>Processes!D78</f>
        <v>MINRPS</v>
      </c>
      <c r="C64" s="8" t="str">
        <f>Processes!E78</f>
        <v>Mining technology - Rapeseed</v>
      </c>
      <c r="D64" s="216"/>
      <c r="E64" s="216" t="str">
        <f t="shared" si="23"/>
        <v>RPS</v>
      </c>
      <c r="F64" s="1119" t="str">
        <f t="shared" si="5"/>
        <v>MKr14</v>
      </c>
      <c r="G64" s="483">
        <f t="shared" si="28"/>
        <v>96.614999999999995</v>
      </c>
      <c r="H64" s="483">
        <f t="shared" si="29"/>
        <v>96.614999999999995</v>
      </c>
      <c r="I64" s="483">
        <f t="shared" si="29"/>
        <v>96.614999999999995</v>
      </c>
      <c r="J64" s="483">
        <f t="shared" si="29"/>
        <v>96.614999999999995</v>
      </c>
      <c r="K64" s="483">
        <f t="shared" si="29"/>
        <v>96.614999999999995</v>
      </c>
      <c r="L64" s="483">
        <f t="shared" si="29"/>
        <v>96.614999999999995</v>
      </c>
      <c r="M64" s="483">
        <f t="shared" si="29"/>
        <v>96.614999999999995</v>
      </c>
      <c r="N64" s="483">
        <f t="shared" si="29"/>
        <v>96.614999999999995</v>
      </c>
      <c r="O64" s="483">
        <f t="shared" si="29"/>
        <v>96.614999999999995</v>
      </c>
      <c r="P64" s="483">
        <f t="shared" si="29"/>
        <v>96.614999999999995</v>
      </c>
      <c r="Q64" s="483">
        <f t="shared" si="29"/>
        <v>96.614999999999995</v>
      </c>
      <c r="R64" s="483">
        <f t="shared" si="29"/>
        <v>96.614999999999995</v>
      </c>
      <c r="S64" s="483">
        <f t="shared" si="29"/>
        <v>96.614999999999995</v>
      </c>
      <c r="T64" s="483">
        <f t="shared" si="29"/>
        <v>96.614999999999995</v>
      </c>
      <c r="U64" s="483">
        <f t="shared" si="29"/>
        <v>96.614999999999995</v>
      </c>
      <c r="V64" s="483">
        <f t="shared" si="29"/>
        <v>96.614999999999995</v>
      </c>
      <c r="W64" s="483">
        <f t="shared" ref="W64:AU67" si="30">IFERROR(INDEX($G$122:$AU$177,MATCH($E64,$E$122:$E$177,0),MATCH(W$6,$G$121:$AU$121,0)),0)*$E$188</f>
        <v>96.614999999999995</v>
      </c>
      <c r="X64" s="483">
        <f t="shared" si="30"/>
        <v>96.614999999999995</v>
      </c>
      <c r="Y64" s="483">
        <f t="shared" si="30"/>
        <v>96.614999999999995</v>
      </c>
      <c r="Z64" s="483">
        <f t="shared" si="30"/>
        <v>96.614999999999995</v>
      </c>
      <c r="AA64" s="483">
        <f t="shared" si="30"/>
        <v>96.614999999999995</v>
      </c>
      <c r="AB64" s="483">
        <f t="shared" si="30"/>
        <v>96.614999999999995</v>
      </c>
      <c r="AC64" s="483">
        <f t="shared" si="30"/>
        <v>96.614999999999995</v>
      </c>
      <c r="AD64" s="483">
        <f t="shared" si="30"/>
        <v>96.614999999999995</v>
      </c>
      <c r="AE64" s="483">
        <f t="shared" si="30"/>
        <v>96.614999999999995</v>
      </c>
      <c r="AF64" s="483">
        <f t="shared" si="30"/>
        <v>96.614999999999995</v>
      </c>
      <c r="AG64" s="483">
        <f t="shared" si="30"/>
        <v>96.614999999999995</v>
      </c>
      <c r="AH64" s="483">
        <f t="shared" si="30"/>
        <v>96.614999999999995</v>
      </c>
      <c r="AI64" s="483">
        <f t="shared" si="30"/>
        <v>96.614999999999995</v>
      </c>
      <c r="AJ64" s="483">
        <f t="shared" si="30"/>
        <v>96.614999999999995</v>
      </c>
      <c r="AK64" s="483">
        <f t="shared" si="30"/>
        <v>96.614999999999995</v>
      </c>
      <c r="AL64" s="483">
        <f t="shared" si="30"/>
        <v>96.614999999999995</v>
      </c>
      <c r="AM64" s="483">
        <f t="shared" si="30"/>
        <v>96.614999999999995</v>
      </c>
      <c r="AN64" s="483">
        <f t="shared" si="30"/>
        <v>96.614999999999995</v>
      </c>
      <c r="AO64" s="483">
        <f t="shared" si="30"/>
        <v>96.614999999999995</v>
      </c>
      <c r="AP64" s="483">
        <f t="shared" si="30"/>
        <v>96.614999999999995</v>
      </c>
      <c r="AQ64" s="483">
        <f t="shared" si="30"/>
        <v>96.614999999999995</v>
      </c>
      <c r="AR64" s="483">
        <f t="shared" si="30"/>
        <v>96.614999999999995</v>
      </c>
      <c r="AS64" s="483">
        <f t="shared" si="30"/>
        <v>96.614999999999995</v>
      </c>
      <c r="AT64" s="483">
        <f t="shared" si="30"/>
        <v>96.614999999999995</v>
      </c>
      <c r="AU64" s="483">
        <f t="shared" si="30"/>
        <v>96.614999999999995</v>
      </c>
      <c r="AV64" s="484">
        <v>5</v>
      </c>
    </row>
    <row r="65" spans="2:119" ht="14.4">
      <c r="B65" s="8" t="str">
        <f>Processes!D79</f>
        <v>MINSGB</v>
      </c>
      <c r="C65" s="8" t="str">
        <f>Processes!E79</f>
        <v>Mining technology - Sugar Beet</v>
      </c>
      <c r="D65" s="216"/>
      <c r="E65" s="216" t="str">
        <f t="shared" si="23"/>
        <v>SGB</v>
      </c>
      <c r="F65" s="1119" t="str">
        <f t="shared" si="5"/>
        <v>MKr14</v>
      </c>
      <c r="G65" s="483">
        <f t="shared" si="28"/>
        <v>10.069999999999999</v>
      </c>
      <c r="H65" s="483">
        <f t="shared" ref="H65:V67" si="31">IFERROR(INDEX($G$122:$AU$177,MATCH($E65,$E$122:$E$177,0),MATCH(H$6,$G$121:$AU$121,0)),0)*$E$188</f>
        <v>10.069999999999999</v>
      </c>
      <c r="I65" s="483">
        <f t="shared" si="31"/>
        <v>10.069999999999999</v>
      </c>
      <c r="J65" s="483">
        <f t="shared" si="31"/>
        <v>10.069999999999999</v>
      </c>
      <c r="K65" s="483">
        <f t="shared" si="31"/>
        <v>10.069999999999999</v>
      </c>
      <c r="L65" s="483">
        <f t="shared" si="31"/>
        <v>10.069999999999999</v>
      </c>
      <c r="M65" s="483">
        <f t="shared" si="31"/>
        <v>10.069999999999999</v>
      </c>
      <c r="N65" s="483">
        <f t="shared" si="31"/>
        <v>10.069999999999999</v>
      </c>
      <c r="O65" s="483">
        <f t="shared" si="31"/>
        <v>10.069999999999999</v>
      </c>
      <c r="P65" s="483">
        <f t="shared" si="31"/>
        <v>10.069999999999999</v>
      </c>
      <c r="Q65" s="483">
        <f t="shared" si="31"/>
        <v>10.069999999999999</v>
      </c>
      <c r="R65" s="483">
        <f t="shared" si="31"/>
        <v>10.069999999999999</v>
      </c>
      <c r="S65" s="483">
        <f t="shared" si="31"/>
        <v>10.069999999999999</v>
      </c>
      <c r="T65" s="483">
        <f t="shared" si="31"/>
        <v>10.069999999999999</v>
      </c>
      <c r="U65" s="483">
        <f t="shared" si="31"/>
        <v>10.069999999999999</v>
      </c>
      <c r="V65" s="483">
        <f t="shared" si="31"/>
        <v>10.069999999999999</v>
      </c>
      <c r="W65" s="483">
        <f t="shared" si="30"/>
        <v>10.069999999999999</v>
      </c>
      <c r="X65" s="483">
        <f t="shared" si="30"/>
        <v>10.069999999999999</v>
      </c>
      <c r="Y65" s="483">
        <f t="shared" si="30"/>
        <v>10.069999999999999</v>
      </c>
      <c r="Z65" s="483">
        <f t="shared" si="30"/>
        <v>10.069999999999999</v>
      </c>
      <c r="AA65" s="483">
        <f t="shared" si="30"/>
        <v>10.069999999999999</v>
      </c>
      <c r="AB65" s="483">
        <f t="shared" si="30"/>
        <v>10.069999999999999</v>
      </c>
      <c r="AC65" s="483">
        <f t="shared" si="30"/>
        <v>10.069999999999999</v>
      </c>
      <c r="AD65" s="483">
        <f t="shared" si="30"/>
        <v>10.069999999999999</v>
      </c>
      <c r="AE65" s="483">
        <f t="shared" si="30"/>
        <v>10.069999999999999</v>
      </c>
      <c r="AF65" s="483">
        <f t="shared" si="30"/>
        <v>10.069999999999999</v>
      </c>
      <c r="AG65" s="483">
        <f t="shared" si="30"/>
        <v>10.069999999999999</v>
      </c>
      <c r="AH65" s="483">
        <f t="shared" si="30"/>
        <v>10.069999999999999</v>
      </c>
      <c r="AI65" s="483">
        <f t="shared" si="30"/>
        <v>10.069999999999999</v>
      </c>
      <c r="AJ65" s="483">
        <f t="shared" si="30"/>
        <v>10.069999999999999</v>
      </c>
      <c r="AK65" s="483">
        <f t="shared" si="30"/>
        <v>10.069999999999999</v>
      </c>
      <c r="AL65" s="483">
        <f t="shared" si="30"/>
        <v>10.069999999999999</v>
      </c>
      <c r="AM65" s="483">
        <f t="shared" si="30"/>
        <v>10.069999999999999</v>
      </c>
      <c r="AN65" s="483">
        <f t="shared" si="30"/>
        <v>10.069999999999999</v>
      </c>
      <c r="AO65" s="483">
        <f t="shared" si="30"/>
        <v>10.069999999999999</v>
      </c>
      <c r="AP65" s="483">
        <f t="shared" si="30"/>
        <v>10.069999999999999</v>
      </c>
      <c r="AQ65" s="483">
        <f t="shared" si="30"/>
        <v>10.069999999999999</v>
      </c>
      <c r="AR65" s="483">
        <f t="shared" si="30"/>
        <v>10.069999999999999</v>
      </c>
      <c r="AS65" s="483">
        <f t="shared" si="30"/>
        <v>10.069999999999999</v>
      </c>
      <c r="AT65" s="483">
        <f t="shared" si="30"/>
        <v>10.069999999999999</v>
      </c>
      <c r="AU65" s="483">
        <f t="shared" si="30"/>
        <v>10.069999999999999</v>
      </c>
      <c r="AV65" s="484">
        <v>5</v>
      </c>
    </row>
    <row r="66" spans="2:119" ht="14.4">
      <c r="B66" s="8" t="str">
        <f>Processes!D80</f>
        <v>MINDLI</v>
      </c>
      <c r="C66" s="8" t="str">
        <f>Processes!E80</f>
        <v>Mining technology - Deep Litter</v>
      </c>
      <c r="D66" s="216"/>
      <c r="E66" s="216" t="str">
        <f t="shared" si="23"/>
        <v>DLI</v>
      </c>
      <c r="F66" s="1119" t="str">
        <f t="shared" si="5"/>
        <v>MKr14</v>
      </c>
      <c r="G66" s="483">
        <f t="shared" si="28"/>
        <v>9.4999999999999998E-3</v>
      </c>
      <c r="H66" s="483">
        <f t="shared" si="31"/>
        <v>9.4999999999999998E-3</v>
      </c>
      <c r="I66" s="483">
        <f t="shared" si="31"/>
        <v>9.4999999999999998E-3</v>
      </c>
      <c r="J66" s="483">
        <f t="shared" si="31"/>
        <v>9.4999999999999998E-3</v>
      </c>
      <c r="K66" s="483">
        <f t="shared" si="31"/>
        <v>9.4999999999999998E-3</v>
      </c>
      <c r="L66" s="483">
        <f t="shared" si="31"/>
        <v>9.4999999999999998E-3</v>
      </c>
      <c r="M66" s="483">
        <f t="shared" si="31"/>
        <v>9.4999999999999998E-3</v>
      </c>
      <c r="N66" s="483">
        <f t="shared" si="31"/>
        <v>9.4999999999999998E-3</v>
      </c>
      <c r="O66" s="483">
        <f t="shared" si="31"/>
        <v>9.4999999999999998E-3</v>
      </c>
      <c r="P66" s="483">
        <f t="shared" si="31"/>
        <v>9.4999999999999998E-3</v>
      </c>
      <c r="Q66" s="483">
        <f t="shared" si="31"/>
        <v>9.4999999999999998E-3</v>
      </c>
      <c r="R66" s="483">
        <f t="shared" si="31"/>
        <v>9.4999999999999998E-3</v>
      </c>
      <c r="S66" s="483">
        <f t="shared" si="31"/>
        <v>9.4999999999999998E-3</v>
      </c>
      <c r="T66" s="483">
        <f t="shared" si="31"/>
        <v>9.4999999999999998E-3</v>
      </c>
      <c r="U66" s="483">
        <f t="shared" si="31"/>
        <v>9.4999999999999998E-3</v>
      </c>
      <c r="V66" s="483">
        <f t="shared" si="31"/>
        <v>9.4999999999999998E-3</v>
      </c>
      <c r="W66" s="483">
        <f t="shared" si="30"/>
        <v>9.4999999999999998E-3</v>
      </c>
      <c r="X66" s="483">
        <f t="shared" si="30"/>
        <v>9.4999999999999998E-3</v>
      </c>
      <c r="Y66" s="483">
        <f t="shared" si="30"/>
        <v>9.4999999999999998E-3</v>
      </c>
      <c r="Z66" s="483">
        <f t="shared" si="30"/>
        <v>9.4999999999999998E-3</v>
      </c>
      <c r="AA66" s="483">
        <f t="shared" si="30"/>
        <v>9.4999999999999998E-3</v>
      </c>
      <c r="AB66" s="483">
        <f t="shared" si="30"/>
        <v>9.4999999999999998E-3</v>
      </c>
      <c r="AC66" s="483">
        <f t="shared" si="30"/>
        <v>9.4999999999999998E-3</v>
      </c>
      <c r="AD66" s="483">
        <f t="shared" si="30"/>
        <v>9.4999999999999998E-3</v>
      </c>
      <c r="AE66" s="483">
        <f t="shared" si="30"/>
        <v>9.4999999999999998E-3</v>
      </c>
      <c r="AF66" s="483">
        <f t="shared" si="30"/>
        <v>9.4999999999999998E-3</v>
      </c>
      <c r="AG66" s="483">
        <f t="shared" si="30"/>
        <v>9.4999999999999998E-3</v>
      </c>
      <c r="AH66" s="483">
        <f t="shared" si="30"/>
        <v>9.4999999999999998E-3</v>
      </c>
      <c r="AI66" s="483">
        <f t="shared" si="30"/>
        <v>9.4999999999999998E-3</v>
      </c>
      <c r="AJ66" s="483">
        <f t="shared" si="30"/>
        <v>9.4999999999999998E-3</v>
      </c>
      <c r="AK66" s="483">
        <f t="shared" si="30"/>
        <v>9.4999999999999998E-3</v>
      </c>
      <c r="AL66" s="483">
        <f t="shared" si="30"/>
        <v>9.4999999999999998E-3</v>
      </c>
      <c r="AM66" s="483">
        <f t="shared" si="30"/>
        <v>9.4999999999999998E-3</v>
      </c>
      <c r="AN66" s="483">
        <f t="shared" si="30"/>
        <v>9.4999999999999998E-3</v>
      </c>
      <c r="AO66" s="483">
        <f t="shared" si="30"/>
        <v>9.4999999999999998E-3</v>
      </c>
      <c r="AP66" s="483">
        <f t="shared" si="30"/>
        <v>9.4999999999999998E-3</v>
      </c>
      <c r="AQ66" s="483">
        <f t="shared" si="30"/>
        <v>9.4999999999999998E-3</v>
      </c>
      <c r="AR66" s="483">
        <f t="shared" si="30"/>
        <v>9.4999999999999998E-3</v>
      </c>
      <c r="AS66" s="483">
        <f t="shared" si="30"/>
        <v>9.4999999999999998E-3</v>
      </c>
      <c r="AT66" s="483">
        <f t="shared" si="30"/>
        <v>9.4999999999999998E-3</v>
      </c>
      <c r="AU66" s="483">
        <f t="shared" si="30"/>
        <v>9.4999999999999998E-3</v>
      </c>
      <c r="AV66" s="484">
        <v>5</v>
      </c>
    </row>
    <row r="67" spans="2:119" ht="14.4">
      <c r="B67" s="8" t="str">
        <f>Processes!D81</f>
        <v>MINMNR</v>
      </c>
      <c r="C67" s="8" t="str">
        <f>Processes!E81</f>
        <v>Mining technology - Manure (Gylle)</v>
      </c>
      <c r="D67" s="216"/>
      <c r="E67" s="216" t="str">
        <f t="shared" si="23"/>
        <v>MNR</v>
      </c>
      <c r="F67" s="1119" t="str">
        <f t="shared" si="5"/>
        <v>MKr14</v>
      </c>
      <c r="G67" s="483">
        <f t="shared" si="28"/>
        <v>9.4999999999999998E-3</v>
      </c>
      <c r="H67" s="483">
        <f t="shared" si="31"/>
        <v>9.4999999999999998E-3</v>
      </c>
      <c r="I67" s="483">
        <f t="shared" si="31"/>
        <v>9.4999999999999998E-3</v>
      </c>
      <c r="J67" s="483">
        <f t="shared" si="31"/>
        <v>9.4999999999999998E-3</v>
      </c>
      <c r="K67" s="483">
        <f t="shared" si="31"/>
        <v>9.4999999999999998E-3</v>
      </c>
      <c r="L67" s="483">
        <f t="shared" si="31"/>
        <v>9.4999999999999998E-3</v>
      </c>
      <c r="M67" s="483">
        <f t="shared" si="31"/>
        <v>9.4999999999999998E-3</v>
      </c>
      <c r="N67" s="483">
        <f t="shared" si="31"/>
        <v>9.4999999999999998E-3</v>
      </c>
      <c r="O67" s="483">
        <f t="shared" si="31"/>
        <v>9.4999999999999998E-3</v>
      </c>
      <c r="P67" s="483">
        <f t="shared" si="31"/>
        <v>9.4999999999999998E-3</v>
      </c>
      <c r="Q67" s="483">
        <f t="shared" si="31"/>
        <v>9.4999999999999998E-3</v>
      </c>
      <c r="R67" s="483">
        <f t="shared" si="31"/>
        <v>9.4999999999999998E-3</v>
      </c>
      <c r="S67" s="483">
        <f t="shared" si="31"/>
        <v>9.4999999999999998E-3</v>
      </c>
      <c r="T67" s="483">
        <f t="shared" si="31"/>
        <v>9.4999999999999998E-3</v>
      </c>
      <c r="U67" s="483">
        <f t="shared" si="31"/>
        <v>9.4999999999999998E-3</v>
      </c>
      <c r="V67" s="483">
        <f t="shared" si="31"/>
        <v>9.4999999999999998E-3</v>
      </c>
      <c r="W67" s="483">
        <f t="shared" si="30"/>
        <v>9.4999999999999998E-3</v>
      </c>
      <c r="X67" s="483">
        <f t="shared" si="30"/>
        <v>9.4999999999999998E-3</v>
      </c>
      <c r="Y67" s="483">
        <f t="shared" si="30"/>
        <v>9.4999999999999998E-3</v>
      </c>
      <c r="Z67" s="483">
        <f t="shared" si="30"/>
        <v>9.4999999999999998E-3</v>
      </c>
      <c r="AA67" s="483">
        <f t="shared" si="30"/>
        <v>9.4999999999999998E-3</v>
      </c>
      <c r="AB67" s="483">
        <f t="shared" si="30"/>
        <v>9.4999999999999998E-3</v>
      </c>
      <c r="AC67" s="483">
        <f t="shared" si="30"/>
        <v>9.4999999999999998E-3</v>
      </c>
      <c r="AD67" s="483">
        <f t="shared" si="30"/>
        <v>9.4999999999999998E-3</v>
      </c>
      <c r="AE67" s="483">
        <f t="shared" si="30"/>
        <v>9.4999999999999998E-3</v>
      </c>
      <c r="AF67" s="483">
        <f t="shared" si="30"/>
        <v>9.4999999999999998E-3</v>
      </c>
      <c r="AG67" s="483">
        <f t="shared" si="30"/>
        <v>9.4999999999999998E-3</v>
      </c>
      <c r="AH67" s="483">
        <f t="shared" si="30"/>
        <v>9.4999999999999998E-3</v>
      </c>
      <c r="AI67" s="483">
        <f t="shared" si="30"/>
        <v>9.4999999999999998E-3</v>
      </c>
      <c r="AJ67" s="483">
        <f t="shared" si="30"/>
        <v>9.4999999999999998E-3</v>
      </c>
      <c r="AK67" s="483">
        <f t="shared" si="30"/>
        <v>9.4999999999999998E-3</v>
      </c>
      <c r="AL67" s="483">
        <f t="shared" si="30"/>
        <v>9.4999999999999998E-3</v>
      </c>
      <c r="AM67" s="483">
        <f t="shared" si="30"/>
        <v>9.4999999999999998E-3</v>
      </c>
      <c r="AN67" s="483">
        <f t="shared" si="30"/>
        <v>9.4999999999999998E-3</v>
      </c>
      <c r="AO67" s="483">
        <f t="shared" si="30"/>
        <v>9.4999999999999998E-3</v>
      </c>
      <c r="AP67" s="483">
        <f t="shared" si="30"/>
        <v>9.4999999999999998E-3</v>
      </c>
      <c r="AQ67" s="483">
        <f t="shared" si="30"/>
        <v>9.4999999999999998E-3</v>
      </c>
      <c r="AR67" s="483">
        <f t="shared" si="30"/>
        <v>9.4999999999999998E-3</v>
      </c>
      <c r="AS67" s="483">
        <f t="shared" si="30"/>
        <v>9.4999999999999998E-3</v>
      </c>
      <c r="AT67" s="483">
        <f t="shared" si="30"/>
        <v>9.4999999999999998E-3</v>
      </c>
      <c r="AU67" s="483">
        <f t="shared" si="30"/>
        <v>9.4999999999999998E-3</v>
      </c>
      <c r="AV67" s="484">
        <v>5</v>
      </c>
      <c r="AW67" s="1"/>
      <c r="AX67" s="1"/>
      <c r="AY67" s="1"/>
      <c r="AZ67" s="1"/>
      <c r="BA67" s="1"/>
    </row>
    <row r="68" spans="2:119" ht="14.4">
      <c r="B68" s="8" t="str">
        <f>Processes!D82</f>
        <v>MINNGA</v>
      </c>
      <c r="C68" s="8" t="str">
        <f>Processes!E82</f>
        <v>Mining technology - Mining Natural Gas</v>
      </c>
      <c r="D68" s="216"/>
      <c r="E68" s="486" t="s">
        <v>736</v>
      </c>
      <c r="F68" s="1119" t="str">
        <f t="shared" si="5"/>
        <v>MKr19</v>
      </c>
      <c r="G68" s="483">
        <f t="shared" ref="G68:P75" si="32">IFERROR(INDEX($G$122:$AU$177,MATCH($E68,$E$122:$E$177,0),MATCH(G$6,$G$121:$AU$121,0)),0)*$E$189</f>
        <v>22.2</v>
      </c>
      <c r="H68" s="483">
        <f t="shared" si="32"/>
        <v>23.05</v>
      </c>
      <c r="I68" s="483">
        <f t="shared" si="32"/>
        <v>27.55</v>
      </c>
      <c r="J68" s="483">
        <f t="shared" si="32"/>
        <v>27.1</v>
      </c>
      <c r="K68" s="483">
        <f t="shared" si="32"/>
        <v>22.85</v>
      </c>
      <c r="L68" s="483">
        <f t="shared" si="32"/>
        <v>22</v>
      </c>
      <c r="M68" s="483">
        <f t="shared" si="32"/>
        <v>18.399999999999999</v>
      </c>
      <c r="N68" s="483">
        <f t="shared" si="32"/>
        <v>18.45</v>
      </c>
      <c r="O68" s="483">
        <f t="shared" si="32"/>
        <v>26.711091690925127</v>
      </c>
      <c r="P68" s="483">
        <f t="shared" si="32"/>
        <v>17.130505620310231</v>
      </c>
      <c r="Q68" s="483">
        <f t="shared" ref="Q68:Z75" si="33">IFERROR(INDEX($G$122:$AU$177,MATCH($E68,$E$122:$E$177,0),MATCH(Q$6,$G$121:$AU$121,0)),0)*$E$189</f>
        <v>16.698924993241128</v>
      </c>
      <c r="R68" s="483">
        <f t="shared" si="33"/>
        <v>15.7626450127191</v>
      </c>
      <c r="S68" s="483">
        <f>IFERROR(INDEX($G$122:$AU$177,MATCH($E68,$E$122:$E$177,0),MATCH(S$6,$G$121:$AU$121,0)),0)*$E$189</f>
        <v>16.381274310770948</v>
      </c>
      <c r="T68" s="483">
        <f t="shared" si="33"/>
        <v>16.683844156437733</v>
      </c>
      <c r="U68" s="483">
        <f t="shared" si="33"/>
        <v>16.783561960181036</v>
      </c>
      <c r="V68" s="483">
        <f t="shared" si="33"/>
        <v>16.753041731456833</v>
      </c>
      <c r="W68" s="483">
        <f t="shared" si="33"/>
        <v>16.733819602152032</v>
      </c>
      <c r="X68" s="483">
        <f t="shared" si="33"/>
        <v>16.721473543115835</v>
      </c>
      <c r="Y68" s="483">
        <f t="shared" si="33"/>
        <v>16.71089979522673</v>
      </c>
      <c r="Z68" s="483">
        <f t="shared" si="33"/>
        <v>16.707110124011152</v>
      </c>
      <c r="AA68" s="483">
        <f t="shared" ref="AA68:AJ75" si="34">IFERROR(INDEX($G$122:$AU$177,MATCH($E68,$E$122:$E$177,0),MATCH(AA$6,$G$121:$AU$121,0)),0)*$E$189</f>
        <v>16.706076305204942</v>
      </c>
      <c r="AB68" s="483">
        <f t="shared" si="34"/>
        <v>16.729119169074192</v>
      </c>
      <c r="AC68" s="483">
        <f t="shared" si="34"/>
        <v>16.752162032943442</v>
      </c>
      <c r="AD68" s="483">
        <f t="shared" si="34"/>
        <v>16.775204896812689</v>
      </c>
      <c r="AE68" s="483">
        <f t="shared" si="34"/>
        <v>16.798247760681935</v>
      </c>
      <c r="AF68" s="483">
        <f t="shared" si="34"/>
        <v>16.821290624551189</v>
      </c>
      <c r="AG68" s="483">
        <f t="shared" si="34"/>
        <v>16.844333488420439</v>
      </c>
      <c r="AH68" s="483">
        <f t="shared" si="34"/>
        <v>16.867376352289682</v>
      </c>
      <c r="AI68" s="483">
        <f t="shared" si="34"/>
        <v>16.890419216158932</v>
      </c>
      <c r="AJ68" s="483">
        <f t="shared" si="34"/>
        <v>16.913462080028175</v>
      </c>
      <c r="AK68" s="483">
        <f t="shared" ref="AK68:AU75" si="35">IFERROR(INDEX($G$122:$AU$177,MATCH($E68,$E$122:$E$177,0),MATCH(AK$6,$G$121:$AU$121,0)),0)*$E$189</f>
        <v>16.936504943897425</v>
      </c>
      <c r="AL68" s="483">
        <f t="shared" si="35"/>
        <v>16.959547807766675</v>
      </c>
      <c r="AM68" s="483">
        <f t="shared" si="35"/>
        <v>16.982590671635922</v>
      </c>
      <c r="AN68" s="483">
        <f t="shared" si="35"/>
        <v>17.005633535505169</v>
      </c>
      <c r="AO68" s="483">
        <f t="shared" si="35"/>
        <v>17.028676399374419</v>
      </c>
      <c r="AP68" s="483">
        <f t="shared" si="35"/>
        <v>17.051719263243669</v>
      </c>
      <c r="AQ68" s="483">
        <f t="shared" si="35"/>
        <v>17.074762127112919</v>
      </c>
      <c r="AR68" s="483">
        <f t="shared" si="35"/>
        <v>17.097804990982162</v>
      </c>
      <c r="AS68" s="483">
        <f t="shared" si="35"/>
        <v>17.120847854851416</v>
      </c>
      <c r="AT68" s="483">
        <f t="shared" si="35"/>
        <v>17.143890718720659</v>
      </c>
      <c r="AU68" s="483">
        <f t="shared" si="35"/>
        <v>17.166933582589913</v>
      </c>
      <c r="AV68" s="484">
        <v>5</v>
      </c>
      <c r="AW68" s="483">
        <v>0</v>
      </c>
      <c r="AX68" s="483">
        <v>0</v>
      </c>
      <c r="AY68" s="483">
        <v>0</v>
      </c>
      <c r="AZ68" s="484">
        <v>5</v>
      </c>
      <c r="BA68" s="602">
        <v>0</v>
      </c>
      <c r="BB68" s="602">
        <v>0</v>
      </c>
      <c r="BC68" s="602">
        <v>0</v>
      </c>
      <c r="BD68" s="602">
        <v>5</v>
      </c>
      <c r="BE68" s="602">
        <v>0</v>
      </c>
      <c r="BF68" s="602">
        <v>0</v>
      </c>
      <c r="BG68" s="602">
        <v>0</v>
      </c>
      <c r="BH68" s="602">
        <v>5</v>
      </c>
      <c r="BI68" s="602">
        <v>0</v>
      </c>
      <c r="BJ68" s="602">
        <v>0</v>
      </c>
      <c r="BK68" s="602">
        <v>0</v>
      </c>
      <c r="BL68" s="602">
        <v>5</v>
      </c>
      <c r="BM68" s="602">
        <v>0</v>
      </c>
      <c r="BN68" s="602">
        <v>0</v>
      </c>
      <c r="BO68" s="602">
        <v>0</v>
      </c>
      <c r="BP68" s="602">
        <v>5</v>
      </c>
      <c r="CA68" s="483"/>
      <c r="CB68" s="483"/>
      <c r="CC68" s="483"/>
      <c r="CD68" s="483"/>
      <c r="CE68" s="483"/>
      <c r="CF68" s="483"/>
      <c r="CH68" s="602"/>
      <c r="CI68" s="602"/>
      <c r="CJ68" s="602"/>
      <c r="CK68" s="602"/>
      <c r="CL68" s="602"/>
      <c r="CM68" s="602"/>
      <c r="CN68" s="602"/>
      <c r="CO68" s="602"/>
      <c r="CP68" s="602"/>
      <c r="CQ68" s="602"/>
      <c r="CR68" s="602"/>
      <c r="CS68" s="602"/>
      <c r="CT68" s="602"/>
      <c r="CU68" s="602"/>
      <c r="CV68" s="602"/>
      <c r="CW68" s="602"/>
      <c r="CX68" s="602"/>
      <c r="CY68" s="602"/>
      <c r="CZ68" s="602"/>
      <c r="DA68" s="602"/>
      <c r="DB68" s="602"/>
      <c r="DC68" s="602"/>
      <c r="DD68" s="602"/>
      <c r="DE68" s="602"/>
      <c r="DF68" s="602"/>
      <c r="DG68" s="602"/>
      <c r="DH68" s="602"/>
      <c r="DI68" s="602"/>
      <c r="DJ68" s="602"/>
      <c r="DK68" s="602"/>
      <c r="DL68" s="602"/>
      <c r="DM68" s="602"/>
      <c r="DN68" s="602"/>
      <c r="DO68" s="602"/>
    </row>
    <row r="69" spans="2:119" ht="14.4">
      <c r="B69" s="8" t="str">
        <f>Processes!D83</f>
        <v>MINCRD</v>
      </c>
      <c r="C69" s="8" t="str">
        <f>Processes!E83</f>
        <v>Mining technology - Mining Crude Oil</v>
      </c>
      <c r="D69" s="216"/>
      <c r="E69" s="486" t="s">
        <v>735</v>
      </c>
      <c r="F69" s="1119" t="str">
        <f t="shared" si="5"/>
        <v>MKr19</v>
      </c>
      <c r="G69" s="483">
        <f t="shared" si="32"/>
        <v>38.1</v>
      </c>
      <c r="H69" s="483">
        <f t="shared" si="32"/>
        <v>53.05</v>
      </c>
      <c r="I69" s="483">
        <f t="shared" si="32"/>
        <v>56.45</v>
      </c>
      <c r="J69" s="483">
        <f t="shared" si="32"/>
        <v>50.15</v>
      </c>
      <c r="K69" s="483">
        <f t="shared" si="32"/>
        <v>48.65</v>
      </c>
      <c r="L69" s="483">
        <f t="shared" si="32"/>
        <v>31.35</v>
      </c>
      <c r="M69" s="483">
        <f t="shared" si="32"/>
        <v>29.95</v>
      </c>
      <c r="N69" s="483">
        <f t="shared" si="32"/>
        <v>31.95</v>
      </c>
      <c r="O69" s="483">
        <f t="shared" si="32"/>
        <v>39.296456059651113</v>
      </c>
      <c r="P69" s="483">
        <f t="shared" si="32"/>
        <v>36.333904109589035</v>
      </c>
      <c r="Q69" s="483">
        <f t="shared" si="33"/>
        <v>35.595773973805329</v>
      </c>
      <c r="R69" s="483">
        <f t="shared" si="33"/>
        <v>24.590558528714574</v>
      </c>
      <c r="S69" s="483">
        <f t="shared" si="33"/>
        <v>26.290661716037413</v>
      </c>
      <c r="T69" s="483">
        <f t="shared" si="33"/>
        <v>27.444983238166369</v>
      </c>
      <c r="U69" s="483">
        <f t="shared" si="33"/>
        <v>28.284194031230708</v>
      </c>
      <c r="V69" s="483">
        <f t="shared" si="33"/>
        <v>28.893214528675163</v>
      </c>
      <c r="W69" s="483">
        <f t="shared" si="33"/>
        <v>29.573135085849277</v>
      </c>
      <c r="X69" s="483">
        <f t="shared" si="33"/>
        <v>30.239023493434509</v>
      </c>
      <c r="Y69" s="483">
        <f t="shared" si="33"/>
        <v>30.851587128652312</v>
      </c>
      <c r="Z69" s="483">
        <f t="shared" si="33"/>
        <v>31.494801163848638</v>
      </c>
      <c r="AA69" s="483">
        <f t="shared" si="34"/>
        <v>32.104560774081321</v>
      </c>
      <c r="AB69" s="483">
        <f t="shared" si="34"/>
        <v>31.950766470971942</v>
      </c>
      <c r="AC69" s="483">
        <f t="shared" si="34"/>
        <v>31.79697216786257</v>
      </c>
      <c r="AD69" s="483">
        <f t="shared" si="34"/>
        <v>31.643177864753202</v>
      </c>
      <c r="AE69" s="483">
        <f t="shared" si="34"/>
        <v>31.489383561643827</v>
      </c>
      <c r="AF69" s="483">
        <f t="shared" si="34"/>
        <v>31.335589258534458</v>
      </c>
      <c r="AG69" s="483">
        <f t="shared" si="34"/>
        <v>31.181794955425087</v>
      </c>
      <c r="AH69" s="483">
        <f t="shared" si="34"/>
        <v>31.028000652315718</v>
      </c>
      <c r="AI69" s="483">
        <f t="shared" si="34"/>
        <v>30.87420634920635</v>
      </c>
      <c r="AJ69" s="483">
        <f t="shared" si="34"/>
        <v>30.720412046096975</v>
      </c>
      <c r="AK69" s="483">
        <f t="shared" si="35"/>
        <v>30.566617742987603</v>
      </c>
      <c r="AL69" s="483">
        <f t="shared" si="35"/>
        <v>30.412823439878235</v>
      </c>
      <c r="AM69" s="483">
        <f t="shared" si="35"/>
        <v>30.259029136768859</v>
      </c>
      <c r="AN69" s="483">
        <f t="shared" si="35"/>
        <v>30.105234833659487</v>
      </c>
      <c r="AO69" s="483">
        <f t="shared" si="35"/>
        <v>29.951440530550119</v>
      </c>
      <c r="AP69" s="483">
        <f t="shared" si="35"/>
        <v>29.797646227440747</v>
      </c>
      <c r="AQ69" s="483">
        <f t="shared" si="35"/>
        <v>29.643851924331376</v>
      </c>
      <c r="AR69" s="483">
        <f t="shared" si="35"/>
        <v>29.490057621222004</v>
      </c>
      <c r="AS69" s="483">
        <f t="shared" si="35"/>
        <v>29.336263318112636</v>
      </c>
      <c r="AT69" s="483">
        <f t="shared" si="35"/>
        <v>29.182469015003264</v>
      </c>
      <c r="AU69" s="483">
        <f t="shared" si="35"/>
        <v>29.028674711893892</v>
      </c>
      <c r="AV69" s="484">
        <v>5</v>
      </c>
      <c r="AW69" s="483">
        <v>0</v>
      </c>
      <c r="AX69" s="483">
        <v>0</v>
      </c>
      <c r="AY69" s="483">
        <v>0</v>
      </c>
      <c r="AZ69" s="484">
        <v>5</v>
      </c>
      <c r="BA69" s="602">
        <v>0</v>
      </c>
      <c r="BB69" s="602">
        <v>0</v>
      </c>
      <c r="BC69" s="602">
        <v>0</v>
      </c>
      <c r="BD69" s="602">
        <v>5</v>
      </c>
      <c r="BE69" s="602">
        <v>0</v>
      </c>
      <c r="BF69" s="602">
        <v>0</v>
      </c>
      <c r="BG69" s="602">
        <v>0</v>
      </c>
      <c r="BH69" s="602">
        <v>5</v>
      </c>
      <c r="BI69" s="602">
        <v>0</v>
      </c>
      <c r="BJ69" s="602">
        <v>0</v>
      </c>
      <c r="BK69" s="602">
        <v>0</v>
      </c>
      <c r="BL69" s="602">
        <v>5</v>
      </c>
      <c r="BM69" s="602">
        <v>0</v>
      </c>
      <c r="BN69" s="602">
        <v>0</v>
      </c>
      <c r="BO69" s="602">
        <v>0</v>
      </c>
      <c r="BP69" s="602">
        <v>5</v>
      </c>
      <c r="CA69" s="483"/>
      <c r="CB69" s="483"/>
      <c r="CC69" s="483"/>
      <c r="CD69" s="483"/>
      <c r="CE69" s="483"/>
      <c r="CF69" s="483"/>
      <c r="CG69" s="602"/>
      <c r="CH69" s="602"/>
      <c r="CI69" s="602"/>
      <c r="CJ69" s="602"/>
      <c r="CK69" s="602"/>
      <c r="CL69" s="602"/>
      <c r="CM69" s="602"/>
      <c r="CN69" s="602"/>
      <c r="CO69" s="602"/>
      <c r="CP69" s="602"/>
      <c r="CQ69" s="602"/>
      <c r="CR69" s="602"/>
      <c r="CS69" s="602"/>
      <c r="CT69" s="602"/>
      <c r="CU69" s="602"/>
      <c r="CV69" s="602"/>
      <c r="CW69" s="602"/>
      <c r="CX69" s="602"/>
      <c r="CY69" s="602"/>
      <c r="CZ69" s="602"/>
      <c r="DA69" s="602"/>
      <c r="DB69" s="602"/>
      <c r="DC69" s="602"/>
      <c r="DD69" s="602"/>
      <c r="DE69" s="602"/>
      <c r="DF69" s="602"/>
      <c r="DG69" s="602"/>
      <c r="DH69" s="602"/>
      <c r="DI69" s="602"/>
      <c r="DJ69" s="602"/>
      <c r="DK69" s="602"/>
      <c r="DL69" s="602"/>
      <c r="DM69" s="602"/>
      <c r="DN69" s="602"/>
      <c r="DO69" s="602"/>
    </row>
    <row r="70" spans="2:119" ht="14.4">
      <c r="B70" s="8" t="str">
        <f>Processes!D84</f>
        <v>MINWIN</v>
      </c>
      <c r="C70" s="8" t="str">
        <f>Processes!E84</f>
        <v>Mining technology - Wind</v>
      </c>
      <c r="D70" s="216"/>
      <c r="E70" s="216" t="str">
        <f t="shared" si="23"/>
        <v>WIN</v>
      </c>
      <c r="F70" s="1119" t="str">
        <f t="shared" si="5"/>
        <v>MKr19</v>
      </c>
      <c r="G70" s="483">
        <f t="shared" si="32"/>
        <v>0</v>
      </c>
      <c r="H70" s="483">
        <f t="shared" si="32"/>
        <v>0</v>
      </c>
      <c r="I70" s="483">
        <f t="shared" si="32"/>
        <v>0</v>
      </c>
      <c r="J70" s="483">
        <f t="shared" si="32"/>
        <v>0</v>
      </c>
      <c r="K70" s="483">
        <f t="shared" si="32"/>
        <v>0</v>
      </c>
      <c r="L70" s="483">
        <f t="shared" si="32"/>
        <v>0</v>
      </c>
      <c r="M70" s="483">
        <f t="shared" si="32"/>
        <v>0</v>
      </c>
      <c r="N70" s="483">
        <f t="shared" si="32"/>
        <v>0</v>
      </c>
      <c r="O70" s="483">
        <f t="shared" si="32"/>
        <v>0</v>
      </c>
      <c r="P70" s="483">
        <f t="shared" si="32"/>
        <v>0</v>
      </c>
      <c r="Q70" s="483">
        <f t="shared" si="33"/>
        <v>0</v>
      </c>
      <c r="R70" s="483">
        <f t="shared" si="33"/>
        <v>0</v>
      </c>
      <c r="S70" s="483">
        <f t="shared" si="33"/>
        <v>0</v>
      </c>
      <c r="T70" s="483">
        <f t="shared" si="33"/>
        <v>0</v>
      </c>
      <c r="U70" s="483">
        <f t="shared" si="33"/>
        <v>0</v>
      </c>
      <c r="V70" s="483">
        <f t="shared" si="33"/>
        <v>0</v>
      </c>
      <c r="W70" s="483">
        <f t="shared" si="33"/>
        <v>0</v>
      </c>
      <c r="X70" s="483">
        <f t="shared" si="33"/>
        <v>0</v>
      </c>
      <c r="Y70" s="483">
        <f t="shared" si="33"/>
        <v>0</v>
      </c>
      <c r="Z70" s="483">
        <f t="shared" si="33"/>
        <v>0</v>
      </c>
      <c r="AA70" s="483">
        <f t="shared" si="34"/>
        <v>0</v>
      </c>
      <c r="AB70" s="483">
        <f t="shared" si="34"/>
        <v>0</v>
      </c>
      <c r="AC70" s="483">
        <f t="shared" si="34"/>
        <v>0</v>
      </c>
      <c r="AD70" s="483">
        <f t="shared" si="34"/>
        <v>0</v>
      </c>
      <c r="AE70" s="483">
        <f t="shared" si="34"/>
        <v>0</v>
      </c>
      <c r="AF70" s="483">
        <f t="shared" si="34"/>
        <v>0</v>
      </c>
      <c r="AG70" s="483">
        <f t="shared" si="34"/>
        <v>0</v>
      </c>
      <c r="AH70" s="483">
        <f t="shared" si="34"/>
        <v>0</v>
      </c>
      <c r="AI70" s="483">
        <f t="shared" si="34"/>
        <v>0</v>
      </c>
      <c r="AJ70" s="483">
        <f t="shared" si="34"/>
        <v>0</v>
      </c>
      <c r="AK70" s="483">
        <f t="shared" si="35"/>
        <v>0</v>
      </c>
      <c r="AL70" s="483">
        <f t="shared" si="35"/>
        <v>0</v>
      </c>
      <c r="AM70" s="483">
        <f t="shared" si="35"/>
        <v>0</v>
      </c>
      <c r="AN70" s="483">
        <f t="shared" si="35"/>
        <v>0</v>
      </c>
      <c r="AO70" s="483">
        <f t="shared" si="35"/>
        <v>0</v>
      </c>
      <c r="AP70" s="483">
        <f t="shared" si="35"/>
        <v>0</v>
      </c>
      <c r="AQ70" s="483">
        <f t="shared" si="35"/>
        <v>0</v>
      </c>
      <c r="AR70" s="483">
        <f t="shared" si="35"/>
        <v>0</v>
      </c>
      <c r="AS70" s="483">
        <f t="shared" si="35"/>
        <v>0</v>
      </c>
      <c r="AT70" s="483">
        <f t="shared" si="35"/>
        <v>0</v>
      </c>
      <c r="AU70" s="483">
        <f t="shared" si="35"/>
        <v>0</v>
      </c>
      <c r="AV70" s="484">
        <v>5</v>
      </c>
    </row>
    <row r="71" spans="2:119" ht="14.4">
      <c r="B71" s="8" t="str">
        <f>Processes!D85</f>
        <v>MINHYD</v>
      </c>
      <c r="C71" s="8" t="str">
        <f>Processes!E85</f>
        <v>Mining technology - Hydro</v>
      </c>
      <c r="D71" s="216"/>
      <c r="E71" s="216" t="str">
        <f t="shared" si="23"/>
        <v>HYD</v>
      </c>
      <c r="F71" s="1119" t="str">
        <f t="shared" si="5"/>
        <v>MKr19</v>
      </c>
      <c r="G71" s="483">
        <f t="shared" si="32"/>
        <v>0</v>
      </c>
      <c r="H71" s="483">
        <f t="shared" si="32"/>
        <v>0</v>
      </c>
      <c r="I71" s="483">
        <f t="shared" si="32"/>
        <v>0</v>
      </c>
      <c r="J71" s="483">
        <f t="shared" si="32"/>
        <v>0</v>
      </c>
      <c r="K71" s="483">
        <f t="shared" si="32"/>
        <v>0</v>
      </c>
      <c r="L71" s="483">
        <f t="shared" si="32"/>
        <v>0</v>
      </c>
      <c r="M71" s="483">
        <f t="shared" si="32"/>
        <v>0</v>
      </c>
      <c r="N71" s="483">
        <f t="shared" si="32"/>
        <v>0</v>
      </c>
      <c r="O71" s="483">
        <f t="shared" si="32"/>
        <v>0</v>
      </c>
      <c r="P71" s="483">
        <f t="shared" si="32"/>
        <v>0</v>
      </c>
      <c r="Q71" s="483">
        <f t="shared" si="33"/>
        <v>0</v>
      </c>
      <c r="R71" s="483">
        <f t="shared" si="33"/>
        <v>0</v>
      </c>
      <c r="S71" s="483">
        <f t="shared" si="33"/>
        <v>0</v>
      </c>
      <c r="T71" s="483">
        <f t="shared" si="33"/>
        <v>0</v>
      </c>
      <c r="U71" s="483">
        <f t="shared" si="33"/>
        <v>0</v>
      </c>
      <c r="V71" s="483">
        <f t="shared" si="33"/>
        <v>0</v>
      </c>
      <c r="W71" s="483">
        <f t="shared" si="33"/>
        <v>0</v>
      </c>
      <c r="X71" s="483">
        <f t="shared" si="33"/>
        <v>0</v>
      </c>
      <c r="Y71" s="483">
        <f t="shared" si="33"/>
        <v>0</v>
      </c>
      <c r="Z71" s="483">
        <f t="shared" si="33"/>
        <v>0</v>
      </c>
      <c r="AA71" s="483">
        <f t="shared" si="34"/>
        <v>0</v>
      </c>
      <c r="AB71" s="483">
        <f t="shared" si="34"/>
        <v>0</v>
      </c>
      <c r="AC71" s="483">
        <f t="shared" si="34"/>
        <v>0</v>
      </c>
      <c r="AD71" s="483">
        <f t="shared" si="34"/>
        <v>0</v>
      </c>
      <c r="AE71" s="483">
        <f t="shared" si="34"/>
        <v>0</v>
      </c>
      <c r="AF71" s="483">
        <f t="shared" si="34"/>
        <v>0</v>
      </c>
      <c r="AG71" s="483">
        <f t="shared" si="34"/>
        <v>0</v>
      </c>
      <c r="AH71" s="483">
        <f t="shared" si="34"/>
        <v>0</v>
      </c>
      <c r="AI71" s="483">
        <f t="shared" si="34"/>
        <v>0</v>
      </c>
      <c r="AJ71" s="483">
        <f t="shared" si="34"/>
        <v>0</v>
      </c>
      <c r="AK71" s="483">
        <f t="shared" si="35"/>
        <v>0</v>
      </c>
      <c r="AL71" s="483">
        <f t="shared" si="35"/>
        <v>0</v>
      </c>
      <c r="AM71" s="483">
        <f t="shared" si="35"/>
        <v>0</v>
      </c>
      <c r="AN71" s="483">
        <f t="shared" si="35"/>
        <v>0</v>
      </c>
      <c r="AO71" s="483">
        <f t="shared" si="35"/>
        <v>0</v>
      </c>
      <c r="AP71" s="483">
        <f t="shared" si="35"/>
        <v>0</v>
      </c>
      <c r="AQ71" s="483">
        <f t="shared" si="35"/>
        <v>0</v>
      </c>
      <c r="AR71" s="483">
        <f t="shared" si="35"/>
        <v>0</v>
      </c>
      <c r="AS71" s="483">
        <f t="shared" si="35"/>
        <v>0</v>
      </c>
      <c r="AT71" s="483">
        <f t="shared" si="35"/>
        <v>0</v>
      </c>
      <c r="AU71" s="483">
        <f t="shared" si="35"/>
        <v>0</v>
      </c>
      <c r="AV71" s="484">
        <v>5</v>
      </c>
    </row>
    <row r="72" spans="2:119" ht="14.4">
      <c r="B72" s="8" t="str">
        <f>Processes!D86</f>
        <v>MINSOL</v>
      </c>
      <c r="C72" s="8" t="str">
        <f>Processes!E86</f>
        <v>Mining technology - Solar</v>
      </c>
      <c r="D72" s="216"/>
      <c r="E72" s="216" t="str">
        <f t="shared" si="23"/>
        <v>SOL</v>
      </c>
      <c r="F72" s="1119" t="str">
        <f t="shared" si="5"/>
        <v>MKr19</v>
      </c>
      <c r="G72" s="483">
        <f t="shared" si="32"/>
        <v>0</v>
      </c>
      <c r="H72" s="483">
        <f t="shared" si="32"/>
        <v>0</v>
      </c>
      <c r="I72" s="483">
        <f t="shared" si="32"/>
        <v>0</v>
      </c>
      <c r="J72" s="483">
        <f t="shared" si="32"/>
        <v>0</v>
      </c>
      <c r="K72" s="483">
        <f t="shared" si="32"/>
        <v>0</v>
      </c>
      <c r="L72" s="483">
        <f t="shared" si="32"/>
        <v>0</v>
      </c>
      <c r="M72" s="483">
        <f t="shared" si="32"/>
        <v>0</v>
      </c>
      <c r="N72" s="483">
        <f t="shared" si="32"/>
        <v>0</v>
      </c>
      <c r="O72" s="483">
        <f t="shared" si="32"/>
        <v>0</v>
      </c>
      <c r="P72" s="483">
        <f t="shared" si="32"/>
        <v>0</v>
      </c>
      <c r="Q72" s="483">
        <f t="shared" si="33"/>
        <v>0</v>
      </c>
      <c r="R72" s="483">
        <f t="shared" si="33"/>
        <v>0</v>
      </c>
      <c r="S72" s="483">
        <f t="shared" si="33"/>
        <v>0</v>
      </c>
      <c r="T72" s="483">
        <f t="shared" si="33"/>
        <v>0</v>
      </c>
      <c r="U72" s="483">
        <f t="shared" si="33"/>
        <v>0</v>
      </c>
      <c r="V72" s="483">
        <f t="shared" si="33"/>
        <v>0</v>
      </c>
      <c r="W72" s="483">
        <f t="shared" si="33"/>
        <v>0</v>
      </c>
      <c r="X72" s="483">
        <f t="shared" si="33"/>
        <v>0</v>
      </c>
      <c r="Y72" s="483">
        <f t="shared" si="33"/>
        <v>0</v>
      </c>
      <c r="Z72" s="483">
        <f t="shared" si="33"/>
        <v>0</v>
      </c>
      <c r="AA72" s="483">
        <f t="shared" si="34"/>
        <v>0</v>
      </c>
      <c r="AB72" s="483">
        <f t="shared" si="34"/>
        <v>0</v>
      </c>
      <c r="AC72" s="483">
        <f t="shared" si="34"/>
        <v>0</v>
      </c>
      <c r="AD72" s="483">
        <f t="shared" si="34"/>
        <v>0</v>
      </c>
      <c r="AE72" s="483">
        <f t="shared" si="34"/>
        <v>0</v>
      </c>
      <c r="AF72" s="483">
        <f t="shared" si="34"/>
        <v>0</v>
      </c>
      <c r="AG72" s="483">
        <f t="shared" si="34"/>
        <v>0</v>
      </c>
      <c r="AH72" s="483">
        <f t="shared" si="34"/>
        <v>0</v>
      </c>
      <c r="AI72" s="483">
        <f t="shared" si="34"/>
        <v>0</v>
      </c>
      <c r="AJ72" s="483">
        <f t="shared" si="34"/>
        <v>0</v>
      </c>
      <c r="AK72" s="483">
        <f t="shared" si="35"/>
        <v>0</v>
      </c>
      <c r="AL72" s="483">
        <f t="shared" si="35"/>
        <v>0</v>
      </c>
      <c r="AM72" s="483">
        <f t="shared" si="35"/>
        <v>0</v>
      </c>
      <c r="AN72" s="483">
        <f t="shared" si="35"/>
        <v>0</v>
      </c>
      <c r="AO72" s="483">
        <f t="shared" si="35"/>
        <v>0</v>
      </c>
      <c r="AP72" s="483">
        <f t="shared" si="35"/>
        <v>0</v>
      </c>
      <c r="AQ72" s="483">
        <f t="shared" si="35"/>
        <v>0</v>
      </c>
      <c r="AR72" s="483">
        <f t="shared" si="35"/>
        <v>0</v>
      </c>
      <c r="AS72" s="483">
        <f t="shared" si="35"/>
        <v>0</v>
      </c>
      <c r="AT72" s="483">
        <f t="shared" si="35"/>
        <v>0</v>
      </c>
      <c r="AU72" s="483">
        <f t="shared" si="35"/>
        <v>0</v>
      </c>
      <c r="AV72" s="484">
        <v>5</v>
      </c>
    </row>
    <row r="73" spans="2:119" ht="14.4">
      <c r="B73" s="8" t="str">
        <f>Processes!D87</f>
        <v>MINGEO</v>
      </c>
      <c r="C73" s="8" t="str">
        <f>Processes!E87</f>
        <v>Mining technology - Geothermal</v>
      </c>
      <c r="D73" s="216"/>
      <c r="E73" s="216" t="str">
        <f t="shared" si="23"/>
        <v>GEO</v>
      </c>
      <c r="F73" s="1119" t="str">
        <f t="shared" si="5"/>
        <v>MKr19</v>
      </c>
      <c r="G73" s="483">
        <f t="shared" si="32"/>
        <v>0</v>
      </c>
      <c r="H73" s="483">
        <f t="shared" si="32"/>
        <v>0</v>
      </c>
      <c r="I73" s="483">
        <f t="shared" si="32"/>
        <v>0</v>
      </c>
      <c r="J73" s="483">
        <f t="shared" si="32"/>
        <v>0</v>
      </c>
      <c r="K73" s="483">
        <f t="shared" si="32"/>
        <v>0</v>
      </c>
      <c r="L73" s="483">
        <f t="shared" si="32"/>
        <v>0</v>
      </c>
      <c r="M73" s="483">
        <f t="shared" si="32"/>
        <v>0</v>
      </c>
      <c r="N73" s="483">
        <f t="shared" si="32"/>
        <v>0</v>
      </c>
      <c r="O73" s="483">
        <f t="shared" si="32"/>
        <v>0</v>
      </c>
      <c r="P73" s="483">
        <f t="shared" si="32"/>
        <v>0</v>
      </c>
      <c r="Q73" s="483">
        <f t="shared" si="33"/>
        <v>0</v>
      </c>
      <c r="R73" s="483">
        <f t="shared" si="33"/>
        <v>0</v>
      </c>
      <c r="S73" s="483">
        <f t="shared" si="33"/>
        <v>0</v>
      </c>
      <c r="T73" s="483">
        <f t="shared" si="33"/>
        <v>0</v>
      </c>
      <c r="U73" s="483">
        <f t="shared" si="33"/>
        <v>0</v>
      </c>
      <c r="V73" s="483">
        <f t="shared" si="33"/>
        <v>0</v>
      </c>
      <c r="W73" s="483">
        <f t="shared" si="33"/>
        <v>0</v>
      </c>
      <c r="X73" s="483">
        <f t="shared" si="33"/>
        <v>0</v>
      </c>
      <c r="Y73" s="483">
        <f t="shared" si="33"/>
        <v>0</v>
      </c>
      <c r="Z73" s="483">
        <f t="shared" si="33"/>
        <v>0</v>
      </c>
      <c r="AA73" s="483">
        <f t="shared" si="34"/>
        <v>0</v>
      </c>
      <c r="AB73" s="483">
        <f t="shared" si="34"/>
        <v>0</v>
      </c>
      <c r="AC73" s="483">
        <f t="shared" si="34"/>
        <v>0</v>
      </c>
      <c r="AD73" s="483">
        <f t="shared" si="34"/>
        <v>0</v>
      </c>
      <c r="AE73" s="483">
        <f t="shared" si="34"/>
        <v>0</v>
      </c>
      <c r="AF73" s="483">
        <f t="shared" si="34"/>
        <v>0</v>
      </c>
      <c r="AG73" s="483">
        <f t="shared" si="34"/>
        <v>0</v>
      </c>
      <c r="AH73" s="483">
        <f t="shared" si="34"/>
        <v>0</v>
      </c>
      <c r="AI73" s="483">
        <f t="shared" si="34"/>
        <v>0</v>
      </c>
      <c r="AJ73" s="483">
        <f t="shared" si="34"/>
        <v>0</v>
      </c>
      <c r="AK73" s="483">
        <f t="shared" si="35"/>
        <v>0</v>
      </c>
      <c r="AL73" s="483">
        <f t="shared" si="35"/>
        <v>0</v>
      </c>
      <c r="AM73" s="483">
        <f t="shared" si="35"/>
        <v>0</v>
      </c>
      <c r="AN73" s="483">
        <f t="shared" si="35"/>
        <v>0</v>
      </c>
      <c r="AO73" s="483">
        <f t="shared" si="35"/>
        <v>0</v>
      </c>
      <c r="AP73" s="483">
        <f t="shared" si="35"/>
        <v>0</v>
      </c>
      <c r="AQ73" s="483">
        <f t="shared" si="35"/>
        <v>0</v>
      </c>
      <c r="AR73" s="483">
        <f t="shared" si="35"/>
        <v>0</v>
      </c>
      <c r="AS73" s="483">
        <f t="shared" si="35"/>
        <v>0</v>
      </c>
      <c r="AT73" s="483">
        <f t="shared" si="35"/>
        <v>0</v>
      </c>
      <c r="AU73" s="483">
        <f t="shared" si="35"/>
        <v>0</v>
      </c>
      <c r="AV73" s="484">
        <v>5</v>
      </c>
    </row>
    <row r="74" spans="2:119" ht="14.4">
      <c r="B74" s="8" t="str">
        <f>Processes!D88</f>
        <v>MINWAV</v>
      </c>
      <c r="C74" s="8" t="str">
        <f>Processes!E88</f>
        <v>Mining technology - Wave</v>
      </c>
      <c r="D74" s="216"/>
      <c r="E74" s="216" t="str">
        <f t="shared" si="23"/>
        <v>WAV</v>
      </c>
      <c r="F74" s="1119" t="str">
        <f t="shared" si="5"/>
        <v>MKr19</v>
      </c>
      <c r="G74" s="483">
        <f t="shared" si="32"/>
        <v>0</v>
      </c>
      <c r="H74" s="483">
        <f t="shared" si="32"/>
        <v>0</v>
      </c>
      <c r="I74" s="483">
        <f t="shared" si="32"/>
        <v>0</v>
      </c>
      <c r="J74" s="483">
        <f t="shared" si="32"/>
        <v>0</v>
      </c>
      <c r="K74" s="483">
        <f t="shared" si="32"/>
        <v>0</v>
      </c>
      <c r="L74" s="483">
        <f t="shared" si="32"/>
        <v>0</v>
      </c>
      <c r="M74" s="483">
        <f t="shared" si="32"/>
        <v>0</v>
      </c>
      <c r="N74" s="483">
        <f t="shared" si="32"/>
        <v>0</v>
      </c>
      <c r="O74" s="483">
        <f t="shared" si="32"/>
        <v>0</v>
      </c>
      <c r="P74" s="483">
        <f t="shared" si="32"/>
        <v>0</v>
      </c>
      <c r="Q74" s="483">
        <f t="shared" si="33"/>
        <v>0</v>
      </c>
      <c r="R74" s="483">
        <f t="shared" si="33"/>
        <v>0</v>
      </c>
      <c r="S74" s="483">
        <f t="shared" si="33"/>
        <v>0</v>
      </c>
      <c r="T74" s="483">
        <f t="shared" si="33"/>
        <v>0</v>
      </c>
      <c r="U74" s="483">
        <f t="shared" si="33"/>
        <v>0</v>
      </c>
      <c r="V74" s="483">
        <f t="shared" si="33"/>
        <v>0</v>
      </c>
      <c r="W74" s="483">
        <f t="shared" si="33"/>
        <v>0</v>
      </c>
      <c r="X74" s="483">
        <f t="shared" si="33"/>
        <v>0</v>
      </c>
      <c r="Y74" s="483">
        <f t="shared" si="33"/>
        <v>0</v>
      </c>
      <c r="Z74" s="483">
        <f t="shared" si="33"/>
        <v>0</v>
      </c>
      <c r="AA74" s="483">
        <f t="shared" si="34"/>
        <v>0</v>
      </c>
      <c r="AB74" s="483">
        <f t="shared" si="34"/>
        <v>0</v>
      </c>
      <c r="AC74" s="483">
        <f t="shared" si="34"/>
        <v>0</v>
      </c>
      <c r="AD74" s="483">
        <f t="shared" si="34"/>
        <v>0</v>
      </c>
      <c r="AE74" s="483">
        <f t="shared" si="34"/>
        <v>0</v>
      </c>
      <c r="AF74" s="483">
        <f t="shared" si="34"/>
        <v>0</v>
      </c>
      <c r="AG74" s="483">
        <f t="shared" si="34"/>
        <v>0</v>
      </c>
      <c r="AH74" s="483">
        <f t="shared" si="34"/>
        <v>0</v>
      </c>
      <c r="AI74" s="483">
        <f t="shared" si="34"/>
        <v>0</v>
      </c>
      <c r="AJ74" s="483">
        <f t="shared" si="34"/>
        <v>0</v>
      </c>
      <c r="AK74" s="483">
        <f t="shared" si="35"/>
        <v>0</v>
      </c>
      <c r="AL74" s="483">
        <f t="shared" si="35"/>
        <v>0</v>
      </c>
      <c r="AM74" s="483">
        <f t="shared" si="35"/>
        <v>0</v>
      </c>
      <c r="AN74" s="483">
        <f t="shared" si="35"/>
        <v>0</v>
      </c>
      <c r="AO74" s="483">
        <f t="shared" si="35"/>
        <v>0</v>
      </c>
      <c r="AP74" s="483">
        <f t="shared" si="35"/>
        <v>0</v>
      </c>
      <c r="AQ74" s="483">
        <f t="shared" si="35"/>
        <v>0</v>
      </c>
      <c r="AR74" s="483">
        <f t="shared" si="35"/>
        <v>0</v>
      </c>
      <c r="AS74" s="483">
        <f t="shared" si="35"/>
        <v>0</v>
      </c>
      <c r="AT74" s="483">
        <f t="shared" si="35"/>
        <v>0</v>
      </c>
      <c r="AU74" s="483">
        <f t="shared" si="35"/>
        <v>0</v>
      </c>
      <c r="AV74" s="484">
        <v>5</v>
      </c>
    </row>
    <row r="75" spans="2:119" ht="14.4">
      <c r="B75" s="560" t="str">
        <f>Processes!D89</f>
        <v>MINMOV</v>
      </c>
      <c r="C75" s="560" t="str">
        <f>Processes!E89</f>
        <v>Mining technology - Movement - Dummy commodity for bike and walk</v>
      </c>
      <c r="D75" s="561"/>
      <c r="E75" s="561" t="str">
        <f t="shared" si="23"/>
        <v>MOV</v>
      </c>
      <c r="F75" s="1119" t="str">
        <f>IFERROR(VLOOKUP(E75,$E$122:$F$174,2,FALSE),"MKr19")</f>
        <v>MKr19</v>
      </c>
      <c r="G75" s="562">
        <f t="shared" si="32"/>
        <v>0</v>
      </c>
      <c r="H75" s="562">
        <f t="shared" si="32"/>
        <v>0</v>
      </c>
      <c r="I75" s="562">
        <f t="shared" si="32"/>
        <v>0</v>
      </c>
      <c r="J75" s="562">
        <f t="shared" si="32"/>
        <v>0</v>
      </c>
      <c r="K75" s="562">
        <f t="shared" si="32"/>
        <v>0</v>
      </c>
      <c r="L75" s="562">
        <f t="shared" si="32"/>
        <v>0</v>
      </c>
      <c r="M75" s="562">
        <f t="shared" si="32"/>
        <v>0</v>
      </c>
      <c r="N75" s="562">
        <f t="shared" si="32"/>
        <v>0</v>
      </c>
      <c r="O75" s="562">
        <f t="shared" si="32"/>
        <v>0</v>
      </c>
      <c r="P75" s="562">
        <f t="shared" si="32"/>
        <v>0</v>
      </c>
      <c r="Q75" s="562">
        <f t="shared" si="33"/>
        <v>0</v>
      </c>
      <c r="R75" s="562">
        <f t="shared" si="33"/>
        <v>0</v>
      </c>
      <c r="S75" s="562">
        <f t="shared" si="33"/>
        <v>0</v>
      </c>
      <c r="T75" s="562">
        <f t="shared" si="33"/>
        <v>0</v>
      </c>
      <c r="U75" s="562">
        <f t="shared" si="33"/>
        <v>0</v>
      </c>
      <c r="V75" s="562">
        <f t="shared" si="33"/>
        <v>0</v>
      </c>
      <c r="W75" s="562">
        <f t="shared" si="33"/>
        <v>0</v>
      </c>
      <c r="X75" s="562">
        <f t="shared" si="33"/>
        <v>0</v>
      </c>
      <c r="Y75" s="562">
        <f t="shared" si="33"/>
        <v>0</v>
      </c>
      <c r="Z75" s="562">
        <f t="shared" si="33"/>
        <v>0</v>
      </c>
      <c r="AA75" s="562">
        <f t="shared" si="34"/>
        <v>0</v>
      </c>
      <c r="AB75" s="562">
        <f t="shared" si="34"/>
        <v>0</v>
      </c>
      <c r="AC75" s="562">
        <f t="shared" si="34"/>
        <v>0</v>
      </c>
      <c r="AD75" s="562">
        <f t="shared" si="34"/>
        <v>0</v>
      </c>
      <c r="AE75" s="562">
        <f t="shared" si="34"/>
        <v>0</v>
      </c>
      <c r="AF75" s="562">
        <f t="shared" si="34"/>
        <v>0</v>
      </c>
      <c r="AG75" s="562">
        <f t="shared" si="34"/>
        <v>0</v>
      </c>
      <c r="AH75" s="562">
        <f t="shared" si="34"/>
        <v>0</v>
      </c>
      <c r="AI75" s="562">
        <f t="shared" si="34"/>
        <v>0</v>
      </c>
      <c r="AJ75" s="562">
        <f t="shared" si="34"/>
        <v>0</v>
      </c>
      <c r="AK75" s="562">
        <f t="shared" si="35"/>
        <v>0</v>
      </c>
      <c r="AL75" s="562">
        <f t="shared" si="35"/>
        <v>0</v>
      </c>
      <c r="AM75" s="562">
        <f t="shared" si="35"/>
        <v>0</v>
      </c>
      <c r="AN75" s="562">
        <f t="shared" si="35"/>
        <v>0</v>
      </c>
      <c r="AO75" s="562">
        <f t="shared" si="35"/>
        <v>0</v>
      </c>
      <c r="AP75" s="562">
        <f t="shared" si="35"/>
        <v>0</v>
      </c>
      <c r="AQ75" s="562">
        <f t="shared" si="35"/>
        <v>0</v>
      </c>
      <c r="AR75" s="562">
        <f t="shared" si="35"/>
        <v>0</v>
      </c>
      <c r="AS75" s="562">
        <f t="shared" si="35"/>
        <v>0</v>
      </c>
      <c r="AT75" s="562">
        <f t="shared" si="35"/>
        <v>0</v>
      </c>
      <c r="AU75" s="562">
        <f t="shared" si="35"/>
        <v>0</v>
      </c>
      <c r="AV75" s="484">
        <v>5</v>
      </c>
    </row>
    <row r="76" spans="2:119" ht="14.4">
      <c r="B76" s="8" t="str">
        <f>Processes!D90</f>
        <v>EXPCOA</v>
      </c>
      <c r="C76" s="8" t="str">
        <f>Processes!E90</f>
        <v>Export technology - Coal</v>
      </c>
      <c r="D76" s="216" t="str">
        <f>IF(LEN(B76)=6,RIGHT(B76,3),RIGHT(B76,4))</f>
        <v>COA</v>
      </c>
      <c r="E76" s="484"/>
      <c r="F76" s="1119" t="str">
        <f t="shared" ref="F76:F96" si="36">IFERROR(VLOOKUP(D76,$E$122:$F$174,2,FALSE),"MKr19")</f>
        <v>MKr19</v>
      </c>
      <c r="G76" s="483">
        <f t="shared" ref="G76:P85" si="37">IFERROR(INDEX($G$122:$AU$177,MATCH($D76,$E$122:$E$177,0),MATCH(G$6,$G$121:$AU$121,0)),0)*$E$194</f>
        <v>21.945</v>
      </c>
      <c r="H76" s="483">
        <f t="shared" si="37"/>
        <v>26.314999999999998</v>
      </c>
      <c r="I76" s="483">
        <f t="shared" si="37"/>
        <v>22.704999999999998</v>
      </c>
      <c r="J76" s="483">
        <f t="shared" si="37"/>
        <v>19.285</v>
      </c>
      <c r="K76" s="483">
        <f t="shared" si="37"/>
        <v>16.34</v>
      </c>
      <c r="L76" s="483">
        <f t="shared" si="37"/>
        <v>14.914999999999999</v>
      </c>
      <c r="M76" s="483">
        <f t="shared" si="37"/>
        <v>11.589999999999998</v>
      </c>
      <c r="N76" s="483">
        <f t="shared" si="37"/>
        <v>11.114999999999998</v>
      </c>
      <c r="O76" s="483">
        <f t="shared" si="37"/>
        <v>21.78900632162258</v>
      </c>
      <c r="P76" s="483">
        <f t="shared" si="37"/>
        <v>14.756127705880644</v>
      </c>
      <c r="Q76" s="483">
        <f t="shared" ref="Q76:Z85" si="38">IFERROR(INDEX($G$122:$AU$177,MATCH($D76,$E$122:$E$177,0),MATCH(Q$6,$G$121:$AU$121,0)),0)*$E$194</f>
        <v>12.283074295108483</v>
      </c>
      <c r="R76" s="483">
        <f t="shared" si="38"/>
        <v>12.507756006608648</v>
      </c>
      <c r="S76" s="483">
        <f t="shared" si="38"/>
        <v>12.989799807358731</v>
      </c>
      <c r="T76" s="483">
        <f t="shared" si="38"/>
        <v>13.465230349692069</v>
      </c>
      <c r="U76" s="483">
        <f t="shared" si="38"/>
        <v>13.915030684931427</v>
      </c>
      <c r="V76" s="483">
        <f t="shared" si="38"/>
        <v>13.851853886698651</v>
      </c>
      <c r="W76" s="483">
        <f t="shared" si="38"/>
        <v>13.80507556918923</v>
      </c>
      <c r="X76" s="483">
        <f t="shared" si="38"/>
        <v>13.753369063433919</v>
      </c>
      <c r="Y76" s="483">
        <f t="shared" si="38"/>
        <v>13.692531115779898</v>
      </c>
      <c r="Z76" s="483">
        <f t="shared" si="38"/>
        <v>13.626765425212151</v>
      </c>
      <c r="AA76" s="483">
        <f t="shared" ref="AA76:AJ85" si="39">IFERROR(INDEX($G$122:$AU$177,MATCH($D76,$E$122:$E$177,0),MATCH(AA$6,$G$121:$AU$121,0)),0)*$E$194</f>
        <v>13.553177994478832</v>
      </c>
      <c r="AB76" s="483">
        <f t="shared" si="39"/>
        <v>13.519158410926833</v>
      </c>
      <c r="AC76" s="483">
        <f t="shared" si="39"/>
        <v>13.485285401041429</v>
      </c>
      <c r="AD76" s="483">
        <f t="shared" si="39"/>
        <v>13.451158746657704</v>
      </c>
      <c r="AE76" s="483">
        <f t="shared" si="39"/>
        <v>13.417185755155389</v>
      </c>
      <c r="AF76" s="483">
        <f t="shared" si="39"/>
        <v>13.383193406292561</v>
      </c>
      <c r="AG76" s="483">
        <f t="shared" si="39"/>
        <v>13.349386406163774</v>
      </c>
      <c r="AH76" s="483">
        <f t="shared" si="39"/>
        <v>13.315362687933581</v>
      </c>
      <c r="AI76" s="483">
        <f t="shared" si="39"/>
        <v>13.281485201433636</v>
      </c>
      <c r="AJ76" s="483">
        <f t="shared" si="39"/>
        <v>13.247421773855388</v>
      </c>
      <c r="AK76" s="483">
        <f t="shared" ref="AK76:AU85" si="40">IFERROR(INDEX($G$122:$AU$177,MATCH($D76,$E$122:$E$177,0),MATCH(AK$6,$G$121:$AU$121,0)),0)*$E$194</f>
        <v>13.213418778043801</v>
      </c>
      <c r="AL76" s="483">
        <f t="shared" si="40"/>
        <v>13.179415681273062</v>
      </c>
      <c r="AM76" s="483">
        <f t="shared" si="40"/>
        <v>13.144779930167507</v>
      </c>
      <c r="AN76" s="483">
        <f t="shared" si="40"/>
        <v>13.110143029498113</v>
      </c>
      <c r="AO76" s="483">
        <f t="shared" si="40"/>
        <v>13.075504977795086</v>
      </c>
      <c r="AP76" s="483">
        <f t="shared" si="40"/>
        <v>13.040865773586766</v>
      </c>
      <c r="AQ76" s="483">
        <f t="shared" si="40"/>
        <v>13.006225415399589</v>
      </c>
      <c r="AR76" s="483">
        <f t="shared" si="40"/>
        <v>12.971583901758121</v>
      </c>
      <c r="AS76" s="483">
        <f t="shared" si="40"/>
        <v>12.936941231185042</v>
      </c>
      <c r="AT76" s="483">
        <f t="shared" si="40"/>
        <v>12.902297402201137</v>
      </c>
      <c r="AU76" s="483">
        <f t="shared" si="40"/>
        <v>12.867652413325308</v>
      </c>
      <c r="AV76" s="484">
        <v>5</v>
      </c>
      <c r="AX76" s="602"/>
      <c r="AY76" s="602"/>
      <c r="AZ76" s="602"/>
      <c r="BA76" s="602"/>
      <c r="BB76" s="602"/>
    </row>
    <row r="77" spans="2:119" ht="14.4">
      <c r="B77" s="8" t="str">
        <f>Processes!D91</f>
        <v>EXPNGA</v>
      </c>
      <c r="C77" s="8" t="str">
        <f>Processes!E91</f>
        <v>Export technology - Natural Gas</v>
      </c>
      <c r="D77" s="216" t="str">
        <f>IF(LEN(B77)=6,RIGHT(B77,3),RIGHT(B77,4))</f>
        <v>NGA</v>
      </c>
      <c r="E77" s="484"/>
      <c r="F77" s="1119" t="str">
        <f t="shared" si="36"/>
        <v>MKr19</v>
      </c>
      <c r="G77" s="483">
        <f t="shared" si="37"/>
        <v>42.18</v>
      </c>
      <c r="H77" s="483">
        <f t="shared" si="37"/>
        <v>43.795000000000002</v>
      </c>
      <c r="I77" s="483">
        <f t="shared" si="37"/>
        <v>52.344999999999999</v>
      </c>
      <c r="J77" s="483">
        <f t="shared" si="37"/>
        <v>51.49</v>
      </c>
      <c r="K77" s="483">
        <f t="shared" si="37"/>
        <v>43.414999999999999</v>
      </c>
      <c r="L77" s="483">
        <f t="shared" si="37"/>
        <v>41.8</v>
      </c>
      <c r="M77" s="483">
        <f t="shared" si="37"/>
        <v>34.959999999999994</v>
      </c>
      <c r="N77" s="483">
        <f t="shared" si="37"/>
        <v>35.055</v>
      </c>
      <c r="O77" s="483">
        <f t="shared" si="37"/>
        <v>50.751074212757736</v>
      </c>
      <c r="P77" s="483">
        <f t="shared" si="37"/>
        <v>32.54796067858944</v>
      </c>
      <c r="Q77" s="483">
        <f t="shared" si="38"/>
        <v>31.727957487158143</v>
      </c>
      <c r="R77" s="483">
        <f t="shared" si="38"/>
        <v>29.949025524166288</v>
      </c>
      <c r="S77" s="483">
        <f t="shared" si="38"/>
        <v>31.124421190464801</v>
      </c>
      <c r="T77" s="483">
        <f>IFERROR(INDEX($G$122:$AU$177,MATCH($D77,$E$122:$E$177,0),MATCH(T$6,$G$121:$AU$121,0)),0)*$E$194</f>
        <v>31.69930389723169</v>
      </c>
      <c r="U77" s="483">
        <f t="shared" si="38"/>
        <v>31.888767724343968</v>
      </c>
      <c r="V77" s="483">
        <f t="shared" si="38"/>
        <v>31.830779289767982</v>
      </c>
      <c r="W77" s="483">
        <f t="shared" si="38"/>
        <v>31.794257244088858</v>
      </c>
      <c r="X77" s="483">
        <f t="shared" si="38"/>
        <v>31.770799731920086</v>
      </c>
      <c r="Y77" s="483">
        <f t="shared" si="38"/>
        <v>31.750709610930787</v>
      </c>
      <c r="Z77" s="483">
        <f t="shared" si="38"/>
        <v>31.743509235621186</v>
      </c>
      <c r="AA77" s="483">
        <f t="shared" si="39"/>
        <v>31.741544979889387</v>
      </c>
      <c r="AB77" s="483">
        <f t="shared" si="39"/>
        <v>31.785326421240963</v>
      </c>
      <c r="AC77" s="483">
        <f t="shared" si="39"/>
        <v>31.829107862592537</v>
      </c>
      <c r="AD77" s="483">
        <f t="shared" si="39"/>
        <v>31.872889303944106</v>
      </c>
      <c r="AE77" s="483">
        <f t="shared" si="39"/>
        <v>31.916670745295676</v>
      </c>
      <c r="AF77" s="483">
        <f t="shared" si="39"/>
        <v>31.960452186647256</v>
      </c>
      <c r="AG77" s="483">
        <f t="shared" si="39"/>
        <v>32.004233627998829</v>
      </c>
      <c r="AH77" s="483">
        <f t="shared" si="39"/>
        <v>32.048015069350392</v>
      </c>
      <c r="AI77" s="483">
        <f t="shared" si="39"/>
        <v>32.091796510701968</v>
      </c>
      <c r="AJ77" s="483">
        <f t="shared" si="39"/>
        <v>32.135577952053531</v>
      </c>
      <c r="AK77" s="483">
        <f t="shared" si="40"/>
        <v>32.179359393405107</v>
      </c>
      <c r="AL77" s="483">
        <f t="shared" si="40"/>
        <v>32.223140834756684</v>
      </c>
      <c r="AM77" s="483">
        <f t="shared" si="40"/>
        <v>32.266922276108254</v>
      </c>
      <c r="AN77" s="483">
        <f t="shared" si="40"/>
        <v>32.310703717459816</v>
      </c>
      <c r="AO77" s="483">
        <f t="shared" si="40"/>
        <v>32.354485158811393</v>
      </c>
      <c r="AP77" s="483">
        <f t="shared" si="40"/>
        <v>32.39826660016297</v>
      </c>
      <c r="AQ77" s="483">
        <f t="shared" si="40"/>
        <v>32.442048041514546</v>
      </c>
      <c r="AR77" s="483">
        <f t="shared" si="40"/>
        <v>32.485829482866109</v>
      </c>
      <c r="AS77" s="483">
        <f t="shared" si="40"/>
        <v>32.529610924217685</v>
      </c>
      <c r="AT77" s="483">
        <f t="shared" si="40"/>
        <v>32.573392365569248</v>
      </c>
      <c r="AU77" s="483">
        <f t="shared" si="40"/>
        <v>32.617173806920832</v>
      </c>
      <c r="AV77" s="484">
        <v>5</v>
      </c>
      <c r="AW77" s="483">
        <f>IFERROR(INDEX('2010'!$D$6:$T$8,MATCH(LEFT($B77,3),'2010'!$A$6:$A$8,0),MATCH(RIGHT($B77,3),'2010'!$D$3:$T$3,0))/-1000,0)</f>
        <v>241.672</v>
      </c>
      <c r="AX77" s="483">
        <f>IFERROR(INDEX('2015'!$D$6:$T$8,MATCH(LEFT($B77,3),'2015'!$A$6:$A$8,0),MATCH(RIGHT($B77,3),'2015'!$D$3:$T$3,0))/-1000,0)</f>
        <v>318.1515</v>
      </c>
      <c r="AY77" s="483">
        <f>IFERROR(INDEX('2019'!$D$6:$T$8,MATCH(LEFT($B77,3),'2019'!$A$6:$A$8,0),MATCH(RIGHT($B77,3),'2019'!$D$3:$T$3,0))/-1000,0)</f>
        <v>462.197</v>
      </c>
      <c r="AZ77" s="602">
        <v>4</v>
      </c>
      <c r="BA77" s="602">
        <v>0</v>
      </c>
      <c r="BB77" s="602">
        <v>0</v>
      </c>
      <c r="BC77" s="602">
        <v>0</v>
      </c>
      <c r="BD77" s="602">
        <v>4</v>
      </c>
      <c r="BE77" s="602">
        <v>0</v>
      </c>
      <c r="BF77" s="602">
        <v>0</v>
      </c>
      <c r="BG77" s="602">
        <v>0</v>
      </c>
      <c r="BH77" s="602">
        <v>4</v>
      </c>
      <c r="BI77" s="602">
        <v>0</v>
      </c>
      <c r="BJ77" s="602">
        <v>0</v>
      </c>
      <c r="BK77" s="602">
        <v>0</v>
      </c>
      <c r="BL77" s="602">
        <v>4</v>
      </c>
      <c r="BM77" s="602">
        <v>0</v>
      </c>
      <c r="BN77" s="602">
        <v>0</v>
      </c>
      <c r="BO77" s="602">
        <v>0</v>
      </c>
      <c r="BP77" s="602">
        <v>4</v>
      </c>
    </row>
    <row r="78" spans="2:119" ht="14.4">
      <c r="B78" s="8" t="str">
        <f>Processes!D92</f>
        <v>EXPCRD</v>
      </c>
      <c r="C78" s="8" t="str">
        <f>Processes!E92</f>
        <v>Export technology - Crude Oil</v>
      </c>
      <c r="D78" s="216" t="str">
        <f t="shared" ref="D78:D112" si="41">IF(LEN(B78)=6,RIGHT(B78,3),RIGHT(B78,4))</f>
        <v>CRD</v>
      </c>
      <c r="E78" s="485"/>
      <c r="F78" s="1119" t="str">
        <f t="shared" si="36"/>
        <v>MKr19</v>
      </c>
      <c r="G78" s="483">
        <f t="shared" si="37"/>
        <v>72.39</v>
      </c>
      <c r="H78" s="483">
        <f t="shared" si="37"/>
        <v>100.79499999999999</v>
      </c>
      <c r="I78" s="483">
        <f t="shared" si="37"/>
        <v>107.255</v>
      </c>
      <c r="J78" s="483">
        <f t="shared" si="37"/>
        <v>95.284999999999997</v>
      </c>
      <c r="K78" s="483">
        <f t="shared" si="37"/>
        <v>92.434999999999988</v>
      </c>
      <c r="L78" s="483">
        <f t="shared" si="37"/>
        <v>59.564999999999998</v>
      </c>
      <c r="M78" s="483">
        <f t="shared" si="37"/>
        <v>56.904999999999994</v>
      </c>
      <c r="N78" s="483">
        <f t="shared" si="37"/>
        <v>60.704999999999998</v>
      </c>
      <c r="O78" s="483">
        <f t="shared" si="37"/>
        <v>74.663266513337106</v>
      </c>
      <c r="P78" s="483">
        <f t="shared" si="37"/>
        <v>69.03441780821916</v>
      </c>
      <c r="Q78" s="483">
        <f t="shared" si="38"/>
        <v>67.631970550230122</v>
      </c>
      <c r="R78" s="483">
        <f t="shared" si="38"/>
        <v>46.72206120455769</v>
      </c>
      <c r="S78" s="483">
        <f t="shared" si="38"/>
        <v>49.952257260471079</v>
      </c>
      <c r="T78" s="483">
        <f t="shared" si="38"/>
        <v>52.145468152516102</v>
      </c>
      <c r="U78" s="483">
        <f t="shared" si="38"/>
        <v>53.739968659338345</v>
      </c>
      <c r="V78" s="483">
        <f t="shared" si="38"/>
        <v>54.897107604482805</v>
      </c>
      <c r="W78" s="483">
        <f t="shared" si="38"/>
        <v>56.188956663113622</v>
      </c>
      <c r="X78" s="483">
        <f t="shared" si="38"/>
        <v>57.454144637525566</v>
      </c>
      <c r="Y78" s="483">
        <f t="shared" si="38"/>
        <v>58.618015544439388</v>
      </c>
      <c r="Z78" s="483">
        <f t="shared" si="38"/>
        <v>59.840122211312412</v>
      </c>
      <c r="AA78" s="483">
        <f t="shared" si="39"/>
        <v>60.99866547075451</v>
      </c>
      <c r="AB78" s="483">
        <f t="shared" si="39"/>
        <v>60.706456294846689</v>
      </c>
      <c r="AC78" s="483">
        <f t="shared" si="39"/>
        <v>60.414247118938881</v>
      </c>
      <c r="AD78" s="483">
        <f t="shared" si="39"/>
        <v>60.122037943031081</v>
      </c>
      <c r="AE78" s="483">
        <f t="shared" si="39"/>
        <v>59.829828767123267</v>
      </c>
      <c r="AF78" s="483">
        <f t="shared" si="39"/>
        <v>59.537619591215467</v>
      </c>
      <c r="AG78" s="483">
        <f t="shared" si="39"/>
        <v>59.24541041530766</v>
      </c>
      <c r="AH78" s="483">
        <f t="shared" si="39"/>
        <v>58.95320123939986</v>
      </c>
      <c r="AI78" s="483">
        <f t="shared" si="39"/>
        <v>58.66099206349206</v>
      </c>
      <c r="AJ78" s="483">
        <f t="shared" si="39"/>
        <v>58.368782887584253</v>
      </c>
      <c r="AK78" s="483">
        <f t="shared" si="40"/>
        <v>58.076573711676446</v>
      </c>
      <c r="AL78" s="483">
        <f t="shared" si="40"/>
        <v>57.784364535768646</v>
      </c>
      <c r="AM78" s="483">
        <f t="shared" si="40"/>
        <v>57.492155359860831</v>
      </c>
      <c r="AN78" s="483">
        <f t="shared" si="40"/>
        <v>57.199946183953024</v>
      </c>
      <c r="AO78" s="483">
        <f t="shared" si="40"/>
        <v>56.907737008045224</v>
      </c>
      <c r="AP78" s="483">
        <f t="shared" si="40"/>
        <v>56.615527832137417</v>
      </c>
      <c r="AQ78" s="483">
        <f t="shared" si="40"/>
        <v>56.32331865622961</v>
      </c>
      <c r="AR78" s="483">
        <f t="shared" si="40"/>
        <v>56.031109480321803</v>
      </c>
      <c r="AS78" s="483">
        <f t="shared" si="40"/>
        <v>55.738900304414003</v>
      </c>
      <c r="AT78" s="483">
        <f t="shared" si="40"/>
        <v>55.446691128506195</v>
      </c>
      <c r="AU78" s="483">
        <f t="shared" si="40"/>
        <v>55.154481952598395</v>
      </c>
      <c r="AV78" s="484">
        <v>5</v>
      </c>
      <c r="AW78" s="483">
        <f>IFERROR(INDEX('2010'!$D$6:$T$8,MATCH(LEFT($B78,3),'2010'!$A$6:$A$8,0),MATCH(RIGHT($B78,3),'2010'!$D$3:$T$3,0))/-1000,0)</f>
        <v>1918.0233999999998</v>
      </c>
      <c r="AX78" s="483">
        <f>IFERROR(INDEX('2015'!$D$6:$T$8,MATCH(LEFT($B78,3),'2015'!$A$6:$A$8,0),MATCH(RIGHT($B78,3),'2015'!$D$3:$T$3,0))/-1000,0)</f>
        <v>1513.0260000000001</v>
      </c>
      <c r="AY78" s="483">
        <f>IFERROR(INDEX('2019'!$D$6:$T$8,MATCH(LEFT($B78,3),'2019'!$A$6:$A$8,0),MATCH(RIGHT($B78,3),'2019'!$D$3:$T$3,0))/-1000,0)</f>
        <v>1346.1704</v>
      </c>
      <c r="AZ78" s="602">
        <v>4</v>
      </c>
      <c r="BA78" s="602">
        <v>0</v>
      </c>
      <c r="BB78" s="602">
        <v>0</v>
      </c>
      <c r="BC78" s="602">
        <v>0</v>
      </c>
      <c r="BD78" s="602">
        <v>4</v>
      </c>
      <c r="BE78" s="602">
        <v>0</v>
      </c>
      <c r="BF78" s="602">
        <v>0</v>
      </c>
      <c r="BG78" s="602">
        <v>0</v>
      </c>
      <c r="BH78" s="602">
        <v>4</v>
      </c>
      <c r="BI78" s="602">
        <v>0</v>
      </c>
      <c r="BJ78" s="602">
        <v>0</v>
      </c>
      <c r="BK78" s="602">
        <v>0</v>
      </c>
      <c r="BL78" s="602">
        <v>4</v>
      </c>
      <c r="BM78" s="602">
        <v>0</v>
      </c>
      <c r="BN78" s="602">
        <v>0</v>
      </c>
      <c r="BO78" s="602">
        <v>0</v>
      </c>
      <c r="BP78" s="602">
        <v>4</v>
      </c>
      <c r="CA78" s="603"/>
      <c r="CB78" s="603"/>
      <c r="CC78" s="603"/>
      <c r="CD78" s="603"/>
      <c r="CE78" s="603"/>
      <c r="CF78" s="603"/>
    </row>
    <row r="79" spans="2:119" ht="14.4">
      <c r="B79" s="8" t="str">
        <f>Processes!D93</f>
        <v>EXPLPG</v>
      </c>
      <c r="C79" s="8" t="str">
        <f>Processes!E93</f>
        <v>Export technology - Liquid petrol gas</v>
      </c>
      <c r="D79" s="216" t="str">
        <f t="shared" si="41"/>
        <v>LPG</v>
      </c>
      <c r="E79" s="485"/>
      <c r="F79" s="1119" t="str">
        <f t="shared" si="36"/>
        <v>MKr14</v>
      </c>
      <c r="G79" s="483">
        <f t="shared" si="37"/>
        <v>84.36</v>
      </c>
      <c r="H79" s="483">
        <f t="shared" si="37"/>
        <v>87.59</v>
      </c>
      <c r="I79" s="483">
        <f t="shared" si="37"/>
        <v>104.69</v>
      </c>
      <c r="J79" s="483">
        <f t="shared" si="37"/>
        <v>102.98</v>
      </c>
      <c r="K79" s="483">
        <f t="shared" si="37"/>
        <v>86.83</v>
      </c>
      <c r="L79" s="483">
        <f t="shared" si="37"/>
        <v>83.6</v>
      </c>
      <c r="M79" s="483">
        <f t="shared" si="37"/>
        <v>69.919999999999987</v>
      </c>
      <c r="N79" s="483">
        <f t="shared" si="37"/>
        <v>70.11</v>
      </c>
      <c r="O79" s="483">
        <f t="shared" si="37"/>
        <v>101.50214842551547</v>
      </c>
      <c r="P79" s="483">
        <f t="shared" si="37"/>
        <v>65.095921357178881</v>
      </c>
      <c r="Q79" s="483">
        <f t="shared" si="38"/>
        <v>63.455914974316286</v>
      </c>
      <c r="R79" s="483">
        <f t="shared" si="38"/>
        <v>59.898051048332576</v>
      </c>
      <c r="S79" s="483">
        <f t="shared" si="38"/>
        <v>62.248842380929602</v>
      </c>
      <c r="T79" s="483">
        <f t="shared" si="38"/>
        <v>63.398607794463381</v>
      </c>
      <c r="U79" s="483">
        <f t="shared" si="38"/>
        <v>63.777535448687935</v>
      </c>
      <c r="V79" s="483">
        <f t="shared" si="38"/>
        <v>63.661558579535964</v>
      </c>
      <c r="W79" s="483">
        <f t="shared" si="38"/>
        <v>63.588514488177715</v>
      </c>
      <c r="X79" s="483">
        <f t="shared" si="38"/>
        <v>63.541599463840171</v>
      </c>
      <c r="Y79" s="483">
        <f t="shared" si="38"/>
        <v>63.501419221861575</v>
      </c>
      <c r="Z79" s="483">
        <f t="shared" si="38"/>
        <v>63.487018471242372</v>
      </c>
      <c r="AA79" s="483">
        <f t="shared" si="39"/>
        <v>63.483089959778773</v>
      </c>
      <c r="AB79" s="483">
        <f t="shared" si="39"/>
        <v>63.570652842481927</v>
      </c>
      <c r="AC79" s="483">
        <f t="shared" si="39"/>
        <v>63.658215725185073</v>
      </c>
      <c r="AD79" s="483">
        <f t="shared" si="39"/>
        <v>63.745778607888212</v>
      </c>
      <c r="AE79" s="483">
        <f t="shared" si="39"/>
        <v>63.833341490591351</v>
      </c>
      <c r="AF79" s="483">
        <f t="shared" si="39"/>
        <v>63.920904373294512</v>
      </c>
      <c r="AG79" s="483">
        <f t="shared" si="39"/>
        <v>64.008467255997658</v>
      </c>
      <c r="AH79" s="483">
        <f t="shared" si="39"/>
        <v>64.096030138700783</v>
      </c>
      <c r="AI79" s="483">
        <f t="shared" si="39"/>
        <v>64.183593021403937</v>
      </c>
      <c r="AJ79" s="483">
        <f t="shared" si="39"/>
        <v>64.271155904107061</v>
      </c>
      <c r="AK79" s="483">
        <f t="shared" si="40"/>
        <v>64.358718786810215</v>
      </c>
      <c r="AL79" s="483">
        <f t="shared" si="40"/>
        <v>64.446281669513368</v>
      </c>
      <c r="AM79" s="483">
        <f t="shared" si="40"/>
        <v>64.533844552216507</v>
      </c>
      <c r="AN79" s="483">
        <f t="shared" si="40"/>
        <v>64.621407434919632</v>
      </c>
      <c r="AO79" s="483">
        <f t="shared" si="40"/>
        <v>64.708970317622786</v>
      </c>
      <c r="AP79" s="483">
        <f t="shared" si="40"/>
        <v>64.796533200325939</v>
      </c>
      <c r="AQ79" s="483">
        <f t="shared" si="40"/>
        <v>64.884096083029092</v>
      </c>
      <c r="AR79" s="483">
        <f t="shared" si="40"/>
        <v>64.971658965732217</v>
      </c>
      <c r="AS79" s="483">
        <f t="shared" si="40"/>
        <v>65.059221848435371</v>
      </c>
      <c r="AT79" s="483">
        <f t="shared" si="40"/>
        <v>65.146784731138496</v>
      </c>
      <c r="AU79" s="483">
        <f t="shared" si="40"/>
        <v>65.234347613841663</v>
      </c>
      <c r="AV79" s="484">
        <v>5</v>
      </c>
      <c r="AW79" s="602"/>
      <c r="AX79" s="602"/>
      <c r="AY79" s="602"/>
      <c r="AZ79" s="602"/>
      <c r="BA79" s="602"/>
      <c r="BB79" s="602"/>
      <c r="BC79" s="602"/>
      <c r="CA79" s="603"/>
      <c r="CB79" s="603"/>
      <c r="CC79" s="603"/>
      <c r="CD79" s="603"/>
      <c r="CE79" s="603"/>
      <c r="CF79" s="603"/>
    </row>
    <row r="80" spans="2:119" ht="14.4">
      <c r="B80" s="8" t="str">
        <f>Processes!D94</f>
        <v>EXPLVN</v>
      </c>
      <c r="C80" s="8" t="str">
        <f>Processes!E94</f>
        <v>Export technology - Naphtha (Petroleoum)</v>
      </c>
      <c r="D80" s="216" t="str">
        <f t="shared" si="41"/>
        <v>LVN</v>
      </c>
      <c r="E80" s="485"/>
      <c r="F80" s="1119" t="str">
        <f t="shared" si="36"/>
        <v>MKr14</v>
      </c>
      <c r="G80" s="483">
        <f t="shared" si="37"/>
        <v>84.36</v>
      </c>
      <c r="H80" s="483">
        <f t="shared" si="37"/>
        <v>87.59</v>
      </c>
      <c r="I80" s="483">
        <f t="shared" si="37"/>
        <v>104.69</v>
      </c>
      <c r="J80" s="483">
        <f t="shared" si="37"/>
        <v>102.98</v>
      </c>
      <c r="K80" s="483">
        <f t="shared" si="37"/>
        <v>86.83</v>
      </c>
      <c r="L80" s="483">
        <f t="shared" si="37"/>
        <v>83.6</v>
      </c>
      <c r="M80" s="483">
        <f t="shared" si="37"/>
        <v>69.919999999999987</v>
      </c>
      <c r="N80" s="483">
        <f t="shared" si="37"/>
        <v>70.11</v>
      </c>
      <c r="O80" s="483">
        <f t="shared" si="37"/>
        <v>101.50214842551547</v>
      </c>
      <c r="P80" s="483">
        <f t="shared" si="37"/>
        <v>65.095921357178881</v>
      </c>
      <c r="Q80" s="483">
        <f t="shared" si="38"/>
        <v>63.455914974316286</v>
      </c>
      <c r="R80" s="483">
        <f t="shared" si="38"/>
        <v>59.898051048332576</v>
      </c>
      <c r="S80" s="483">
        <f t="shared" si="38"/>
        <v>62.248842380929602</v>
      </c>
      <c r="T80" s="483">
        <f t="shared" si="38"/>
        <v>63.398607794463381</v>
      </c>
      <c r="U80" s="483">
        <f t="shared" si="38"/>
        <v>63.777535448687935</v>
      </c>
      <c r="V80" s="483">
        <f t="shared" si="38"/>
        <v>63.661558579535964</v>
      </c>
      <c r="W80" s="483">
        <f t="shared" si="38"/>
        <v>63.588514488177715</v>
      </c>
      <c r="X80" s="483">
        <f t="shared" si="38"/>
        <v>63.541599463840171</v>
      </c>
      <c r="Y80" s="483">
        <f t="shared" si="38"/>
        <v>63.501419221861575</v>
      </c>
      <c r="Z80" s="483">
        <f t="shared" si="38"/>
        <v>63.487018471242372</v>
      </c>
      <c r="AA80" s="483">
        <f t="shared" si="39"/>
        <v>63.483089959778773</v>
      </c>
      <c r="AB80" s="483">
        <f t="shared" si="39"/>
        <v>63.570652842481927</v>
      </c>
      <c r="AC80" s="483">
        <f t="shared" si="39"/>
        <v>63.658215725185073</v>
      </c>
      <c r="AD80" s="483">
        <f t="shared" si="39"/>
        <v>63.745778607888212</v>
      </c>
      <c r="AE80" s="483">
        <f t="shared" si="39"/>
        <v>63.833341490591351</v>
      </c>
      <c r="AF80" s="483">
        <f t="shared" si="39"/>
        <v>63.920904373294512</v>
      </c>
      <c r="AG80" s="483">
        <f t="shared" si="39"/>
        <v>64.008467255997658</v>
      </c>
      <c r="AH80" s="483">
        <f t="shared" si="39"/>
        <v>64.096030138700783</v>
      </c>
      <c r="AI80" s="483">
        <f t="shared" si="39"/>
        <v>64.183593021403937</v>
      </c>
      <c r="AJ80" s="483">
        <f t="shared" si="39"/>
        <v>64.271155904107061</v>
      </c>
      <c r="AK80" s="483">
        <f t="shared" si="40"/>
        <v>64.358718786810215</v>
      </c>
      <c r="AL80" s="483">
        <f t="shared" si="40"/>
        <v>64.446281669513368</v>
      </c>
      <c r="AM80" s="483">
        <f t="shared" si="40"/>
        <v>64.533844552216507</v>
      </c>
      <c r="AN80" s="483">
        <f t="shared" si="40"/>
        <v>64.621407434919632</v>
      </c>
      <c r="AO80" s="483">
        <f t="shared" si="40"/>
        <v>64.708970317622786</v>
      </c>
      <c r="AP80" s="483">
        <f t="shared" si="40"/>
        <v>64.796533200325939</v>
      </c>
      <c r="AQ80" s="483">
        <f t="shared" si="40"/>
        <v>64.884096083029092</v>
      </c>
      <c r="AR80" s="483">
        <f t="shared" si="40"/>
        <v>64.971658965732217</v>
      </c>
      <c r="AS80" s="483">
        <f t="shared" si="40"/>
        <v>65.059221848435371</v>
      </c>
      <c r="AT80" s="483">
        <f t="shared" si="40"/>
        <v>65.146784731138496</v>
      </c>
      <c r="AU80" s="483">
        <f t="shared" si="40"/>
        <v>65.234347613841663</v>
      </c>
      <c r="AV80" s="484">
        <v>5</v>
      </c>
      <c r="AW80" s="602"/>
      <c r="AX80" s="602"/>
      <c r="AY80" s="602"/>
      <c r="AZ80" s="602"/>
      <c r="BA80" s="602"/>
      <c r="BB80" s="602"/>
      <c r="BC80" s="602"/>
      <c r="CA80" s="603"/>
      <c r="CB80" s="603"/>
      <c r="CC80" s="603"/>
      <c r="CD80" s="603"/>
      <c r="CE80" s="603"/>
      <c r="CF80" s="603"/>
    </row>
    <row r="81" spans="2:84" ht="14.4">
      <c r="B81" s="8" t="str">
        <f>Processes!D95</f>
        <v>EXPGSL</v>
      </c>
      <c r="C81" s="8" t="str">
        <f>Processes!E95</f>
        <v>Export technology - Gasoline</v>
      </c>
      <c r="D81" s="216" t="str">
        <f t="shared" si="41"/>
        <v>GSL</v>
      </c>
      <c r="E81" s="485"/>
      <c r="F81" s="1119" t="str">
        <f t="shared" si="36"/>
        <v>MKr19</v>
      </c>
      <c r="G81" s="483">
        <f t="shared" si="37"/>
        <v>88.16</v>
      </c>
      <c r="H81" s="483">
        <f t="shared" si="37"/>
        <v>116.755</v>
      </c>
      <c r="I81" s="483">
        <f t="shared" si="37"/>
        <v>129.86499999999998</v>
      </c>
      <c r="J81" s="483">
        <f t="shared" si="37"/>
        <v>115.89999999999999</v>
      </c>
      <c r="K81" s="483">
        <f t="shared" si="37"/>
        <v>109.05999999999999</v>
      </c>
      <c r="L81" s="483">
        <f t="shared" si="37"/>
        <v>74.290000000000006</v>
      </c>
      <c r="M81" s="483">
        <f t="shared" si="37"/>
        <v>71.534999999999997</v>
      </c>
      <c r="N81" s="483">
        <f t="shared" si="37"/>
        <v>75.430000000000007</v>
      </c>
      <c r="O81" s="483">
        <f t="shared" si="37"/>
        <v>97.281022004987349</v>
      </c>
      <c r="P81" s="483">
        <f t="shared" si="37"/>
        <v>92.859615434698739</v>
      </c>
      <c r="Q81" s="483">
        <f t="shared" si="38"/>
        <v>91.453673832219465</v>
      </c>
      <c r="R81" s="483">
        <f t="shared" si="38"/>
        <v>70.56879269142425</v>
      </c>
      <c r="S81" s="483">
        <f t="shared" si="38"/>
        <v>73.806866618593077</v>
      </c>
      <c r="T81" s="483">
        <f t="shared" si="38"/>
        <v>76.013796318990643</v>
      </c>
      <c r="U81" s="483">
        <f t="shared" si="38"/>
        <v>77.627095006707535</v>
      </c>
      <c r="V81" s="483">
        <f t="shared" si="38"/>
        <v>78.80174894190931</v>
      </c>
      <c r="W81" s="483">
        <f t="shared" si="38"/>
        <v>80.09893911330299</v>
      </c>
      <c r="X81" s="483">
        <f t="shared" si="38"/>
        <v>81.370170941805384</v>
      </c>
      <c r="Y81" s="483">
        <f t="shared" si="38"/>
        <v>82.539736173993532</v>
      </c>
      <c r="Z81" s="483">
        <f t="shared" si="38"/>
        <v>83.767850466579958</v>
      </c>
      <c r="AA81" s="483">
        <f t="shared" si="39"/>
        <v>84.929880872470534</v>
      </c>
      <c r="AB81" s="483">
        <f t="shared" si="39"/>
        <v>84.639044298377826</v>
      </c>
      <c r="AC81" s="483">
        <f t="shared" si="39"/>
        <v>84.347512149203396</v>
      </c>
      <c r="AD81" s="483">
        <f t="shared" si="39"/>
        <v>84.057183686862714</v>
      </c>
      <c r="AE81" s="483">
        <f t="shared" si="39"/>
        <v>83.766126007099942</v>
      </c>
      <c r="AF81" s="483">
        <f t="shared" si="39"/>
        <v>83.475160188978734</v>
      </c>
      <c r="AG81" s="483">
        <f t="shared" si="39"/>
        <v>83.183314786114749</v>
      </c>
      <c r="AH81" s="483">
        <f t="shared" si="39"/>
        <v>82.892497833412349</v>
      </c>
      <c r="AI81" s="483">
        <f t="shared" si="39"/>
        <v>82.600986928309936</v>
      </c>
      <c r="AJ81" s="483">
        <f t="shared" si="39"/>
        <v>82.310358418959339</v>
      </c>
      <c r="AK81" s="483">
        <f t="shared" si="40"/>
        <v>82.019443126641477</v>
      </c>
      <c r="AL81" s="483">
        <f t="shared" si="40"/>
        <v>81.728528313431966</v>
      </c>
      <c r="AM81" s="483">
        <f t="shared" si="40"/>
        <v>81.44061580343886</v>
      </c>
      <c r="AN81" s="483">
        <f t="shared" si="40"/>
        <v>81.152708748777343</v>
      </c>
      <c r="AO81" s="483">
        <f t="shared" si="40"/>
        <v>80.864807156422501</v>
      </c>
      <c r="AP81" s="483">
        <f t="shared" si="40"/>
        <v>80.576911033358186</v>
      </c>
      <c r="AQ81" s="483">
        <f t="shared" si="40"/>
        <v>80.289020386577249</v>
      </c>
      <c r="AR81" s="483">
        <f t="shared" si="40"/>
        <v>80.001135223081477</v>
      </c>
      <c r="AS81" s="483">
        <f t="shared" si="40"/>
        <v>79.713255549881637</v>
      </c>
      <c r="AT81" s="483">
        <f t="shared" si="40"/>
        <v>79.425381373997368</v>
      </c>
      <c r="AU81" s="483">
        <f t="shared" si="40"/>
        <v>79.137512702457386</v>
      </c>
      <c r="AV81" s="484">
        <v>5</v>
      </c>
      <c r="AW81" s="483">
        <f>IFERROR(INDEX('2010'!$D$6:$T$8,MATCH(LEFT($B81,3),'2010'!$A$6:$A$8,0),MATCH(RIGHT($B81,3),'2010'!$D$3:$T$3,0))/-1000,0)</f>
        <v>8.5012000000000008</v>
      </c>
      <c r="AX81" s="483">
        <f>IFERROR(INDEX('2015'!$D$6:$T$8,MATCH(LEFT($B81,3),'2015'!$A$6:$A$8,0),MATCH(RIGHT($B81,3),'2015'!$D$3:$T$3,0))/-1000,0)</f>
        <v>0.20300000000000001</v>
      </c>
      <c r="AY81" s="483">
        <f>IFERROR(INDEX('2019'!$D$6:$T$8,MATCH(LEFT($B81,3),'2019'!$A$6:$A$8,0),MATCH(RIGHT($B81,3),'2019'!$D$3:$T$3,0))/-1000,0)</f>
        <v>0</v>
      </c>
      <c r="AZ81" s="602">
        <v>4</v>
      </c>
      <c r="BA81" s="602">
        <v>0</v>
      </c>
      <c r="BB81" s="602">
        <v>0</v>
      </c>
      <c r="BC81" s="602">
        <v>0</v>
      </c>
      <c r="BD81" s="602">
        <v>4</v>
      </c>
      <c r="BE81" s="602">
        <v>0</v>
      </c>
      <c r="BF81" s="602">
        <v>0</v>
      </c>
      <c r="BG81" s="602">
        <v>0</v>
      </c>
      <c r="BH81" s="602">
        <v>4</v>
      </c>
      <c r="BI81" s="602">
        <v>0</v>
      </c>
      <c r="BJ81" s="602">
        <v>0</v>
      </c>
      <c r="BK81" s="602">
        <v>0</v>
      </c>
      <c r="BL81" s="602">
        <v>4</v>
      </c>
      <c r="BM81" s="602">
        <v>0</v>
      </c>
      <c r="BN81" s="602">
        <v>0</v>
      </c>
      <c r="BO81" s="602">
        <v>0</v>
      </c>
      <c r="BP81" s="602">
        <v>4</v>
      </c>
      <c r="CA81" s="603"/>
      <c r="CB81" s="603"/>
      <c r="CC81" s="603"/>
      <c r="CD81" s="603"/>
      <c r="CE81" s="603"/>
      <c r="CF81" s="603"/>
    </row>
    <row r="82" spans="2:84" ht="14.4">
      <c r="B82" s="8" t="str">
        <f>Processes!D96</f>
        <v>EXPKER</v>
      </c>
      <c r="C82" s="8" t="str">
        <f>Processes!E96</f>
        <v>Export technology - Kerosene</v>
      </c>
      <c r="D82" s="216" t="str">
        <f t="shared" si="41"/>
        <v>KER</v>
      </c>
      <c r="E82" s="485"/>
      <c r="F82" s="1119" t="str">
        <f t="shared" si="36"/>
        <v>MKr19</v>
      </c>
      <c r="G82" s="483">
        <f t="shared" si="37"/>
        <v>72.674999999999997</v>
      </c>
      <c r="H82" s="483">
        <f t="shared" si="37"/>
        <v>106.78</v>
      </c>
      <c r="I82" s="483">
        <f t="shared" si="37"/>
        <v>110.48499999999999</v>
      </c>
      <c r="J82" s="483">
        <f t="shared" si="37"/>
        <v>112.66999999999999</v>
      </c>
      <c r="K82" s="483">
        <f t="shared" si="37"/>
        <v>104.59499999999998</v>
      </c>
      <c r="L82" s="483">
        <f t="shared" si="37"/>
        <v>69.825000000000003</v>
      </c>
      <c r="M82" s="483">
        <f t="shared" si="37"/>
        <v>67.069999999999993</v>
      </c>
      <c r="N82" s="483">
        <f t="shared" si="37"/>
        <v>70.965000000000003</v>
      </c>
      <c r="O82" s="483">
        <f t="shared" si="37"/>
        <v>94.52602200498734</v>
      </c>
      <c r="P82" s="483">
        <f t="shared" si="37"/>
        <v>88.34711543469875</v>
      </c>
      <c r="Q82" s="483">
        <f t="shared" si="38"/>
        <v>86.941173832219462</v>
      </c>
      <c r="R82" s="483">
        <f t="shared" si="38"/>
        <v>66.056292691424247</v>
      </c>
      <c r="S82" s="483">
        <f t="shared" si="38"/>
        <v>69.294366618593074</v>
      </c>
      <c r="T82" s="483">
        <f t="shared" si="38"/>
        <v>71.50129631899064</v>
      </c>
      <c r="U82" s="483">
        <f t="shared" si="38"/>
        <v>73.114595006707532</v>
      </c>
      <c r="V82" s="483">
        <f t="shared" si="38"/>
        <v>74.289248941909307</v>
      </c>
      <c r="W82" s="483">
        <f t="shared" si="38"/>
        <v>75.586439113303001</v>
      </c>
      <c r="X82" s="483">
        <f t="shared" si="38"/>
        <v>76.857670941805381</v>
      </c>
      <c r="Y82" s="483">
        <f t="shared" si="38"/>
        <v>78.027236173993543</v>
      </c>
      <c r="Z82" s="483">
        <f t="shared" si="38"/>
        <v>79.255350466579955</v>
      </c>
      <c r="AA82" s="483">
        <f t="shared" si="39"/>
        <v>80.417380872470531</v>
      </c>
      <c r="AB82" s="483">
        <f t="shared" si="39"/>
        <v>80.126544298377823</v>
      </c>
      <c r="AC82" s="483">
        <f t="shared" si="39"/>
        <v>79.835012149203408</v>
      </c>
      <c r="AD82" s="483">
        <f t="shared" si="39"/>
        <v>79.544683686862726</v>
      </c>
      <c r="AE82" s="483">
        <f t="shared" si="39"/>
        <v>79.253626007099939</v>
      </c>
      <c r="AF82" s="483">
        <f t="shared" si="39"/>
        <v>78.962660188978745</v>
      </c>
      <c r="AG82" s="483">
        <f t="shared" si="39"/>
        <v>78.670814786114747</v>
      </c>
      <c r="AH82" s="483">
        <f t="shared" si="39"/>
        <v>78.379997833412347</v>
      </c>
      <c r="AI82" s="483">
        <f t="shared" si="39"/>
        <v>78.088486928309948</v>
      </c>
      <c r="AJ82" s="483">
        <f t="shared" si="39"/>
        <v>77.797858418959336</v>
      </c>
      <c r="AK82" s="483">
        <f t="shared" si="40"/>
        <v>77.506943126641474</v>
      </c>
      <c r="AL82" s="483">
        <f t="shared" si="40"/>
        <v>77.216028313431977</v>
      </c>
      <c r="AM82" s="483">
        <f t="shared" si="40"/>
        <v>76.928115803438857</v>
      </c>
      <c r="AN82" s="483">
        <f t="shared" si="40"/>
        <v>76.640208748777354</v>
      </c>
      <c r="AO82" s="483">
        <f t="shared" si="40"/>
        <v>76.352307156422498</v>
      </c>
      <c r="AP82" s="483">
        <f t="shared" si="40"/>
        <v>76.064411033358184</v>
      </c>
      <c r="AQ82" s="483">
        <f t="shared" si="40"/>
        <v>75.776520386577246</v>
      </c>
      <c r="AR82" s="483">
        <f t="shared" si="40"/>
        <v>75.488635223081488</v>
      </c>
      <c r="AS82" s="483">
        <f t="shared" si="40"/>
        <v>75.200755549881634</v>
      </c>
      <c r="AT82" s="483">
        <f t="shared" si="40"/>
        <v>74.912881373997365</v>
      </c>
      <c r="AU82" s="483">
        <f t="shared" si="40"/>
        <v>74.625012702457397</v>
      </c>
      <c r="AV82" s="484">
        <v>5</v>
      </c>
      <c r="AW82" s="483">
        <f>IFERROR(INDEX('2010'!$D$6:$T$8,MATCH(LEFT($B82,3),'2010'!$A$6:$A$8,0),MATCH(RIGHT($B82,3),'2010'!$D$3:$T$3,0))/-1000,0)</f>
        <v>4.9477000000000002</v>
      </c>
      <c r="AX82" s="483">
        <f>IFERROR(INDEX('2015'!$D$6:$T$8,MATCH(LEFT($B82,3),'2015'!$A$6:$A$8,0),MATCH(RIGHT($B82,3),'2015'!$D$3:$T$3,0))/-1000,0)</f>
        <v>10.210700000000001</v>
      </c>
      <c r="AY82" s="483">
        <f>IFERROR(INDEX('2019'!$D$6:$T$8,MATCH(LEFT($B82,3),'2019'!$A$6:$A$8,0),MATCH(RIGHT($B82,3),'2019'!$D$3:$T$3,0))/-1000,0)</f>
        <v>0</v>
      </c>
      <c r="AZ82" s="602">
        <v>4</v>
      </c>
      <c r="BA82" s="602">
        <v>0</v>
      </c>
      <c r="BB82" s="602">
        <v>0</v>
      </c>
      <c r="BC82" s="602">
        <v>0</v>
      </c>
      <c r="BD82" s="602">
        <v>4</v>
      </c>
      <c r="BE82" s="602">
        <v>0</v>
      </c>
      <c r="BF82" s="602">
        <v>0</v>
      </c>
      <c r="BG82" s="602">
        <v>0</v>
      </c>
      <c r="BH82" s="602">
        <v>4</v>
      </c>
      <c r="BI82" s="602">
        <v>0</v>
      </c>
      <c r="BJ82" s="602">
        <v>0</v>
      </c>
      <c r="BK82" s="602">
        <v>0</v>
      </c>
      <c r="BL82" s="602">
        <v>4</v>
      </c>
      <c r="BM82" s="602">
        <v>0</v>
      </c>
      <c r="BN82" s="602">
        <v>0</v>
      </c>
      <c r="BO82" s="602">
        <v>0</v>
      </c>
      <c r="BP82" s="602">
        <v>4</v>
      </c>
      <c r="CA82" s="603"/>
      <c r="CB82" s="603"/>
      <c r="CC82" s="603"/>
      <c r="CD82" s="603"/>
      <c r="CE82" s="603"/>
      <c r="CF82" s="603"/>
    </row>
    <row r="83" spans="2:84" ht="14.4">
      <c r="B83" s="8" t="str">
        <f>Processes!D97</f>
        <v>EXPDSL</v>
      </c>
      <c r="C83" s="8" t="str">
        <f>Processes!E97</f>
        <v>Export technology - Diesel</v>
      </c>
      <c r="D83" s="216" t="str">
        <f t="shared" si="41"/>
        <v>DSL</v>
      </c>
      <c r="E83" s="485"/>
      <c r="F83" s="1119" t="str">
        <f t="shared" si="36"/>
        <v>MKr19</v>
      </c>
      <c r="G83" s="483">
        <f t="shared" si="37"/>
        <v>100.13</v>
      </c>
      <c r="H83" s="483">
        <f t="shared" si="37"/>
        <v>111.53</v>
      </c>
      <c r="I83" s="483">
        <f t="shared" si="37"/>
        <v>127.48999999999998</v>
      </c>
      <c r="J83" s="483">
        <f t="shared" si="37"/>
        <v>117.03999999999999</v>
      </c>
      <c r="K83" s="483">
        <f t="shared" si="37"/>
        <v>107.82499999999999</v>
      </c>
      <c r="L83" s="483">
        <f t="shared" si="37"/>
        <v>73.149999999999991</v>
      </c>
      <c r="M83" s="483">
        <f t="shared" si="37"/>
        <v>70.3</v>
      </c>
      <c r="N83" s="483">
        <f t="shared" si="37"/>
        <v>74.290000000000006</v>
      </c>
      <c r="O83" s="483">
        <f t="shared" si="37"/>
        <v>96.426022004987345</v>
      </c>
      <c r="P83" s="483">
        <f t="shared" si="37"/>
        <v>90.807615434698747</v>
      </c>
      <c r="Q83" s="483">
        <f t="shared" si="38"/>
        <v>89.401673832219473</v>
      </c>
      <c r="R83" s="483">
        <f t="shared" si="38"/>
        <v>68.516792691424257</v>
      </c>
      <c r="S83" s="483">
        <f t="shared" si="38"/>
        <v>71.754866618593084</v>
      </c>
      <c r="T83" s="483">
        <f t="shared" si="38"/>
        <v>73.96179631899065</v>
      </c>
      <c r="U83" s="483">
        <f t="shared" si="38"/>
        <v>75.575095006707542</v>
      </c>
      <c r="V83" s="483">
        <f t="shared" si="38"/>
        <v>76.749748941909317</v>
      </c>
      <c r="W83" s="483">
        <f t="shared" si="38"/>
        <v>78.046939113302997</v>
      </c>
      <c r="X83" s="483">
        <f t="shared" si="38"/>
        <v>79.318170941805391</v>
      </c>
      <c r="Y83" s="483">
        <f t="shared" si="38"/>
        <v>80.48773617399354</v>
      </c>
      <c r="Z83" s="483">
        <f t="shared" si="38"/>
        <v>81.715850466579965</v>
      </c>
      <c r="AA83" s="483">
        <f t="shared" si="39"/>
        <v>82.877880872470527</v>
      </c>
      <c r="AB83" s="483">
        <f t="shared" si="39"/>
        <v>82.587044298377819</v>
      </c>
      <c r="AC83" s="483">
        <f t="shared" si="39"/>
        <v>82.295512149203404</v>
      </c>
      <c r="AD83" s="483">
        <f t="shared" si="39"/>
        <v>82.005183686862722</v>
      </c>
      <c r="AE83" s="483">
        <f t="shared" si="39"/>
        <v>81.714126007099949</v>
      </c>
      <c r="AF83" s="483">
        <f t="shared" si="39"/>
        <v>81.423160188978741</v>
      </c>
      <c r="AG83" s="483">
        <f t="shared" si="39"/>
        <v>81.131314786114757</v>
      </c>
      <c r="AH83" s="483">
        <f t="shared" si="39"/>
        <v>80.840497833412343</v>
      </c>
      <c r="AI83" s="483">
        <f t="shared" si="39"/>
        <v>80.548986928309944</v>
      </c>
      <c r="AJ83" s="483">
        <f t="shared" si="39"/>
        <v>80.258358418959332</v>
      </c>
      <c r="AK83" s="483">
        <f t="shared" si="40"/>
        <v>79.967443126641484</v>
      </c>
      <c r="AL83" s="483">
        <f t="shared" si="40"/>
        <v>79.676528313431973</v>
      </c>
      <c r="AM83" s="483">
        <f t="shared" si="40"/>
        <v>79.388615803438867</v>
      </c>
      <c r="AN83" s="483">
        <f t="shared" si="40"/>
        <v>79.10070874877735</v>
      </c>
      <c r="AO83" s="483">
        <f t="shared" si="40"/>
        <v>78.812807156422508</v>
      </c>
      <c r="AP83" s="483">
        <f t="shared" si="40"/>
        <v>78.524911033358194</v>
      </c>
      <c r="AQ83" s="483">
        <f t="shared" si="40"/>
        <v>78.237020386577257</v>
      </c>
      <c r="AR83" s="483">
        <f t="shared" si="40"/>
        <v>77.949135223081484</v>
      </c>
      <c r="AS83" s="483">
        <f t="shared" si="40"/>
        <v>77.661255549881631</v>
      </c>
      <c r="AT83" s="483">
        <f t="shared" si="40"/>
        <v>77.373381373997375</v>
      </c>
      <c r="AU83" s="483">
        <f t="shared" si="40"/>
        <v>77.085512702457393</v>
      </c>
      <c r="AV83" s="484">
        <v>5</v>
      </c>
      <c r="AW83" s="483">
        <f>IFERROR(INDEX('2010'!$D$6:$T$8,MATCH(LEFT($B83,3),'2010'!$A$6:$A$8,0),MATCH(RIGHT($B83,3),'2010'!$D$3:$T$3,0))/-1000,0)</f>
        <v>66.944299999999998</v>
      </c>
      <c r="AX83" s="483">
        <f>IFERROR(INDEX('2015'!$D$6:$T$8,MATCH(LEFT($B83,3),'2015'!$A$6:$A$8,0),MATCH(RIGHT($B83,3),'2015'!$D$3:$T$3,0))/-1000,0)</f>
        <v>70.595699999999994</v>
      </c>
      <c r="AY83" s="483">
        <f>IFERROR(INDEX('2019'!$D$6:$T$8,MATCH(LEFT($B83,3),'2019'!$A$6:$A$8,0),MATCH(RIGHT($B83,3),'2019'!$D$3:$T$3,0))/-1000,0)</f>
        <v>32.461199999999998</v>
      </c>
      <c r="AZ83" s="602">
        <v>4</v>
      </c>
      <c r="BA83" s="602">
        <v>0</v>
      </c>
      <c r="BB83" s="602">
        <v>0</v>
      </c>
      <c r="BC83" s="602">
        <v>0</v>
      </c>
      <c r="BD83" s="602">
        <v>4</v>
      </c>
      <c r="BE83" s="602">
        <v>0</v>
      </c>
      <c r="BF83" s="602">
        <v>0</v>
      </c>
      <c r="BG83" s="602">
        <v>0</v>
      </c>
      <c r="BH83" s="602">
        <v>4</v>
      </c>
      <c r="BI83" s="602">
        <v>0</v>
      </c>
      <c r="BJ83" s="602">
        <v>0</v>
      </c>
      <c r="BK83" s="602">
        <v>0</v>
      </c>
      <c r="BL83" s="602">
        <v>4</v>
      </c>
      <c r="BM83" s="602">
        <v>0</v>
      </c>
      <c r="BN83" s="602">
        <v>0</v>
      </c>
      <c r="BO83" s="602">
        <v>0</v>
      </c>
      <c r="BP83" s="602">
        <v>4</v>
      </c>
      <c r="CA83" s="603"/>
      <c r="CB83" s="603"/>
      <c r="CC83" s="603"/>
      <c r="CD83" s="603"/>
      <c r="CE83" s="603"/>
      <c r="CF83" s="603"/>
    </row>
    <row r="84" spans="2:84" ht="14.4">
      <c r="B84" s="8" t="str">
        <f>Processes!D98</f>
        <v>EXPHFO</v>
      </c>
      <c r="C84" s="8" t="str">
        <f>Processes!E98</f>
        <v>Export technology - Heavy Fuel Oil</v>
      </c>
      <c r="D84" s="216" t="str">
        <f t="shared" si="41"/>
        <v>HFO</v>
      </c>
      <c r="E84" s="485"/>
      <c r="F84" s="1119" t="str">
        <f t="shared" si="36"/>
        <v>MKr19</v>
      </c>
      <c r="G84" s="483">
        <f t="shared" si="37"/>
        <v>64.790000000000006</v>
      </c>
      <c r="H84" s="483">
        <f t="shared" si="37"/>
        <v>96.899999999999991</v>
      </c>
      <c r="I84" s="483">
        <f t="shared" si="37"/>
        <v>91.39</v>
      </c>
      <c r="J84" s="483">
        <f t="shared" si="37"/>
        <v>87.114999999999995</v>
      </c>
      <c r="K84" s="483">
        <f t="shared" si="37"/>
        <v>79.8</v>
      </c>
      <c r="L84" s="483">
        <f t="shared" si="37"/>
        <v>45.125</v>
      </c>
      <c r="M84" s="483">
        <f t="shared" si="37"/>
        <v>42.274999999999999</v>
      </c>
      <c r="N84" s="483">
        <f t="shared" si="37"/>
        <v>46.265000000000001</v>
      </c>
      <c r="O84" s="483">
        <f t="shared" si="37"/>
        <v>64.34838436678902</v>
      </c>
      <c r="P84" s="483">
        <f t="shared" si="37"/>
        <v>58.729977796500442</v>
      </c>
      <c r="Q84" s="483">
        <f t="shared" si="38"/>
        <v>57.324036194021168</v>
      </c>
      <c r="R84" s="483">
        <f t="shared" si="38"/>
        <v>36.43915505322596</v>
      </c>
      <c r="S84" s="483">
        <f t="shared" si="38"/>
        <v>39.677228980394787</v>
      </c>
      <c r="T84" s="483">
        <f t="shared" si="38"/>
        <v>41.884158680792353</v>
      </c>
      <c r="U84" s="483">
        <f t="shared" si="38"/>
        <v>43.497457368509231</v>
      </c>
      <c r="V84" s="483">
        <f t="shared" si="38"/>
        <v>44.672111303711013</v>
      </c>
      <c r="W84" s="483">
        <f t="shared" si="38"/>
        <v>45.969301475104693</v>
      </c>
      <c r="X84" s="483">
        <f t="shared" si="38"/>
        <v>47.240533303607087</v>
      </c>
      <c r="Y84" s="483">
        <f t="shared" si="38"/>
        <v>48.410098535795242</v>
      </c>
      <c r="Z84" s="483">
        <f t="shared" si="38"/>
        <v>49.638212828381661</v>
      </c>
      <c r="AA84" s="483">
        <f t="shared" si="39"/>
        <v>50.80024323427223</v>
      </c>
      <c r="AB84" s="483">
        <f t="shared" si="39"/>
        <v>50.509406660179529</v>
      </c>
      <c r="AC84" s="483">
        <f t="shared" si="39"/>
        <v>50.2178745110051</v>
      </c>
      <c r="AD84" s="483">
        <f t="shared" si="39"/>
        <v>49.927546048664425</v>
      </c>
      <c r="AE84" s="483">
        <f t="shared" si="39"/>
        <v>49.636488368901652</v>
      </c>
      <c r="AF84" s="483">
        <f t="shared" si="39"/>
        <v>49.345522550780437</v>
      </c>
      <c r="AG84" s="483">
        <f t="shared" si="39"/>
        <v>49.05367714791646</v>
      </c>
      <c r="AH84" s="483">
        <f t="shared" si="39"/>
        <v>48.762860195214053</v>
      </c>
      <c r="AI84" s="483">
        <f t="shared" si="39"/>
        <v>48.47134929011164</v>
      </c>
      <c r="AJ84" s="483">
        <f t="shared" si="39"/>
        <v>48.180720780761035</v>
      </c>
      <c r="AK84" s="483">
        <f t="shared" si="40"/>
        <v>47.88980548844318</v>
      </c>
      <c r="AL84" s="483">
        <f t="shared" si="40"/>
        <v>47.598890675233669</v>
      </c>
      <c r="AM84" s="483">
        <f t="shared" si="40"/>
        <v>47.310978165240549</v>
      </c>
      <c r="AN84" s="483">
        <f t="shared" si="40"/>
        <v>47.023071110579053</v>
      </c>
      <c r="AO84" s="483">
        <f t="shared" si="40"/>
        <v>46.735169518224204</v>
      </c>
      <c r="AP84" s="483">
        <f t="shared" si="40"/>
        <v>46.447273395159883</v>
      </c>
      <c r="AQ84" s="483">
        <f t="shared" si="40"/>
        <v>46.15938274837896</v>
      </c>
      <c r="AR84" s="483">
        <f t="shared" si="40"/>
        <v>45.871497584883187</v>
      </c>
      <c r="AS84" s="483">
        <f t="shared" si="40"/>
        <v>45.583617911683326</v>
      </c>
      <c r="AT84" s="483">
        <f t="shared" si="40"/>
        <v>45.295743735799064</v>
      </c>
      <c r="AU84" s="483">
        <f t="shared" si="40"/>
        <v>45.007875064259089</v>
      </c>
      <c r="AV84" s="484">
        <v>5</v>
      </c>
      <c r="AW84" s="602"/>
      <c r="AX84" s="602"/>
      <c r="AY84" s="602"/>
      <c r="AZ84" s="602"/>
      <c r="BA84" s="602"/>
      <c r="BB84" s="602"/>
      <c r="BC84" s="602"/>
      <c r="CA84" s="603"/>
      <c r="CB84" s="603"/>
      <c r="CC84" s="603"/>
      <c r="CD84" s="603"/>
      <c r="CE84" s="603"/>
      <c r="CF84" s="603"/>
    </row>
    <row r="85" spans="2:84" ht="14.4">
      <c r="B85" s="8" t="str">
        <f>Processes!D99</f>
        <v>EXPMGO</v>
      </c>
      <c r="C85" s="8" t="str">
        <f>Processes!E99</f>
        <v>Export technology - Marine Gas Oil</v>
      </c>
      <c r="D85" s="216" t="str">
        <f t="shared" si="41"/>
        <v>MGO</v>
      </c>
      <c r="E85" s="485"/>
      <c r="F85" s="1119" t="str">
        <f t="shared" si="36"/>
        <v>MKr19</v>
      </c>
      <c r="G85" s="483">
        <f t="shared" si="37"/>
        <v>64.790000000000006</v>
      </c>
      <c r="H85" s="483">
        <f t="shared" si="37"/>
        <v>96.899999999999991</v>
      </c>
      <c r="I85" s="483">
        <f t="shared" si="37"/>
        <v>91.39</v>
      </c>
      <c r="J85" s="483">
        <f t="shared" si="37"/>
        <v>87.114999999999995</v>
      </c>
      <c r="K85" s="483">
        <f t="shared" si="37"/>
        <v>79.8</v>
      </c>
      <c r="L85" s="483">
        <f t="shared" si="37"/>
        <v>45.125</v>
      </c>
      <c r="M85" s="483">
        <f t="shared" si="37"/>
        <v>42.274999999999999</v>
      </c>
      <c r="N85" s="483">
        <f t="shared" si="37"/>
        <v>46.265000000000001</v>
      </c>
      <c r="O85" s="483">
        <f t="shared" si="37"/>
        <v>64.34838436678902</v>
      </c>
      <c r="P85" s="483">
        <f t="shared" si="37"/>
        <v>58.729977796500442</v>
      </c>
      <c r="Q85" s="483">
        <f t="shared" si="38"/>
        <v>57.324036194021168</v>
      </c>
      <c r="R85" s="483">
        <f t="shared" si="38"/>
        <v>36.43915505322596</v>
      </c>
      <c r="S85" s="483">
        <f t="shared" si="38"/>
        <v>39.677228980394787</v>
      </c>
      <c r="T85" s="483">
        <f t="shared" si="38"/>
        <v>41.884158680792353</v>
      </c>
      <c r="U85" s="483">
        <f t="shared" si="38"/>
        <v>43.497457368509231</v>
      </c>
      <c r="V85" s="483">
        <f t="shared" si="38"/>
        <v>44.672111303711013</v>
      </c>
      <c r="W85" s="483">
        <f t="shared" si="38"/>
        <v>45.969301475104693</v>
      </c>
      <c r="X85" s="483">
        <f t="shared" si="38"/>
        <v>47.240533303607087</v>
      </c>
      <c r="Y85" s="483">
        <f t="shared" si="38"/>
        <v>48.410098535795242</v>
      </c>
      <c r="Z85" s="483">
        <f t="shared" si="38"/>
        <v>49.638212828381661</v>
      </c>
      <c r="AA85" s="483">
        <f t="shared" si="39"/>
        <v>50.80024323427223</v>
      </c>
      <c r="AB85" s="483">
        <f t="shared" si="39"/>
        <v>50.509406660179529</v>
      </c>
      <c r="AC85" s="483">
        <f t="shared" si="39"/>
        <v>50.2178745110051</v>
      </c>
      <c r="AD85" s="483">
        <f t="shared" si="39"/>
        <v>49.927546048664425</v>
      </c>
      <c r="AE85" s="483">
        <f t="shared" si="39"/>
        <v>49.636488368901652</v>
      </c>
      <c r="AF85" s="483">
        <f t="shared" si="39"/>
        <v>49.345522550780437</v>
      </c>
      <c r="AG85" s="483">
        <f t="shared" si="39"/>
        <v>49.05367714791646</v>
      </c>
      <c r="AH85" s="483">
        <f t="shared" si="39"/>
        <v>48.762860195214053</v>
      </c>
      <c r="AI85" s="483">
        <f t="shared" si="39"/>
        <v>48.47134929011164</v>
      </c>
      <c r="AJ85" s="483">
        <f t="shared" si="39"/>
        <v>48.180720780761035</v>
      </c>
      <c r="AK85" s="483">
        <f t="shared" si="40"/>
        <v>47.88980548844318</v>
      </c>
      <c r="AL85" s="483">
        <f t="shared" si="40"/>
        <v>47.598890675233669</v>
      </c>
      <c r="AM85" s="483">
        <f t="shared" si="40"/>
        <v>47.310978165240549</v>
      </c>
      <c r="AN85" s="483">
        <f t="shared" si="40"/>
        <v>47.023071110579053</v>
      </c>
      <c r="AO85" s="483">
        <f t="shared" si="40"/>
        <v>46.735169518224204</v>
      </c>
      <c r="AP85" s="483">
        <f t="shared" si="40"/>
        <v>46.447273395159883</v>
      </c>
      <c r="AQ85" s="483">
        <f t="shared" si="40"/>
        <v>46.15938274837896</v>
      </c>
      <c r="AR85" s="483">
        <f t="shared" si="40"/>
        <v>45.871497584883187</v>
      </c>
      <c r="AS85" s="483">
        <f t="shared" si="40"/>
        <v>45.583617911683326</v>
      </c>
      <c r="AT85" s="483">
        <f t="shared" si="40"/>
        <v>45.295743735799064</v>
      </c>
      <c r="AU85" s="483">
        <f t="shared" si="40"/>
        <v>45.007875064259089</v>
      </c>
      <c r="AV85" s="484">
        <v>5</v>
      </c>
      <c r="AW85" s="483">
        <f>IFERROR(INDEX('2010'!$D$6:$T$8,MATCH(LEFT($B85,3),'2010'!$A$6:$A$8,0),MATCH(RIGHT($B85,3),'2010'!$D$3:$T$3,0))/-1000,0)</f>
        <v>7.8291000000000004</v>
      </c>
      <c r="AX85" s="483">
        <f>IFERROR(INDEX('2015'!$D$6:$T$8,MATCH(LEFT($B85,3),'2015'!$A$6:$A$8,0),MATCH(RIGHT($B85,3),'2015'!$D$3:$T$3,0))/-1000,0)</f>
        <v>4.8171999999999997</v>
      </c>
      <c r="AY85" s="483">
        <f>IFERROR(INDEX('2019'!$D$6:$T$8,MATCH(LEFT($B85,3),'2019'!$A$6:$A$8,0),MATCH(RIGHT($B85,3),'2019'!$D$3:$T$3,0))/-1000,0)</f>
        <v>8.5000000000000006E-3</v>
      </c>
      <c r="AZ85" s="602">
        <v>4</v>
      </c>
      <c r="BA85" s="602">
        <v>0</v>
      </c>
      <c r="BB85" s="602">
        <v>0</v>
      </c>
      <c r="BC85" s="602">
        <v>0</v>
      </c>
      <c r="BD85" s="602">
        <v>4</v>
      </c>
      <c r="BE85" s="602">
        <v>0</v>
      </c>
      <c r="BF85" s="602">
        <v>0</v>
      </c>
      <c r="BG85" s="602">
        <v>0</v>
      </c>
      <c r="BH85" s="602">
        <v>4</v>
      </c>
      <c r="BI85" s="602">
        <v>0</v>
      </c>
      <c r="BJ85" s="602">
        <v>0</v>
      </c>
      <c r="BK85" s="602">
        <v>0</v>
      </c>
      <c r="BL85" s="602">
        <v>4</v>
      </c>
      <c r="BM85" s="602">
        <v>0</v>
      </c>
      <c r="BN85" s="602">
        <v>0</v>
      </c>
      <c r="BO85" s="602">
        <v>0</v>
      </c>
      <c r="BP85" s="602">
        <v>4</v>
      </c>
    </row>
    <row r="86" spans="2:84" ht="14.4">
      <c r="B86" s="8" t="str">
        <f>Processes!D100</f>
        <v>EXPAGSL</v>
      </c>
      <c r="C86" s="8" t="str">
        <f>Processes!E100</f>
        <v>Export technology - Aviation gasoline</v>
      </c>
      <c r="D86" s="216" t="str">
        <f t="shared" si="41"/>
        <v>AGSL</v>
      </c>
      <c r="E86" s="485"/>
      <c r="F86" s="1119" t="str">
        <f t="shared" si="36"/>
        <v>MKr19</v>
      </c>
      <c r="G86" s="483">
        <f>G82</f>
        <v>72.674999999999997</v>
      </c>
      <c r="H86" s="483">
        <f t="shared" ref="H86:AU86" si="42">H82</f>
        <v>106.78</v>
      </c>
      <c r="I86" s="483">
        <f t="shared" si="42"/>
        <v>110.48499999999999</v>
      </c>
      <c r="J86" s="483">
        <f t="shared" si="42"/>
        <v>112.66999999999999</v>
      </c>
      <c r="K86" s="483">
        <f t="shared" si="42"/>
        <v>104.59499999999998</v>
      </c>
      <c r="L86" s="483">
        <f t="shared" si="42"/>
        <v>69.825000000000003</v>
      </c>
      <c r="M86" s="483">
        <f t="shared" si="42"/>
        <v>67.069999999999993</v>
      </c>
      <c r="N86" s="483">
        <f t="shared" si="42"/>
        <v>70.965000000000003</v>
      </c>
      <c r="O86" s="483">
        <f t="shared" si="42"/>
        <v>94.52602200498734</v>
      </c>
      <c r="P86" s="483">
        <f t="shared" si="42"/>
        <v>88.34711543469875</v>
      </c>
      <c r="Q86" s="483">
        <f t="shared" si="42"/>
        <v>86.941173832219462</v>
      </c>
      <c r="R86" s="483">
        <f t="shared" si="42"/>
        <v>66.056292691424247</v>
      </c>
      <c r="S86" s="483">
        <f t="shared" si="42"/>
        <v>69.294366618593074</v>
      </c>
      <c r="T86" s="483">
        <f t="shared" si="42"/>
        <v>71.50129631899064</v>
      </c>
      <c r="U86" s="483">
        <f t="shared" si="42"/>
        <v>73.114595006707532</v>
      </c>
      <c r="V86" s="483">
        <f t="shared" si="42"/>
        <v>74.289248941909307</v>
      </c>
      <c r="W86" s="483">
        <f t="shared" si="42"/>
        <v>75.586439113303001</v>
      </c>
      <c r="X86" s="483">
        <f t="shared" si="42"/>
        <v>76.857670941805381</v>
      </c>
      <c r="Y86" s="483">
        <f t="shared" si="42"/>
        <v>78.027236173993543</v>
      </c>
      <c r="Z86" s="483">
        <f t="shared" si="42"/>
        <v>79.255350466579955</v>
      </c>
      <c r="AA86" s="483">
        <f t="shared" si="42"/>
        <v>80.417380872470531</v>
      </c>
      <c r="AB86" s="483">
        <f t="shared" si="42"/>
        <v>80.126544298377823</v>
      </c>
      <c r="AC86" s="483">
        <f t="shared" si="42"/>
        <v>79.835012149203408</v>
      </c>
      <c r="AD86" s="483">
        <f t="shared" si="42"/>
        <v>79.544683686862726</v>
      </c>
      <c r="AE86" s="483">
        <f t="shared" si="42"/>
        <v>79.253626007099939</v>
      </c>
      <c r="AF86" s="483">
        <f t="shared" si="42"/>
        <v>78.962660188978745</v>
      </c>
      <c r="AG86" s="483">
        <f t="shared" si="42"/>
        <v>78.670814786114747</v>
      </c>
      <c r="AH86" s="483">
        <f t="shared" si="42"/>
        <v>78.379997833412347</v>
      </c>
      <c r="AI86" s="483">
        <f t="shared" si="42"/>
        <v>78.088486928309948</v>
      </c>
      <c r="AJ86" s="483">
        <f t="shared" si="42"/>
        <v>77.797858418959336</v>
      </c>
      <c r="AK86" s="483">
        <f t="shared" si="42"/>
        <v>77.506943126641474</v>
      </c>
      <c r="AL86" s="483">
        <f t="shared" si="42"/>
        <v>77.216028313431977</v>
      </c>
      <c r="AM86" s="483">
        <f t="shared" si="42"/>
        <v>76.928115803438857</v>
      </c>
      <c r="AN86" s="483">
        <f t="shared" si="42"/>
        <v>76.640208748777354</v>
      </c>
      <c r="AO86" s="483">
        <f t="shared" si="42"/>
        <v>76.352307156422498</v>
      </c>
      <c r="AP86" s="483">
        <f t="shared" si="42"/>
        <v>76.064411033358184</v>
      </c>
      <c r="AQ86" s="483">
        <f t="shared" si="42"/>
        <v>75.776520386577246</v>
      </c>
      <c r="AR86" s="483">
        <f t="shared" si="42"/>
        <v>75.488635223081488</v>
      </c>
      <c r="AS86" s="483">
        <f t="shared" si="42"/>
        <v>75.200755549881634</v>
      </c>
      <c r="AT86" s="483">
        <f t="shared" si="42"/>
        <v>74.912881373997365</v>
      </c>
      <c r="AU86" s="483">
        <f t="shared" si="42"/>
        <v>74.625012702457397</v>
      </c>
      <c r="AV86" s="484">
        <v>5</v>
      </c>
      <c r="AW86" s="602"/>
      <c r="AX86" s="602"/>
      <c r="AY86" s="602"/>
      <c r="AZ86" s="602"/>
      <c r="BA86" s="602"/>
      <c r="BB86" s="602"/>
      <c r="BC86" s="602"/>
    </row>
    <row r="87" spans="2:84" ht="14.4">
      <c r="B87" s="8" t="str">
        <f>Processes!D101</f>
        <v>EXPBGA</v>
      </c>
      <c r="C87" s="8" t="str">
        <f>Processes!E101</f>
        <v>Export technology - Biogas</v>
      </c>
      <c r="D87" s="216" t="str">
        <f t="shared" si="41"/>
        <v>BGA</v>
      </c>
      <c r="E87" s="485"/>
      <c r="F87" s="1119" t="str">
        <f t="shared" si="36"/>
        <v>MKr19</v>
      </c>
      <c r="G87" s="483">
        <f>G77</f>
        <v>42.18</v>
      </c>
      <c r="H87" s="483">
        <f t="shared" ref="H87:AU87" si="43">H77</f>
        <v>43.795000000000002</v>
      </c>
      <c r="I87" s="483">
        <f t="shared" si="43"/>
        <v>52.344999999999999</v>
      </c>
      <c r="J87" s="483">
        <f t="shared" si="43"/>
        <v>51.49</v>
      </c>
      <c r="K87" s="483">
        <f t="shared" si="43"/>
        <v>43.414999999999999</v>
      </c>
      <c r="L87" s="483">
        <f t="shared" si="43"/>
        <v>41.8</v>
      </c>
      <c r="M87" s="483">
        <f t="shared" si="43"/>
        <v>34.959999999999994</v>
      </c>
      <c r="N87" s="483">
        <f t="shared" si="43"/>
        <v>35.055</v>
      </c>
      <c r="O87" s="483">
        <f t="shared" si="43"/>
        <v>50.751074212757736</v>
      </c>
      <c r="P87" s="483">
        <f t="shared" si="43"/>
        <v>32.54796067858944</v>
      </c>
      <c r="Q87" s="483">
        <f t="shared" si="43"/>
        <v>31.727957487158143</v>
      </c>
      <c r="R87" s="483">
        <f t="shared" si="43"/>
        <v>29.949025524166288</v>
      </c>
      <c r="S87" s="483">
        <f t="shared" si="43"/>
        <v>31.124421190464801</v>
      </c>
      <c r="T87" s="483">
        <f t="shared" si="43"/>
        <v>31.69930389723169</v>
      </c>
      <c r="U87" s="483">
        <f t="shared" si="43"/>
        <v>31.888767724343968</v>
      </c>
      <c r="V87" s="483">
        <f t="shared" si="43"/>
        <v>31.830779289767982</v>
      </c>
      <c r="W87" s="483">
        <f t="shared" si="43"/>
        <v>31.794257244088858</v>
      </c>
      <c r="X87" s="483">
        <f t="shared" si="43"/>
        <v>31.770799731920086</v>
      </c>
      <c r="Y87" s="483">
        <f t="shared" si="43"/>
        <v>31.750709610930787</v>
      </c>
      <c r="Z87" s="483">
        <f t="shared" si="43"/>
        <v>31.743509235621186</v>
      </c>
      <c r="AA87" s="483">
        <f t="shared" si="43"/>
        <v>31.741544979889387</v>
      </c>
      <c r="AB87" s="483">
        <f t="shared" si="43"/>
        <v>31.785326421240963</v>
      </c>
      <c r="AC87" s="483">
        <f t="shared" si="43"/>
        <v>31.829107862592537</v>
      </c>
      <c r="AD87" s="483">
        <f t="shared" si="43"/>
        <v>31.872889303944106</v>
      </c>
      <c r="AE87" s="483">
        <f t="shared" si="43"/>
        <v>31.916670745295676</v>
      </c>
      <c r="AF87" s="483">
        <f t="shared" si="43"/>
        <v>31.960452186647256</v>
      </c>
      <c r="AG87" s="483">
        <f t="shared" si="43"/>
        <v>32.004233627998829</v>
      </c>
      <c r="AH87" s="483">
        <f t="shared" si="43"/>
        <v>32.048015069350392</v>
      </c>
      <c r="AI87" s="483">
        <f t="shared" si="43"/>
        <v>32.091796510701968</v>
      </c>
      <c r="AJ87" s="483">
        <f t="shared" si="43"/>
        <v>32.135577952053531</v>
      </c>
      <c r="AK87" s="483">
        <f t="shared" si="43"/>
        <v>32.179359393405107</v>
      </c>
      <c r="AL87" s="483">
        <f t="shared" si="43"/>
        <v>32.223140834756684</v>
      </c>
      <c r="AM87" s="483">
        <f t="shared" si="43"/>
        <v>32.266922276108254</v>
      </c>
      <c r="AN87" s="483">
        <f t="shared" si="43"/>
        <v>32.310703717459816</v>
      </c>
      <c r="AO87" s="483">
        <f t="shared" si="43"/>
        <v>32.354485158811393</v>
      </c>
      <c r="AP87" s="483">
        <f t="shared" si="43"/>
        <v>32.39826660016297</v>
      </c>
      <c r="AQ87" s="483">
        <f t="shared" si="43"/>
        <v>32.442048041514546</v>
      </c>
      <c r="AR87" s="483">
        <f t="shared" si="43"/>
        <v>32.485829482866109</v>
      </c>
      <c r="AS87" s="483">
        <f t="shared" si="43"/>
        <v>32.529610924217685</v>
      </c>
      <c r="AT87" s="483">
        <f t="shared" si="43"/>
        <v>32.573392365569248</v>
      </c>
      <c r="AU87" s="483">
        <f t="shared" si="43"/>
        <v>32.617173806920832</v>
      </c>
      <c r="AV87" s="484">
        <v>5</v>
      </c>
      <c r="AW87" s="602"/>
      <c r="AX87" s="602"/>
      <c r="AY87" s="602"/>
      <c r="AZ87" s="602"/>
      <c r="BA87" s="602"/>
      <c r="BB87" s="602"/>
      <c r="BC87" s="602"/>
    </row>
    <row r="88" spans="2:84" ht="14.4">
      <c r="B88" s="8" t="str">
        <f>Processes!D102</f>
        <v>EXPHFB</v>
      </c>
      <c r="C88" s="8" t="str">
        <f>Processes!E102</f>
        <v>Export technology - Heavy Fuel Bio Oil</v>
      </c>
      <c r="D88" s="216" t="str">
        <f t="shared" si="41"/>
        <v>HFB</v>
      </c>
      <c r="E88" s="485"/>
      <c r="F88" s="1119" t="str">
        <f t="shared" si="36"/>
        <v>MKr19</v>
      </c>
      <c r="G88" s="483">
        <f>G84</f>
        <v>64.790000000000006</v>
      </c>
      <c r="H88" s="483">
        <f t="shared" ref="H88:AU88" si="44">H84</f>
        <v>96.899999999999991</v>
      </c>
      <c r="I88" s="483">
        <f t="shared" si="44"/>
        <v>91.39</v>
      </c>
      <c r="J88" s="483">
        <f t="shared" si="44"/>
        <v>87.114999999999995</v>
      </c>
      <c r="K88" s="483">
        <f t="shared" si="44"/>
        <v>79.8</v>
      </c>
      <c r="L88" s="483">
        <f t="shared" si="44"/>
        <v>45.125</v>
      </c>
      <c r="M88" s="483">
        <f t="shared" si="44"/>
        <v>42.274999999999999</v>
      </c>
      <c r="N88" s="483">
        <f t="shared" si="44"/>
        <v>46.265000000000001</v>
      </c>
      <c r="O88" s="483">
        <f t="shared" si="44"/>
        <v>64.34838436678902</v>
      </c>
      <c r="P88" s="483">
        <f t="shared" si="44"/>
        <v>58.729977796500442</v>
      </c>
      <c r="Q88" s="483">
        <f t="shared" si="44"/>
        <v>57.324036194021168</v>
      </c>
      <c r="R88" s="483">
        <f t="shared" si="44"/>
        <v>36.43915505322596</v>
      </c>
      <c r="S88" s="483">
        <f t="shared" si="44"/>
        <v>39.677228980394787</v>
      </c>
      <c r="T88" s="483">
        <f t="shared" si="44"/>
        <v>41.884158680792353</v>
      </c>
      <c r="U88" s="483">
        <f t="shared" si="44"/>
        <v>43.497457368509231</v>
      </c>
      <c r="V88" s="483">
        <f t="shared" si="44"/>
        <v>44.672111303711013</v>
      </c>
      <c r="W88" s="483">
        <f t="shared" si="44"/>
        <v>45.969301475104693</v>
      </c>
      <c r="X88" s="483">
        <f t="shared" si="44"/>
        <v>47.240533303607087</v>
      </c>
      <c r="Y88" s="483">
        <f t="shared" si="44"/>
        <v>48.410098535795242</v>
      </c>
      <c r="Z88" s="483">
        <f t="shared" si="44"/>
        <v>49.638212828381661</v>
      </c>
      <c r="AA88" s="483">
        <f t="shared" si="44"/>
        <v>50.80024323427223</v>
      </c>
      <c r="AB88" s="483">
        <f t="shared" si="44"/>
        <v>50.509406660179529</v>
      </c>
      <c r="AC88" s="483">
        <f t="shared" si="44"/>
        <v>50.2178745110051</v>
      </c>
      <c r="AD88" s="483">
        <f t="shared" si="44"/>
        <v>49.927546048664425</v>
      </c>
      <c r="AE88" s="483">
        <f t="shared" si="44"/>
        <v>49.636488368901652</v>
      </c>
      <c r="AF88" s="483">
        <f t="shared" si="44"/>
        <v>49.345522550780437</v>
      </c>
      <c r="AG88" s="483">
        <f t="shared" si="44"/>
        <v>49.05367714791646</v>
      </c>
      <c r="AH88" s="483">
        <f t="shared" si="44"/>
        <v>48.762860195214053</v>
      </c>
      <c r="AI88" s="483">
        <f t="shared" si="44"/>
        <v>48.47134929011164</v>
      </c>
      <c r="AJ88" s="483">
        <f t="shared" si="44"/>
        <v>48.180720780761035</v>
      </c>
      <c r="AK88" s="483">
        <f t="shared" si="44"/>
        <v>47.88980548844318</v>
      </c>
      <c r="AL88" s="483">
        <f t="shared" si="44"/>
        <v>47.598890675233669</v>
      </c>
      <c r="AM88" s="483">
        <f t="shared" si="44"/>
        <v>47.310978165240549</v>
      </c>
      <c r="AN88" s="483">
        <f t="shared" si="44"/>
        <v>47.023071110579053</v>
      </c>
      <c r="AO88" s="483">
        <f t="shared" si="44"/>
        <v>46.735169518224204</v>
      </c>
      <c r="AP88" s="483">
        <f t="shared" si="44"/>
        <v>46.447273395159883</v>
      </c>
      <c r="AQ88" s="483">
        <f t="shared" si="44"/>
        <v>46.15938274837896</v>
      </c>
      <c r="AR88" s="483">
        <f t="shared" si="44"/>
        <v>45.871497584883187</v>
      </c>
      <c r="AS88" s="483">
        <f t="shared" si="44"/>
        <v>45.583617911683326</v>
      </c>
      <c r="AT88" s="483">
        <f t="shared" si="44"/>
        <v>45.295743735799064</v>
      </c>
      <c r="AU88" s="483">
        <f t="shared" si="44"/>
        <v>45.007875064259089</v>
      </c>
      <c r="AV88" s="484">
        <v>5</v>
      </c>
      <c r="AW88" s="602"/>
      <c r="AX88" s="602"/>
      <c r="AY88" s="602"/>
      <c r="AZ88" s="602"/>
      <c r="BA88" s="602"/>
      <c r="BB88" s="602"/>
      <c r="BC88" s="602"/>
    </row>
    <row r="89" spans="2:84" ht="14.4">
      <c r="B89" s="8" t="str">
        <f>Processes!D103</f>
        <v>EXPDDGS</v>
      </c>
      <c r="C89" s="8" t="str">
        <f>Processes!E103</f>
        <v>Export technology - Ethanol</v>
      </c>
      <c r="D89" s="216" t="str">
        <f t="shared" si="41"/>
        <v>DDGS</v>
      </c>
      <c r="E89" s="485"/>
      <c r="F89" s="1119" t="str">
        <f t="shared" si="36"/>
        <v>MKr14</v>
      </c>
      <c r="G89" s="483">
        <f>IFERROR(INDEX($G$122:$AU$177,MATCH($D89,$E$122:$E$177,0),MATCH(G$6,$G$121:$AU$121,0)),0)*$E$194</f>
        <v>9.5</v>
      </c>
      <c r="H89" s="483">
        <f t="shared" ref="H89:AU89" si="45">IFERROR(INDEX($G$122:$AU$177,MATCH($D89,$E$122:$E$177,0),MATCH(H$6,$G$121:$AU$121,0)),0)*$E$194</f>
        <v>9.5</v>
      </c>
      <c r="I89" s="483">
        <f t="shared" si="45"/>
        <v>9.5</v>
      </c>
      <c r="J89" s="483">
        <f t="shared" si="45"/>
        <v>9.5</v>
      </c>
      <c r="K89" s="483">
        <f t="shared" si="45"/>
        <v>9.5</v>
      </c>
      <c r="L89" s="483">
        <f t="shared" si="45"/>
        <v>9.5</v>
      </c>
      <c r="M89" s="483">
        <f t="shared" si="45"/>
        <v>9.5</v>
      </c>
      <c r="N89" s="483">
        <f t="shared" si="45"/>
        <v>9.5</v>
      </c>
      <c r="O89" s="483">
        <f t="shared" si="45"/>
        <v>9.5</v>
      </c>
      <c r="P89" s="483">
        <f t="shared" si="45"/>
        <v>9.5</v>
      </c>
      <c r="Q89" s="483">
        <f t="shared" si="45"/>
        <v>9.5</v>
      </c>
      <c r="R89" s="483">
        <f t="shared" si="45"/>
        <v>9.5</v>
      </c>
      <c r="S89" s="483">
        <f t="shared" si="45"/>
        <v>9.5</v>
      </c>
      <c r="T89" s="483">
        <f t="shared" si="45"/>
        <v>9.5</v>
      </c>
      <c r="U89" s="483">
        <f t="shared" si="45"/>
        <v>9.5</v>
      </c>
      <c r="V89" s="483">
        <f t="shared" si="45"/>
        <v>9.5</v>
      </c>
      <c r="W89" s="483">
        <f t="shared" si="45"/>
        <v>9.5</v>
      </c>
      <c r="X89" s="483">
        <f t="shared" si="45"/>
        <v>9.5</v>
      </c>
      <c r="Y89" s="483">
        <f t="shared" si="45"/>
        <v>9.5</v>
      </c>
      <c r="Z89" s="483">
        <f t="shared" si="45"/>
        <v>9.5</v>
      </c>
      <c r="AA89" s="483">
        <f t="shared" si="45"/>
        <v>9.5</v>
      </c>
      <c r="AB89" s="483">
        <f t="shared" si="45"/>
        <v>9.5</v>
      </c>
      <c r="AC89" s="483">
        <f t="shared" si="45"/>
        <v>9.5</v>
      </c>
      <c r="AD89" s="483">
        <f t="shared" si="45"/>
        <v>9.5</v>
      </c>
      <c r="AE89" s="483">
        <f t="shared" si="45"/>
        <v>9.5</v>
      </c>
      <c r="AF89" s="483">
        <f t="shared" si="45"/>
        <v>9.5</v>
      </c>
      <c r="AG89" s="483">
        <f t="shared" si="45"/>
        <v>9.5</v>
      </c>
      <c r="AH89" s="483">
        <f t="shared" si="45"/>
        <v>9.5</v>
      </c>
      <c r="AI89" s="483">
        <f t="shared" si="45"/>
        <v>9.5</v>
      </c>
      <c r="AJ89" s="483">
        <f t="shared" si="45"/>
        <v>9.5</v>
      </c>
      <c r="AK89" s="483">
        <f t="shared" si="45"/>
        <v>9.5</v>
      </c>
      <c r="AL89" s="483">
        <f t="shared" si="45"/>
        <v>9.5</v>
      </c>
      <c r="AM89" s="483">
        <f t="shared" si="45"/>
        <v>9.5</v>
      </c>
      <c r="AN89" s="483">
        <f t="shared" si="45"/>
        <v>9.5</v>
      </c>
      <c r="AO89" s="483">
        <f t="shared" si="45"/>
        <v>9.5</v>
      </c>
      <c r="AP89" s="483">
        <f t="shared" si="45"/>
        <v>9.5</v>
      </c>
      <c r="AQ89" s="483">
        <f t="shared" si="45"/>
        <v>9.5</v>
      </c>
      <c r="AR89" s="483">
        <f t="shared" si="45"/>
        <v>9.5</v>
      </c>
      <c r="AS89" s="483">
        <f t="shared" si="45"/>
        <v>9.5</v>
      </c>
      <c r="AT89" s="483">
        <f t="shared" si="45"/>
        <v>9.5</v>
      </c>
      <c r="AU89" s="483">
        <f t="shared" si="45"/>
        <v>9.5</v>
      </c>
      <c r="AV89" s="484">
        <v>5</v>
      </c>
      <c r="AW89" s="602"/>
      <c r="AX89" s="602"/>
      <c r="AY89" s="602"/>
      <c r="AZ89" s="602"/>
      <c r="BA89" s="602"/>
      <c r="BB89" s="602"/>
      <c r="BC89" s="602"/>
    </row>
    <row r="90" spans="2:84" ht="14.4">
      <c r="B90" s="8" t="str">
        <f>Processes!D104</f>
        <v>EXPH2</v>
      </c>
      <c r="C90" s="8" t="str">
        <f>Processes!E104</f>
        <v>Export technology - Hydrogen</v>
      </c>
      <c r="D90" s="216" t="str">
        <f>IF(LEN(B90)=6,RIGHT(B90,2),RIGHT(B90,2))</f>
        <v>H2</v>
      </c>
      <c r="E90" s="485"/>
      <c r="F90" s="1119" t="str">
        <f t="shared" si="36"/>
        <v>MKr14</v>
      </c>
      <c r="G90" s="483">
        <f>G77</f>
        <v>42.18</v>
      </c>
      <c r="H90" s="483">
        <f t="shared" ref="H90:AU90" si="46">H77</f>
        <v>43.795000000000002</v>
      </c>
      <c r="I90" s="483">
        <f t="shared" si="46"/>
        <v>52.344999999999999</v>
      </c>
      <c r="J90" s="483">
        <f t="shared" si="46"/>
        <v>51.49</v>
      </c>
      <c r="K90" s="483">
        <f t="shared" si="46"/>
        <v>43.414999999999999</v>
      </c>
      <c r="L90" s="483">
        <f t="shared" si="46"/>
        <v>41.8</v>
      </c>
      <c r="M90" s="483">
        <f t="shared" si="46"/>
        <v>34.959999999999994</v>
      </c>
      <c r="N90" s="483">
        <f t="shared" si="46"/>
        <v>35.055</v>
      </c>
      <c r="O90" s="483">
        <f t="shared" si="46"/>
        <v>50.751074212757736</v>
      </c>
      <c r="P90" s="483">
        <f t="shared" si="46"/>
        <v>32.54796067858944</v>
      </c>
      <c r="Q90" s="483">
        <f t="shared" si="46"/>
        <v>31.727957487158143</v>
      </c>
      <c r="R90" s="483">
        <f t="shared" si="46"/>
        <v>29.949025524166288</v>
      </c>
      <c r="S90" s="483">
        <f t="shared" si="46"/>
        <v>31.124421190464801</v>
      </c>
      <c r="T90" s="483">
        <f t="shared" si="46"/>
        <v>31.69930389723169</v>
      </c>
      <c r="U90" s="483">
        <f t="shared" si="46"/>
        <v>31.888767724343968</v>
      </c>
      <c r="V90" s="483">
        <f t="shared" si="46"/>
        <v>31.830779289767982</v>
      </c>
      <c r="W90" s="483">
        <f t="shared" si="46"/>
        <v>31.794257244088858</v>
      </c>
      <c r="X90" s="483">
        <f t="shared" si="46"/>
        <v>31.770799731920086</v>
      </c>
      <c r="Y90" s="483">
        <f t="shared" si="46"/>
        <v>31.750709610930787</v>
      </c>
      <c r="Z90" s="483">
        <f t="shared" si="46"/>
        <v>31.743509235621186</v>
      </c>
      <c r="AA90" s="483">
        <f t="shared" si="46"/>
        <v>31.741544979889387</v>
      </c>
      <c r="AB90" s="483">
        <f t="shared" si="46"/>
        <v>31.785326421240963</v>
      </c>
      <c r="AC90" s="483">
        <f t="shared" si="46"/>
        <v>31.829107862592537</v>
      </c>
      <c r="AD90" s="483">
        <f t="shared" si="46"/>
        <v>31.872889303944106</v>
      </c>
      <c r="AE90" s="483">
        <f t="shared" si="46"/>
        <v>31.916670745295676</v>
      </c>
      <c r="AF90" s="483">
        <f t="shared" si="46"/>
        <v>31.960452186647256</v>
      </c>
      <c r="AG90" s="483">
        <f t="shared" si="46"/>
        <v>32.004233627998829</v>
      </c>
      <c r="AH90" s="483">
        <f t="shared" si="46"/>
        <v>32.048015069350392</v>
      </c>
      <c r="AI90" s="483">
        <f t="shared" si="46"/>
        <v>32.091796510701968</v>
      </c>
      <c r="AJ90" s="483">
        <f t="shared" si="46"/>
        <v>32.135577952053531</v>
      </c>
      <c r="AK90" s="483">
        <f t="shared" si="46"/>
        <v>32.179359393405107</v>
      </c>
      <c r="AL90" s="483">
        <f t="shared" si="46"/>
        <v>32.223140834756684</v>
      </c>
      <c r="AM90" s="483">
        <f t="shared" si="46"/>
        <v>32.266922276108254</v>
      </c>
      <c r="AN90" s="483">
        <f t="shared" si="46"/>
        <v>32.310703717459816</v>
      </c>
      <c r="AO90" s="483">
        <f t="shared" si="46"/>
        <v>32.354485158811393</v>
      </c>
      <c r="AP90" s="483">
        <f t="shared" si="46"/>
        <v>32.39826660016297</v>
      </c>
      <c r="AQ90" s="483">
        <f t="shared" si="46"/>
        <v>32.442048041514546</v>
      </c>
      <c r="AR90" s="483">
        <f t="shared" si="46"/>
        <v>32.485829482866109</v>
      </c>
      <c r="AS90" s="483">
        <f t="shared" si="46"/>
        <v>32.529610924217685</v>
      </c>
      <c r="AT90" s="483">
        <f t="shared" si="46"/>
        <v>32.573392365569248</v>
      </c>
      <c r="AU90" s="483">
        <f t="shared" si="46"/>
        <v>32.617173806920832</v>
      </c>
      <c r="AV90" s="484">
        <v>5</v>
      </c>
      <c r="AW90" s="602">
        <v>0</v>
      </c>
      <c r="AX90" s="602">
        <v>0</v>
      </c>
      <c r="AY90" s="602">
        <v>0</v>
      </c>
      <c r="AZ90" s="602">
        <v>4</v>
      </c>
      <c r="BA90" s="602">
        <v>0</v>
      </c>
      <c r="BB90" s="602">
        <v>0</v>
      </c>
      <c r="BC90" s="602">
        <v>0</v>
      </c>
      <c r="BD90" s="602">
        <v>4</v>
      </c>
      <c r="BE90" s="602">
        <v>0</v>
      </c>
      <c r="BF90" s="602">
        <v>0</v>
      </c>
      <c r="BG90" s="602">
        <v>0</v>
      </c>
      <c r="BH90" s="602">
        <v>4</v>
      </c>
      <c r="BI90" s="602">
        <v>0</v>
      </c>
      <c r="BJ90" s="602">
        <v>0</v>
      </c>
      <c r="BK90" s="602">
        <v>0</v>
      </c>
      <c r="BL90" s="602">
        <v>4</v>
      </c>
      <c r="BM90" s="602">
        <v>0</v>
      </c>
      <c r="BN90" s="602">
        <v>0</v>
      </c>
      <c r="BO90" s="602">
        <v>0</v>
      </c>
      <c r="BP90" s="602">
        <v>4</v>
      </c>
    </row>
    <row r="91" spans="2:84" ht="14.4">
      <c r="B91" s="8" t="str">
        <f>Processes!D105</f>
        <v>EXPH2G</v>
      </c>
      <c r="C91" s="8" t="str">
        <f>Processes!E105</f>
        <v>Export technology - Hydrogen Gas</v>
      </c>
      <c r="D91" s="216" t="str">
        <f t="shared" si="41"/>
        <v>H2G</v>
      </c>
      <c r="E91" s="485"/>
      <c r="F91" s="1119" t="str">
        <f t="shared" si="36"/>
        <v>MKr14</v>
      </c>
      <c r="G91" s="483">
        <f>G77</f>
        <v>42.18</v>
      </c>
      <c r="H91" s="483">
        <f t="shared" ref="H91:AU91" si="47">H77</f>
        <v>43.795000000000002</v>
      </c>
      <c r="I91" s="483">
        <f t="shared" si="47"/>
        <v>52.344999999999999</v>
      </c>
      <c r="J91" s="483">
        <f t="shared" si="47"/>
        <v>51.49</v>
      </c>
      <c r="K91" s="483">
        <f t="shared" si="47"/>
        <v>43.414999999999999</v>
      </c>
      <c r="L91" s="483">
        <f t="shared" si="47"/>
        <v>41.8</v>
      </c>
      <c r="M91" s="483">
        <f t="shared" si="47"/>
        <v>34.959999999999994</v>
      </c>
      <c r="N91" s="483">
        <f t="shared" si="47"/>
        <v>35.055</v>
      </c>
      <c r="O91" s="483">
        <f t="shared" si="47"/>
        <v>50.751074212757736</v>
      </c>
      <c r="P91" s="483">
        <f t="shared" si="47"/>
        <v>32.54796067858944</v>
      </c>
      <c r="Q91" s="483">
        <f t="shared" si="47"/>
        <v>31.727957487158143</v>
      </c>
      <c r="R91" s="483">
        <f t="shared" si="47"/>
        <v>29.949025524166288</v>
      </c>
      <c r="S91" s="483">
        <f t="shared" si="47"/>
        <v>31.124421190464801</v>
      </c>
      <c r="T91" s="483">
        <f t="shared" si="47"/>
        <v>31.69930389723169</v>
      </c>
      <c r="U91" s="483">
        <f t="shared" si="47"/>
        <v>31.888767724343968</v>
      </c>
      <c r="V91" s="483">
        <f t="shared" si="47"/>
        <v>31.830779289767982</v>
      </c>
      <c r="W91" s="483">
        <f t="shared" si="47"/>
        <v>31.794257244088858</v>
      </c>
      <c r="X91" s="483">
        <f t="shared" si="47"/>
        <v>31.770799731920086</v>
      </c>
      <c r="Y91" s="483">
        <f t="shared" si="47"/>
        <v>31.750709610930787</v>
      </c>
      <c r="Z91" s="483">
        <f t="shared" si="47"/>
        <v>31.743509235621186</v>
      </c>
      <c r="AA91" s="483">
        <f t="shared" si="47"/>
        <v>31.741544979889387</v>
      </c>
      <c r="AB91" s="483">
        <f t="shared" si="47"/>
        <v>31.785326421240963</v>
      </c>
      <c r="AC91" s="483">
        <f t="shared" si="47"/>
        <v>31.829107862592537</v>
      </c>
      <c r="AD91" s="483">
        <f t="shared" si="47"/>
        <v>31.872889303944106</v>
      </c>
      <c r="AE91" s="483">
        <f t="shared" si="47"/>
        <v>31.916670745295676</v>
      </c>
      <c r="AF91" s="483">
        <f t="shared" si="47"/>
        <v>31.960452186647256</v>
      </c>
      <c r="AG91" s="483">
        <f t="shared" si="47"/>
        <v>32.004233627998829</v>
      </c>
      <c r="AH91" s="483">
        <f t="shared" si="47"/>
        <v>32.048015069350392</v>
      </c>
      <c r="AI91" s="483">
        <f t="shared" si="47"/>
        <v>32.091796510701968</v>
      </c>
      <c r="AJ91" s="483">
        <f t="shared" si="47"/>
        <v>32.135577952053531</v>
      </c>
      <c r="AK91" s="483">
        <f t="shared" si="47"/>
        <v>32.179359393405107</v>
      </c>
      <c r="AL91" s="483">
        <f t="shared" si="47"/>
        <v>32.223140834756684</v>
      </c>
      <c r="AM91" s="483">
        <f t="shared" si="47"/>
        <v>32.266922276108254</v>
      </c>
      <c r="AN91" s="483">
        <f t="shared" si="47"/>
        <v>32.310703717459816</v>
      </c>
      <c r="AO91" s="483">
        <f t="shared" si="47"/>
        <v>32.354485158811393</v>
      </c>
      <c r="AP91" s="483">
        <f t="shared" si="47"/>
        <v>32.39826660016297</v>
      </c>
      <c r="AQ91" s="483">
        <f t="shared" si="47"/>
        <v>32.442048041514546</v>
      </c>
      <c r="AR91" s="483">
        <f t="shared" si="47"/>
        <v>32.485829482866109</v>
      </c>
      <c r="AS91" s="483">
        <f t="shared" si="47"/>
        <v>32.529610924217685</v>
      </c>
      <c r="AT91" s="483">
        <f t="shared" si="47"/>
        <v>32.573392365569248</v>
      </c>
      <c r="AU91" s="483">
        <f t="shared" si="47"/>
        <v>32.617173806920832</v>
      </c>
      <c r="AV91" s="484">
        <v>5</v>
      </c>
      <c r="AW91" s="602">
        <v>0</v>
      </c>
      <c r="AX91" s="602">
        <v>0</v>
      </c>
      <c r="AY91" s="602">
        <v>0</v>
      </c>
      <c r="AZ91" s="602">
        <v>4</v>
      </c>
      <c r="BA91" s="602">
        <v>0</v>
      </c>
      <c r="BB91" s="602">
        <v>0</v>
      </c>
      <c r="BC91" s="602">
        <v>0</v>
      </c>
      <c r="BD91" s="602">
        <v>4</v>
      </c>
      <c r="BE91" s="602">
        <v>0</v>
      </c>
      <c r="BF91" s="602">
        <v>0</v>
      </c>
      <c r="BG91" s="602">
        <v>0</v>
      </c>
      <c r="BH91" s="602">
        <v>4</v>
      </c>
      <c r="BI91" s="602">
        <v>0</v>
      </c>
      <c r="BJ91" s="602">
        <v>0</v>
      </c>
      <c r="BK91" s="602">
        <v>0</v>
      </c>
      <c r="BL91" s="602">
        <v>4</v>
      </c>
      <c r="BM91" s="602">
        <v>0</v>
      </c>
      <c r="BN91" s="602">
        <v>0</v>
      </c>
      <c r="BO91" s="602">
        <v>0</v>
      </c>
      <c r="BP91" s="602">
        <v>4</v>
      </c>
    </row>
    <row r="92" spans="2:84" ht="14.4">
      <c r="B92" s="8" t="str">
        <f>Processes!D106</f>
        <v>EXPAMM</v>
      </c>
      <c r="C92" s="8" t="str">
        <f>Processes!E106</f>
        <v>Export technology - Ammonia (Liquid)</v>
      </c>
      <c r="D92" s="216" t="str">
        <f t="shared" si="41"/>
        <v>AMM</v>
      </c>
      <c r="E92" s="485"/>
      <c r="F92" s="1119" t="str">
        <f t="shared" si="36"/>
        <v>MKr19</v>
      </c>
      <c r="G92" s="483">
        <f>G83</f>
        <v>100.13</v>
      </c>
      <c r="H92" s="483">
        <f t="shared" ref="H92:AU92" si="48">H83</f>
        <v>111.53</v>
      </c>
      <c r="I92" s="483">
        <f t="shared" si="48"/>
        <v>127.48999999999998</v>
      </c>
      <c r="J92" s="483">
        <f t="shared" si="48"/>
        <v>117.03999999999999</v>
      </c>
      <c r="K92" s="483">
        <f t="shared" si="48"/>
        <v>107.82499999999999</v>
      </c>
      <c r="L92" s="483">
        <f t="shared" si="48"/>
        <v>73.149999999999991</v>
      </c>
      <c r="M92" s="483">
        <f t="shared" si="48"/>
        <v>70.3</v>
      </c>
      <c r="N92" s="483">
        <f t="shared" si="48"/>
        <v>74.290000000000006</v>
      </c>
      <c r="O92" s="483">
        <f t="shared" si="48"/>
        <v>96.426022004987345</v>
      </c>
      <c r="P92" s="483">
        <f t="shared" si="48"/>
        <v>90.807615434698747</v>
      </c>
      <c r="Q92" s="483">
        <f t="shared" si="48"/>
        <v>89.401673832219473</v>
      </c>
      <c r="R92" s="483">
        <f t="shared" si="48"/>
        <v>68.516792691424257</v>
      </c>
      <c r="S92" s="483">
        <f t="shared" si="48"/>
        <v>71.754866618593084</v>
      </c>
      <c r="T92" s="483">
        <f t="shared" si="48"/>
        <v>73.96179631899065</v>
      </c>
      <c r="U92" s="483">
        <f t="shared" si="48"/>
        <v>75.575095006707542</v>
      </c>
      <c r="V92" s="483">
        <f t="shared" si="48"/>
        <v>76.749748941909317</v>
      </c>
      <c r="W92" s="483">
        <f t="shared" si="48"/>
        <v>78.046939113302997</v>
      </c>
      <c r="X92" s="483">
        <f t="shared" si="48"/>
        <v>79.318170941805391</v>
      </c>
      <c r="Y92" s="483">
        <f t="shared" si="48"/>
        <v>80.48773617399354</v>
      </c>
      <c r="Z92" s="483">
        <f t="shared" si="48"/>
        <v>81.715850466579965</v>
      </c>
      <c r="AA92" s="483">
        <f t="shared" si="48"/>
        <v>82.877880872470527</v>
      </c>
      <c r="AB92" s="483">
        <f t="shared" si="48"/>
        <v>82.587044298377819</v>
      </c>
      <c r="AC92" s="483">
        <f t="shared" si="48"/>
        <v>82.295512149203404</v>
      </c>
      <c r="AD92" s="483">
        <f t="shared" si="48"/>
        <v>82.005183686862722</v>
      </c>
      <c r="AE92" s="483">
        <f t="shared" si="48"/>
        <v>81.714126007099949</v>
      </c>
      <c r="AF92" s="483">
        <f t="shared" si="48"/>
        <v>81.423160188978741</v>
      </c>
      <c r="AG92" s="483">
        <f t="shared" si="48"/>
        <v>81.131314786114757</v>
      </c>
      <c r="AH92" s="483">
        <f t="shared" si="48"/>
        <v>80.840497833412343</v>
      </c>
      <c r="AI92" s="483">
        <f t="shared" si="48"/>
        <v>80.548986928309944</v>
      </c>
      <c r="AJ92" s="483">
        <f t="shared" si="48"/>
        <v>80.258358418959332</v>
      </c>
      <c r="AK92" s="483">
        <f t="shared" si="48"/>
        <v>79.967443126641484</v>
      </c>
      <c r="AL92" s="483">
        <f t="shared" si="48"/>
        <v>79.676528313431973</v>
      </c>
      <c r="AM92" s="483">
        <f t="shared" si="48"/>
        <v>79.388615803438867</v>
      </c>
      <c r="AN92" s="483">
        <f t="shared" si="48"/>
        <v>79.10070874877735</v>
      </c>
      <c r="AO92" s="483">
        <f t="shared" si="48"/>
        <v>78.812807156422508</v>
      </c>
      <c r="AP92" s="483">
        <f t="shared" si="48"/>
        <v>78.524911033358194</v>
      </c>
      <c r="AQ92" s="483">
        <f t="shared" si="48"/>
        <v>78.237020386577257</v>
      </c>
      <c r="AR92" s="483">
        <f t="shared" si="48"/>
        <v>77.949135223081484</v>
      </c>
      <c r="AS92" s="483">
        <f t="shared" si="48"/>
        <v>77.661255549881631</v>
      </c>
      <c r="AT92" s="483">
        <f t="shared" si="48"/>
        <v>77.373381373997375</v>
      </c>
      <c r="AU92" s="483">
        <f t="shared" si="48"/>
        <v>77.085512702457393</v>
      </c>
      <c r="AV92" s="484">
        <v>5</v>
      </c>
      <c r="AW92" s="602">
        <v>0</v>
      </c>
      <c r="AX92" s="602">
        <v>0</v>
      </c>
      <c r="AY92" s="602">
        <v>0</v>
      </c>
      <c r="AZ92" s="602">
        <v>4</v>
      </c>
      <c r="BA92" s="602">
        <v>0</v>
      </c>
      <c r="BB92" s="602">
        <v>0</v>
      </c>
      <c r="BC92" s="602">
        <v>0</v>
      </c>
      <c r="BD92" s="602">
        <v>4</v>
      </c>
      <c r="BE92" s="602">
        <v>0</v>
      </c>
      <c r="BF92" s="602">
        <v>0</v>
      </c>
      <c r="BG92" s="602">
        <v>0</v>
      </c>
      <c r="BH92" s="602">
        <v>4</v>
      </c>
      <c r="BI92" s="602">
        <v>0</v>
      </c>
      <c r="BJ92" s="602">
        <v>0</v>
      </c>
      <c r="BK92" s="602">
        <v>0</v>
      </c>
      <c r="BL92" s="602">
        <v>4</v>
      </c>
      <c r="BM92" s="602">
        <v>0</v>
      </c>
      <c r="BN92" s="602">
        <v>0</v>
      </c>
      <c r="BO92" s="602">
        <v>0</v>
      </c>
      <c r="BP92" s="602">
        <v>4</v>
      </c>
    </row>
    <row r="93" spans="2:84" ht="14.4">
      <c r="B93" s="8" t="str">
        <f>Processes!D107</f>
        <v>EXPDME</v>
      </c>
      <c r="C93" s="8" t="str">
        <f>Processes!E107</f>
        <v>Export technology - Dimethyl ether</v>
      </c>
      <c r="D93" s="216" t="str">
        <f t="shared" si="41"/>
        <v>DME</v>
      </c>
      <c r="E93" s="485"/>
      <c r="F93" s="1119" t="str">
        <f t="shared" si="36"/>
        <v>MKr19</v>
      </c>
      <c r="G93" s="483">
        <f>G$83</f>
        <v>100.13</v>
      </c>
      <c r="H93" s="483">
        <f t="shared" ref="H93:AU93" si="49">H$83</f>
        <v>111.53</v>
      </c>
      <c r="I93" s="483">
        <f t="shared" si="49"/>
        <v>127.48999999999998</v>
      </c>
      <c r="J93" s="483">
        <f t="shared" si="49"/>
        <v>117.03999999999999</v>
      </c>
      <c r="K93" s="483">
        <f t="shared" si="49"/>
        <v>107.82499999999999</v>
      </c>
      <c r="L93" s="483">
        <f t="shared" si="49"/>
        <v>73.149999999999991</v>
      </c>
      <c r="M93" s="483">
        <f t="shared" si="49"/>
        <v>70.3</v>
      </c>
      <c r="N93" s="483">
        <f t="shared" si="49"/>
        <v>74.290000000000006</v>
      </c>
      <c r="O93" s="483">
        <f t="shared" si="49"/>
        <v>96.426022004987345</v>
      </c>
      <c r="P93" s="483">
        <f t="shared" si="49"/>
        <v>90.807615434698747</v>
      </c>
      <c r="Q93" s="483">
        <f t="shared" si="49"/>
        <v>89.401673832219473</v>
      </c>
      <c r="R93" s="483">
        <f t="shared" si="49"/>
        <v>68.516792691424257</v>
      </c>
      <c r="S93" s="483">
        <f t="shared" si="49"/>
        <v>71.754866618593084</v>
      </c>
      <c r="T93" s="483">
        <f t="shared" si="49"/>
        <v>73.96179631899065</v>
      </c>
      <c r="U93" s="483">
        <f t="shared" si="49"/>
        <v>75.575095006707542</v>
      </c>
      <c r="V93" s="483">
        <f t="shared" si="49"/>
        <v>76.749748941909317</v>
      </c>
      <c r="W93" s="483">
        <f t="shared" si="49"/>
        <v>78.046939113302997</v>
      </c>
      <c r="X93" s="483">
        <f t="shared" si="49"/>
        <v>79.318170941805391</v>
      </c>
      <c r="Y93" s="483">
        <f t="shared" si="49"/>
        <v>80.48773617399354</v>
      </c>
      <c r="Z93" s="483">
        <f t="shared" si="49"/>
        <v>81.715850466579965</v>
      </c>
      <c r="AA93" s="483">
        <f t="shared" si="49"/>
        <v>82.877880872470527</v>
      </c>
      <c r="AB93" s="483">
        <f t="shared" si="49"/>
        <v>82.587044298377819</v>
      </c>
      <c r="AC93" s="483">
        <f t="shared" si="49"/>
        <v>82.295512149203404</v>
      </c>
      <c r="AD93" s="483">
        <f t="shared" si="49"/>
        <v>82.005183686862722</v>
      </c>
      <c r="AE93" s="483">
        <f t="shared" si="49"/>
        <v>81.714126007099949</v>
      </c>
      <c r="AF93" s="483">
        <f t="shared" si="49"/>
        <v>81.423160188978741</v>
      </c>
      <c r="AG93" s="483">
        <f t="shared" si="49"/>
        <v>81.131314786114757</v>
      </c>
      <c r="AH93" s="483">
        <f t="shared" si="49"/>
        <v>80.840497833412343</v>
      </c>
      <c r="AI93" s="483">
        <f t="shared" si="49"/>
        <v>80.548986928309944</v>
      </c>
      <c r="AJ93" s="483">
        <f t="shared" si="49"/>
        <v>80.258358418959332</v>
      </c>
      <c r="AK93" s="483">
        <f t="shared" si="49"/>
        <v>79.967443126641484</v>
      </c>
      <c r="AL93" s="483">
        <f t="shared" si="49"/>
        <v>79.676528313431973</v>
      </c>
      <c r="AM93" s="483">
        <f t="shared" si="49"/>
        <v>79.388615803438867</v>
      </c>
      <c r="AN93" s="483">
        <f t="shared" si="49"/>
        <v>79.10070874877735</v>
      </c>
      <c r="AO93" s="483">
        <f t="shared" si="49"/>
        <v>78.812807156422508</v>
      </c>
      <c r="AP93" s="483">
        <f t="shared" si="49"/>
        <v>78.524911033358194</v>
      </c>
      <c r="AQ93" s="483">
        <f t="shared" si="49"/>
        <v>78.237020386577257</v>
      </c>
      <c r="AR93" s="483">
        <f t="shared" si="49"/>
        <v>77.949135223081484</v>
      </c>
      <c r="AS93" s="483">
        <f t="shared" si="49"/>
        <v>77.661255549881631</v>
      </c>
      <c r="AT93" s="483">
        <f t="shared" si="49"/>
        <v>77.373381373997375</v>
      </c>
      <c r="AU93" s="483">
        <f t="shared" si="49"/>
        <v>77.085512702457393</v>
      </c>
      <c r="AV93" s="484">
        <v>5</v>
      </c>
      <c r="AW93" s="602">
        <v>0</v>
      </c>
      <c r="AX93" s="602">
        <v>0</v>
      </c>
      <c r="AY93" s="602">
        <v>0</v>
      </c>
      <c r="AZ93" s="602">
        <v>4</v>
      </c>
      <c r="BA93" s="602">
        <v>0</v>
      </c>
      <c r="BB93" s="602">
        <v>0</v>
      </c>
      <c r="BC93" s="602">
        <v>0</v>
      </c>
      <c r="BD93" s="602">
        <v>4</v>
      </c>
      <c r="BE93" s="602">
        <v>0</v>
      </c>
      <c r="BF93" s="602">
        <v>0</v>
      </c>
      <c r="BG93" s="602">
        <v>0</v>
      </c>
      <c r="BH93" s="602">
        <v>4</v>
      </c>
      <c r="BI93" s="602">
        <v>0</v>
      </c>
      <c r="BJ93" s="602">
        <v>0</v>
      </c>
      <c r="BK93" s="602">
        <v>0</v>
      </c>
      <c r="BL93" s="602">
        <v>4</v>
      </c>
      <c r="BM93" s="602">
        <v>0</v>
      </c>
      <c r="BN93" s="602">
        <v>0</v>
      </c>
      <c r="BO93" s="602">
        <v>0</v>
      </c>
      <c r="BP93" s="602">
        <v>4</v>
      </c>
    </row>
    <row r="94" spans="2:84" ht="14.4">
      <c r="B94" s="8" t="str">
        <f>Processes!D108</f>
        <v>EXPKRB1</v>
      </c>
      <c r="C94" s="8" t="str">
        <f>Processes!E108</f>
        <v>Export technology - Bio Kerosene G1</v>
      </c>
      <c r="D94" s="216" t="str">
        <f t="shared" si="41"/>
        <v>KRB1</v>
      </c>
      <c r="E94" s="485"/>
      <c r="F94" s="1119" t="str">
        <f t="shared" si="36"/>
        <v>MKr19</v>
      </c>
      <c r="G94" s="483">
        <f>G$82</f>
        <v>72.674999999999997</v>
      </c>
      <c r="H94" s="483">
        <f t="shared" ref="H94:AU96" si="50">H$82</f>
        <v>106.78</v>
      </c>
      <c r="I94" s="483">
        <f t="shared" si="50"/>
        <v>110.48499999999999</v>
      </c>
      <c r="J94" s="483">
        <f t="shared" si="50"/>
        <v>112.66999999999999</v>
      </c>
      <c r="K94" s="483">
        <f t="shared" si="50"/>
        <v>104.59499999999998</v>
      </c>
      <c r="L94" s="483">
        <f t="shared" si="50"/>
        <v>69.825000000000003</v>
      </c>
      <c r="M94" s="483">
        <f t="shared" si="50"/>
        <v>67.069999999999993</v>
      </c>
      <c r="N94" s="483">
        <f t="shared" si="50"/>
        <v>70.965000000000003</v>
      </c>
      <c r="O94" s="483">
        <f t="shared" si="50"/>
        <v>94.52602200498734</v>
      </c>
      <c r="P94" s="483">
        <f t="shared" si="50"/>
        <v>88.34711543469875</v>
      </c>
      <c r="Q94" s="483">
        <f t="shared" si="50"/>
        <v>86.941173832219462</v>
      </c>
      <c r="R94" s="483">
        <f t="shared" si="50"/>
        <v>66.056292691424247</v>
      </c>
      <c r="S94" s="483">
        <f t="shared" si="50"/>
        <v>69.294366618593074</v>
      </c>
      <c r="T94" s="483">
        <f t="shared" si="50"/>
        <v>71.50129631899064</v>
      </c>
      <c r="U94" s="483">
        <f t="shared" si="50"/>
        <v>73.114595006707532</v>
      </c>
      <c r="V94" s="483">
        <f t="shared" si="50"/>
        <v>74.289248941909307</v>
      </c>
      <c r="W94" s="483">
        <f t="shared" si="50"/>
        <v>75.586439113303001</v>
      </c>
      <c r="X94" s="483">
        <f t="shared" si="50"/>
        <v>76.857670941805381</v>
      </c>
      <c r="Y94" s="483">
        <f t="shared" si="50"/>
        <v>78.027236173993543</v>
      </c>
      <c r="Z94" s="483">
        <f t="shared" si="50"/>
        <v>79.255350466579955</v>
      </c>
      <c r="AA94" s="483">
        <f t="shared" si="50"/>
        <v>80.417380872470531</v>
      </c>
      <c r="AB94" s="483">
        <f t="shared" si="50"/>
        <v>80.126544298377823</v>
      </c>
      <c r="AC94" s="483">
        <f t="shared" si="50"/>
        <v>79.835012149203408</v>
      </c>
      <c r="AD94" s="483">
        <f t="shared" si="50"/>
        <v>79.544683686862726</v>
      </c>
      <c r="AE94" s="483">
        <f t="shared" si="50"/>
        <v>79.253626007099939</v>
      </c>
      <c r="AF94" s="483">
        <f t="shared" si="50"/>
        <v>78.962660188978745</v>
      </c>
      <c r="AG94" s="483">
        <f t="shared" si="50"/>
        <v>78.670814786114747</v>
      </c>
      <c r="AH94" s="483">
        <f t="shared" si="50"/>
        <v>78.379997833412347</v>
      </c>
      <c r="AI94" s="483">
        <f t="shared" si="50"/>
        <v>78.088486928309948</v>
      </c>
      <c r="AJ94" s="483">
        <f t="shared" si="50"/>
        <v>77.797858418959336</v>
      </c>
      <c r="AK94" s="483">
        <f t="shared" si="50"/>
        <v>77.506943126641474</v>
      </c>
      <c r="AL94" s="483">
        <f t="shared" si="50"/>
        <v>77.216028313431977</v>
      </c>
      <c r="AM94" s="483">
        <f t="shared" si="50"/>
        <v>76.928115803438857</v>
      </c>
      <c r="AN94" s="483">
        <f t="shared" si="50"/>
        <v>76.640208748777354</v>
      </c>
      <c r="AO94" s="483">
        <f t="shared" si="50"/>
        <v>76.352307156422498</v>
      </c>
      <c r="AP94" s="483">
        <f t="shared" si="50"/>
        <v>76.064411033358184</v>
      </c>
      <c r="AQ94" s="483">
        <f t="shared" si="50"/>
        <v>75.776520386577246</v>
      </c>
      <c r="AR94" s="483">
        <f t="shared" si="50"/>
        <v>75.488635223081488</v>
      </c>
      <c r="AS94" s="483">
        <f t="shared" si="50"/>
        <v>75.200755549881634</v>
      </c>
      <c r="AT94" s="483">
        <f t="shared" si="50"/>
        <v>74.912881373997365</v>
      </c>
      <c r="AU94" s="483">
        <f t="shared" si="50"/>
        <v>74.625012702457397</v>
      </c>
      <c r="AV94" s="484">
        <v>5</v>
      </c>
      <c r="AW94" s="602">
        <v>0</v>
      </c>
      <c r="AX94" s="602">
        <v>0</v>
      </c>
      <c r="AY94" s="602">
        <v>0</v>
      </c>
      <c r="AZ94" s="602">
        <v>4</v>
      </c>
      <c r="BA94" s="602">
        <v>0</v>
      </c>
      <c r="BB94" s="602">
        <v>0</v>
      </c>
      <c r="BC94" s="602">
        <v>0</v>
      </c>
      <c r="BD94" s="602">
        <v>4</v>
      </c>
      <c r="BE94" s="602">
        <v>0</v>
      </c>
      <c r="BF94" s="602">
        <v>0</v>
      </c>
      <c r="BG94" s="602">
        <v>0</v>
      </c>
      <c r="BH94" s="602">
        <v>4</v>
      </c>
      <c r="BI94" s="602">
        <v>0</v>
      </c>
      <c r="BJ94" s="602">
        <v>0</v>
      </c>
      <c r="BK94" s="602">
        <v>0</v>
      </c>
      <c r="BL94" s="602">
        <v>4</v>
      </c>
      <c r="BM94" s="602">
        <v>0</v>
      </c>
      <c r="BN94" s="602">
        <v>0</v>
      </c>
      <c r="BO94" s="602">
        <v>0</v>
      </c>
      <c r="BP94" s="602">
        <v>4</v>
      </c>
    </row>
    <row r="95" spans="2:84" ht="14.4">
      <c r="B95" s="8" t="str">
        <f>Processes!D109</f>
        <v>EXPKRB2</v>
      </c>
      <c r="C95" s="8" t="str">
        <f>Processes!E109</f>
        <v>Export technology - Bio Kerosene G2</v>
      </c>
      <c r="D95" s="216" t="str">
        <f t="shared" si="41"/>
        <v>KRB2</v>
      </c>
      <c r="E95" s="485"/>
      <c r="F95" s="1119" t="str">
        <f t="shared" si="36"/>
        <v>MKr19</v>
      </c>
      <c r="G95" s="483">
        <f>G$82</f>
        <v>72.674999999999997</v>
      </c>
      <c r="H95" s="483">
        <f t="shared" si="50"/>
        <v>106.78</v>
      </c>
      <c r="I95" s="483">
        <f t="shared" si="50"/>
        <v>110.48499999999999</v>
      </c>
      <c r="J95" s="483">
        <f t="shared" si="50"/>
        <v>112.66999999999999</v>
      </c>
      <c r="K95" s="483">
        <f t="shared" si="50"/>
        <v>104.59499999999998</v>
      </c>
      <c r="L95" s="483">
        <f t="shared" si="50"/>
        <v>69.825000000000003</v>
      </c>
      <c r="M95" s="483">
        <f t="shared" si="50"/>
        <v>67.069999999999993</v>
      </c>
      <c r="N95" s="483">
        <f t="shared" si="50"/>
        <v>70.965000000000003</v>
      </c>
      <c r="O95" s="483">
        <f t="shared" si="50"/>
        <v>94.52602200498734</v>
      </c>
      <c r="P95" s="483">
        <f t="shared" si="50"/>
        <v>88.34711543469875</v>
      </c>
      <c r="Q95" s="483">
        <f t="shared" si="50"/>
        <v>86.941173832219462</v>
      </c>
      <c r="R95" s="483">
        <f t="shared" si="50"/>
        <v>66.056292691424247</v>
      </c>
      <c r="S95" s="483">
        <f t="shared" si="50"/>
        <v>69.294366618593074</v>
      </c>
      <c r="T95" s="483">
        <f t="shared" si="50"/>
        <v>71.50129631899064</v>
      </c>
      <c r="U95" s="483">
        <f t="shared" si="50"/>
        <v>73.114595006707532</v>
      </c>
      <c r="V95" s="483">
        <f t="shared" si="50"/>
        <v>74.289248941909307</v>
      </c>
      <c r="W95" s="483">
        <f t="shared" si="50"/>
        <v>75.586439113303001</v>
      </c>
      <c r="X95" s="483">
        <f t="shared" si="50"/>
        <v>76.857670941805381</v>
      </c>
      <c r="Y95" s="483">
        <f t="shared" si="50"/>
        <v>78.027236173993543</v>
      </c>
      <c r="Z95" s="483">
        <f t="shared" si="50"/>
        <v>79.255350466579955</v>
      </c>
      <c r="AA95" s="483">
        <f t="shared" si="50"/>
        <v>80.417380872470531</v>
      </c>
      <c r="AB95" s="483">
        <f t="shared" si="50"/>
        <v>80.126544298377823</v>
      </c>
      <c r="AC95" s="483">
        <f t="shared" si="50"/>
        <v>79.835012149203408</v>
      </c>
      <c r="AD95" s="483">
        <f t="shared" si="50"/>
        <v>79.544683686862726</v>
      </c>
      <c r="AE95" s="483">
        <f t="shared" si="50"/>
        <v>79.253626007099939</v>
      </c>
      <c r="AF95" s="483">
        <f t="shared" si="50"/>
        <v>78.962660188978745</v>
      </c>
      <c r="AG95" s="483">
        <f t="shared" si="50"/>
        <v>78.670814786114747</v>
      </c>
      <c r="AH95" s="483">
        <f t="shared" si="50"/>
        <v>78.379997833412347</v>
      </c>
      <c r="AI95" s="483">
        <f t="shared" si="50"/>
        <v>78.088486928309948</v>
      </c>
      <c r="AJ95" s="483">
        <f t="shared" si="50"/>
        <v>77.797858418959336</v>
      </c>
      <c r="AK95" s="483">
        <f t="shared" si="50"/>
        <v>77.506943126641474</v>
      </c>
      <c r="AL95" s="483">
        <f t="shared" si="50"/>
        <v>77.216028313431977</v>
      </c>
      <c r="AM95" s="483">
        <f t="shared" si="50"/>
        <v>76.928115803438857</v>
      </c>
      <c r="AN95" s="483">
        <f t="shared" si="50"/>
        <v>76.640208748777354</v>
      </c>
      <c r="AO95" s="483">
        <f t="shared" si="50"/>
        <v>76.352307156422498</v>
      </c>
      <c r="AP95" s="483">
        <f t="shared" si="50"/>
        <v>76.064411033358184</v>
      </c>
      <c r="AQ95" s="483">
        <f t="shared" si="50"/>
        <v>75.776520386577246</v>
      </c>
      <c r="AR95" s="483">
        <f t="shared" si="50"/>
        <v>75.488635223081488</v>
      </c>
      <c r="AS95" s="483">
        <f t="shared" si="50"/>
        <v>75.200755549881634</v>
      </c>
      <c r="AT95" s="483">
        <f t="shared" si="50"/>
        <v>74.912881373997365</v>
      </c>
      <c r="AU95" s="483">
        <f t="shared" si="50"/>
        <v>74.625012702457397</v>
      </c>
      <c r="AV95" s="484">
        <v>5</v>
      </c>
      <c r="AW95" s="602">
        <v>0</v>
      </c>
      <c r="AX95" s="602">
        <v>0</v>
      </c>
      <c r="AY95" s="602">
        <v>0</v>
      </c>
      <c r="AZ95" s="602">
        <v>4</v>
      </c>
      <c r="BA95" s="602">
        <v>0</v>
      </c>
      <c r="BB95" s="602">
        <v>0</v>
      </c>
      <c r="BC95" s="602">
        <v>0</v>
      </c>
      <c r="BD95" s="602">
        <v>4</v>
      </c>
      <c r="BE95" s="602">
        <v>0</v>
      </c>
      <c r="BF95" s="602">
        <v>0</v>
      </c>
      <c r="BG95" s="602">
        <v>0</v>
      </c>
      <c r="BH95" s="602">
        <v>4</v>
      </c>
      <c r="BI95" s="602">
        <v>0</v>
      </c>
      <c r="BJ95" s="602">
        <v>0</v>
      </c>
      <c r="BK95" s="602">
        <v>0</v>
      </c>
      <c r="BL95" s="602">
        <v>4</v>
      </c>
      <c r="BM95" s="602">
        <v>0</v>
      </c>
      <c r="BN95" s="602">
        <v>0</v>
      </c>
      <c r="BO95" s="602">
        <v>0</v>
      </c>
      <c r="BP95" s="602">
        <v>4</v>
      </c>
    </row>
    <row r="96" spans="2:84" ht="14.4">
      <c r="B96" s="8" t="str">
        <f>Processes!D110</f>
        <v>EXPKRE</v>
      </c>
      <c r="C96" s="8" t="str">
        <f>Processes!E110</f>
        <v>Export technology - Electro Kerosene</v>
      </c>
      <c r="D96" s="216" t="str">
        <f t="shared" si="41"/>
        <v>KRE</v>
      </c>
      <c r="E96" s="485"/>
      <c r="F96" s="1119" t="str">
        <f t="shared" si="36"/>
        <v>MKr19</v>
      </c>
      <c r="G96" s="483">
        <f>G$82</f>
        <v>72.674999999999997</v>
      </c>
      <c r="H96" s="483">
        <f t="shared" si="50"/>
        <v>106.78</v>
      </c>
      <c r="I96" s="483">
        <f t="shared" si="50"/>
        <v>110.48499999999999</v>
      </c>
      <c r="J96" s="483">
        <f t="shared" si="50"/>
        <v>112.66999999999999</v>
      </c>
      <c r="K96" s="483">
        <f t="shared" si="50"/>
        <v>104.59499999999998</v>
      </c>
      <c r="L96" s="483">
        <f t="shared" si="50"/>
        <v>69.825000000000003</v>
      </c>
      <c r="M96" s="483">
        <f t="shared" si="50"/>
        <v>67.069999999999993</v>
      </c>
      <c r="N96" s="483">
        <f t="shared" si="50"/>
        <v>70.965000000000003</v>
      </c>
      <c r="O96" s="483">
        <f t="shared" si="50"/>
        <v>94.52602200498734</v>
      </c>
      <c r="P96" s="483">
        <f t="shared" si="50"/>
        <v>88.34711543469875</v>
      </c>
      <c r="Q96" s="483">
        <f t="shared" si="50"/>
        <v>86.941173832219462</v>
      </c>
      <c r="R96" s="483">
        <f t="shared" si="50"/>
        <v>66.056292691424247</v>
      </c>
      <c r="S96" s="483">
        <f t="shared" si="50"/>
        <v>69.294366618593074</v>
      </c>
      <c r="T96" s="483">
        <f t="shared" si="50"/>
        <v>71.50129631899064</v>
      </c>
      <c r="U96" s="483">
        <f t="shared" si="50"/>
        <v>73.114595006707532</v>
      </c>
      <c r="V96" s="483">
        <f t="shared" si="50"/>
        <v>74.289248941909307</v>
      </c>
      <c r="W96" s="483">
        <f t="shared" si="50"/>
        <v>75.586439113303001</v>
      </c>
      <c r="X96" s="483">
        <f t="shared" si="50"/>
        <v>76.857670941805381</v>
      </c>
      <c r="Y96" s="483">
        <f t="shared" si="50"/>
        <v>78.027236173993543</v>
      </c>
      <c r="Z96" s="483">
        <f t="shared" si="50"/>
        <v>79.255350466579955</v>
      </c>
      <c r="AA96" s="483">
        <f t="shared" si="50"/>
        <v>80.417380872470531</v>
      </c>
      <c r="AB96" s="483">
        <f t="shared" si="50"/>
        <v>80.126544298377823</v>
      </c>
      <c r="AC96" s="483">
        <f t="shared" si="50"/>
        <v>79.835012149203408</v>
      </c>
      <c r="AD96" s="483">
        <f t="shared" si="50"/>
        <v>79.544683686862726</v>
      </c>
      <c r="AE96" s="483">
        <f t="shared" si="50"/>
        <v>79.253626007099939</v>
      </c>
      <c r="AF96" s="483">
        <f t="shared" si="50"/>
        <v>78.962660188978745</v>
      </c>
      <c r="AG96" s="483">
        <f t="shared" si="50"/>
        <v>78.670814786114747</v>
      </c>
      <c r="AH96" s="483">
        <f t="shared" si="50"/>
        <v>78.379997833412347</v>
      </c>
      <c r="AI96" s="483">
        <f t="shared" si="50"/>
        <v>78.088486928309948</v>
      </c>
      <c r="AJ96" s="483">
        <f t="shared" si="50"/>
        <v>77.797858418959336</v>
      </c>
      <c r="AK96" s="483">
        <f t="shared" si="50"/>
        <v>77.506943126641474</v>
      </c>
      <c r="AL96" s="483">
        <f t="shared" si="50"/>
        <v>77.216028313431977</v>
      </c>
      <c r="AM96" s="483">
        <f t="shared" si="50"/>
        <v>76.928115803438857</v>
      </c>
      <c r="AN96" s="483">
        <f t="shared" si="50"/>
        <v>76.640208748777354</v>
      </c>
      <c r="AO96" s="483">
        <f t="shared" si="50"/>
        <v>76.352307156422498</v>
      </c>
      <c r="AP96" s="483">
        <f t="shared" si="50"/>
        <v>76.064411033358184</v>
      </c>
      <c r="AQ96" s="483">
        <f t="shared" si="50"/>
        <v>75.776520386577246</v>
      </c>
      <c r="AR96" s="483">
        <f t="shared" si="50"/>
        <v>75.488635223081488</v>
      </c>
      <c r="AS96" s="483">
        <f t="shared" si="50"/>
        <v>75.200755549881634</v>
      </c>
      <c r="AT96" s="483">
        <f t="shared" si="50"/>
        <v>74.912881373997365</v>
      </c>
      <c r="AU96" s="483">
        <f t="shared" si="50"/>
        <v>74.625012702457397</v>
      </c>
      <c r="AV96" s="484">
        <v>5</v>
      </c>
      <c r="AW96" s="602">
        <v>0</v>
      </c>
      <c r="AX96" s="602">
        <v>0</v>
      </c>
      <c r="AY96" s="602">
        <v>0</v>
      </c>
      <c r="AZ96" s="602">
        <v>4</v>
      </c>
      <c r="BA96" s="602">
        <v>0</v>
      </c>
      <c r="BB96" s="602">
        <v>0</v>
      </c>
      <c r="BC96" s="602">
        <v>0</v>
      </c>
      <c r="BD96" s="602">
        <v>4</v>
      </c>
      <c r="BE96" s="602">
        <v>0</v>
      </c>
      <c r="BF96" s="602">
        <v>0</v>
      </c>
      <c r="BG96" s="602">
        <v>0</v>
      </c>
      <c r="BH96" s="602">
        <v>4</v>
      </c>
      <c r="BI96" s="602">
        <v>0</v>
      </c>
      <c r="BJ96" s="602">
        <v>0</v>
      </c>
      <c r="BK96" s="602">
        <v>0</v>
      </c>
      <c r="BL96" s="602">
        <v>4</v>
      </c>
      <c r="BM96" s="602">
        <v>0</v>
      </c>
      <c r="BN96" s="602">
        <v>0</v>
      </c>
      <c r="BO96" s="602">
        <v>0</v>
      </c>
      <c r="BP96" s="602">
        <v>4</v>
      </c>
    </row>
    <row r="97" spans="2:68" ht="14.4">
      <c r="B97" s="8" t="str">
        <f>Processes!D111</f>
        <v>EXPSNG1</v>
      </c>
      <c r="C97" s="8" t="str">
        <f>Processes!E111</f>
        <v>Export technology - Bio Synt. Nat. Gas G1</v>
      </c>
      <c r="D97" s="216" t="str">
        <f t="shared" si="41"/>
        <v>SNG1</v>
      </c>
      <c r="F97" s="1119" t="str">
        <f>IFERROR(VLOOKUP(D97,$E$122:$F$174,2,FALSE),"MKr19")</f>
        <v>MKr19</v>
      </c>
      <c r="G97" s="483">
        <f>G$77</f>
        <v>42.18</v>
      </c>
      <c r="H97" s="483">
        <f t="shared" ref="H97:AU99" si="51">H$77</f>
        <v>43.795000000000002</v>
      </c>
      <c r="I97" s="483">
        <f t="shared" si="51"/>
        <v>52.344999999999999</v>
      </c>
      <c r="J97" s="483">
        <f t="shared" si="51"/>
        <v>51.49</v>
      </c>
      <c r="K97" s="483">
        <f t="shared" si="51"/>
        <v>43.414999999999999</v>
      </c>
      <c r="L97" s="483">
        <f t="shared" si="51"/>
        <v>41.8</v>
      </c>
      <c r="M97" s="483">
        <f t="shared" si="51"/>
        <v>34.959999999999994</v>
      </c>
      <c r="N97" s="483">
        <f t="shared" si="51"/>
        <v>35.055</v>
      </c>
      <c r="O97" s="483">
        <f t="shared" si="51"/>
        <v>50.751074212757736</v>
      </c>
      <c r="P97" s="483">
        <f t="shared" si="51"/>
        <v>32.54796067858944</v>
      </c>
      <c r="Q97" s="483">
        <f t="shared" si="51"/>
        <v>31.727957487158143</v>
      </c>
      <c r="R97" s="483">
        <f t="shared" si="51"/>
        <v>29.949025524166288</v>
      </c>
      <c r="S97" s="483">
        <f t="shared" si="51"/>
        <v>31.124421190464801</v>
      </c>
      <c r="T97" s="483">
        <f t="shared" si="51"/>
        <v>31.69930389723169</v>
      </c>
      <c r="U97" s="483">
        <f t="shared" si="51"/>
        <v>31.888767724343968</v>
      </c>
      <c r="V97" s="483">
        <f t="shared" si="51"/>
        <v>31.830779289767982</v>
      </c>
      <c r="W97" s="483">
        <f t="shared" si="51"/>
        <v>31.794257244088858</v>
      </c>
      <c r="X97" s="483">
        <f t="shared" si="51"/>
        <v>31.770799731920086</v>
      </c>
      <c r="Y97" s="483">
        <f t="shared" si="51"/>
        <v>31.750709610930787</v>
      </c>
      <c r="Z97" s="483">
        <f t="shared" si="51"/>
        <v>31.743509235621186</v>
      </c>
      <c r="AA97" s="483">
        <f t="shared" si="51"/>
        <v>31.741544979889387</v>
      </c>
      <c r="AB97" s="483">
        <f t="shared" si="51"/>
        <v>31.785326421240963</v>
      </c>
      <c r="AC97" s="483">
        <f t="shared" si="51"/>
        <v>31.829107862592537</v>
      </c>
      <c r="AD97" s="483">
        <f t="shared" si="51"/>
        <v>31.872889303944106</v>
      </c>
      <c r="AE97" s="483">
        <f t="shared" si="51"/>
        <v>31.916670745295676</v>
      </c>
      <c r="AF97" s="483">
        <f t="shared" si="51"/>
        <v>31.960452186647256</v>
      </c>
      <c r="AG97" s="483">
        <f t="shared" si="51"/>
        <v>32.004233627998829</v>
      </c>
      <c r="AH97" s="483">
        <f t="shared" si="51"/>
        <v>32.048015069350392</v>
      </c>
      <c r="AI97" s="483">
        <f t="shared" si="51"/>
        <v>32.091796510701968</v>
      </c>
      <c r="AJ97" s="483">
        <f t="shared" si="51"/>
        <v>32.135577952053531</v>
      </c>
      <c r="AK97" s="483">
        <f t="shared" si="51"/>
        <v>32.179359393405107</v>
      </c>
      <c r="AL97" s="483">
        <f t="shared" si="51"/>
        <v>32.223140834756684</v>
      </c>
      <c r="AM97" s="483">
        <f t="shared" si="51"/>
        <v>32.266922276108254</v>
      </c>
      <c r="AN97" s="483">
        <f t="shared" si="51"/>
        <v>32.310703717459816</v>
      </c>
      <c r="AO97" s="483">
        <f t="shared" si="51"/>
        <v>32.354485158811393</v>
      </c>
      <c r="AP97" s="483">
        <f t="shared" si="51"/>
        <v>32.39826660016297</v>
      </c>
      <c r="AQ97" s="483">
        <f t="shared" si="51"/>
        <v>32.442048041514546</v>
      </c>
      <c r="AR97" s="483">
        <f t="shared" si="51"/>
        <v>32.485829482866109</v>
      </c>
      <c r="AS97" s="483">
        <f t="shared" si="51"/>
        <v>32.529610924217685</v>
      </c>
      <c r="AT97" s="483">
        <f t="shared" si="51"/>
        <v>32.573392365569248</v>
      </c>
      <c r="AU97" s="483">
        <f t="shared" si="51"/>
        <v>32.617173806920832</v>
      </c>
      <c r="AV97" s="484">
        <v>5</v>
      </c>
      <c r="AW97" s="602">
        <v>0</v>
      </c>
      <c r="AX97" s="602">
        <v>0</v>
      </c>
      <c r="AY97" s="602">
        <v>0</v>
      </c>
      <c r="AZ97" s="602">
        <v>4</v>
      </c>
      <c r="BA97" s="602">
        <v>0</v>
      </c>
      <c r="BB97" s="602">
        <v>0</v>
      </c>
      <c r="BC97" s="602">
        <v>0</v>
      </c>
      <c r="BD97" s="602">
        <v>4</v>
      </c>
      <c r="BE97" s="602">
        <v>0</v>
      </c>
      <c r="BF97" s="602">
        <v>0</v>
      </c>
      <c r="BG97" s="602">
        <v>0</v>
      </c>
      <c r="BH97" s="602">
        <v>4</v>
      </c>
      <c r="BI97" s="602">
        <v>0</v>
      </c>
      <c r="BJ97" s="602">
        <v>0</v>
      </c>
      <c r="BK97" s="602">
        <v>0</v>
      </c>
      <c r="BL97" s="602">
        <v>4</v>
      </c>
      <c r="BM97" s="602">
        <v>0</v>
      </c>
      <c r="BN97" s="602">
        <v>0</v>
      </c>
      <c r="BO97" s="602">
        <v>0</v>
      </c>
      <c r="BP97" s="602">
        <v>4</v>
      </c>
    </row>
    <row r="98" spans="2:68" ht="14.4">
      <c r="B98" s="8" t="str">
        <f>Processes!D112</f>
        <v>EXPSNG2</v>
      </c>
      <c r="C98" s="8" t="str">
        <f>Processes!E112</f>
        <v>Export technology - Bio Synt. Nat. Gas G2</v>
      </c>
      <c r="D98" s="216" t="str">
        <f t="shared" si="41"/>
        <v>SNG2</v>
      </c>
      <c r="F98" s="1119" t="str">
        <f t="shared" ref="F98:F112" si="52">IFERROR(VLOOKUP(D98,$E$122:$F$174,2,FALSE),"MKr19")</f>
        <v>MKr19</v>
      </c>
      <c r="G98" s="483">
        <f>G$77</f>
        <v>42.18</v>
      </c>
      <c r="H98" s="483">
        <f t="shared" si="51"/>
        <v>43.795000000000002</v>
      </c>
      <c r="I98" s="483">
        <f t="shared" si="51"/>
        <v>52.344999999999999</v>
      </c>
      <c r="J98" s="483">
        <f t="shared" si="51"/>
        <v>51.49</v>
      </c>
      <c r="K98" s="483">
        <f t="shared" si="51"/>
        <v>43.414999999999999</v>
      </c>
      <c r="L98" s="483">
        <f t="shared" si="51"/>
        <v>41.8</v>
      </c>
      <c r="M98" s="483">
        <f t="shared" si="51"/>
        <v>34.959999999999994</v>
      </c>
      <c r="N98" s="483">
        <f t="shared" si="51"/>
        <v>35.055</v>
      </c>
      <c r="O98" s="483">
        <f t="shared" si="51"/>
        <v>50.751074212757736</v>
      </c>
      <c r="P98" s="483">
        <f t="shared" si="51"/>
        <v>32.54796067858944</v>
      </c>
      <c r="Q98" s="483">
        <f t="shared" si="51"/>
        <v>31.727957487158143</v>
      </c>
      <c r="R98" s="483">
        <f t="shared" si="51"/>
        <v>29.949025524166288</v>
      </c>
      <c r="S98" s="483">
        <f t="shared" si="51"/>
        <v>31.124421190464801</v>
      </c>
      <c r="T98" s="483">
        <f t="shared" si="51"/>
        <v>31.69930389723169</v>
      </c>
      <c r="U98" s="483">
        <f t="shared" si="51"/>
        <v>31.888767724343968</v>
      </c>
      <c r="V98" s="483">
        <f t="shared" si="51"/>
        <v>31.830779289767982</v>
      </c>
      <c r="W98" s="483">
        <f t="shared" si="51"/>
        <v>31.794257244088858</v>
      </c>
      <c r="X98" s="483">
        <f t="shared" si="51"/>
        <v>31.770799731920086</v>
      </c>
      <c r="Y98" s="483">
        <f t="shared" si="51"/>
        <v>31.750709610930787</v>
      </c>
      <c r="Z98" s="483">
        <f t="shared" si="51"/>
        <v>31.743509235621186</v>
      </c>
      <c r="AA98" s="483">
        <f t="shared" si="51"/>
        <v>31.741544979889387</v>
      </c>
      <c r="AB98" s="483">
        <f t="shared" si="51"/>
        <v>31.785326421240963</v>
      </c>
      <c r="AC98" s="483">
        <f t="shared" si="51"/>
        <v>31.829107862592537</v>
      </c>
      <c r="AD98" s="483">
        <f t="shared" si="51"/>
        <v>31.872889303944106</v>
      </c>
      <c r="AE98" s="483">
        <f t="shared" si="51"/>
        <v>31.916670745295676</v>
      </c>
      <c r="AF98" s="483">
        <f t="shared" si="51"/>
        <v>31.960452186647256</v>
      </c>
      <c r="AG98" s="483">
        <f t="shared" si="51"/>
        <v>32.004233627998829</v>
      </c>
      <c r="AH98" s="483">
        <f t="shared" si="51"/>
        <v>32.048015069350392</v>
      </c>
      <c r="AI98" s="483">
        <f t="shared" si="51"/>
        <v>32.091796510701968</v>
      </c>
      <c r="AJ98" s="483">
        <f t="shared" si="51"/>
        <v>32.135577952053531</v>
      </c>
      <c r="AK98" s="483">
        <f t="shared" si="51"/>
        <v>32.179359393405107</v>
      </c>
      <c r="AL98" s="483">
        <f t="shared" si="51"/>
        <v>32.223140834756684</v>
      </c>
      <c r="AM98" s="483">
        <f t="shared" si="51"/>
        <v>32.266922276108254</v>
      </c>
      <c r="AN98" s="483">
        <f t="shared" si="51"/>
        <v>32.310703717459816</v>
      </c>
      <c r="AO98" s="483">
        <f t="shared" si="51"/>
        <v>32.354485158811393</v>
      </c>
      <c r="AP98" s="483">
        <f t="shared" si="51"/>
        <v>32.39826660016297</v>
      </c>
      <c r="AQ98" s="483">
        <f t="shared" si="51"/>
        <v>32.442048041514546</v>
      </c>
      <c r="AR98" s="483">
        <f t="shared" si="51"/>
        <v>32.485829482866109</v>
      </c>
      <c r="AS98" s="483">
        <f t="shared" si="51"/>
        <v>32.529610924217685</v>
      </c>
      <c r="AT98" s="483">
        <f t="shared" si="51"/>
        <v>32.573392365569248</v>
      </c>
      <c r="AU98" s="483">
        <f t="shared" si="51"/>
        <v>32.617173806920832</v>
      </c>
      <c r="AV98" s="484">
        <v>5</v>
      </c>
      <c r="AW98" s="602">
        <v>0</v>
      </c>
      <c r="AX98" s="602">
        <v>0</v>
      </c>
      <c r="AY98" s="602">
        <v>0</v>
      </c>
      <c r="AZ98" s="602">
        <v>4</v>
      </c>
      <c r="BA98" s="602">
        <v>0</v>
      </c>
      <c r="BB98" s="602">
        <v>0</v>
      </c>
      <c r="BC98" s="602">
        <v>0</v>
      </c>
      <c r="BD98" s="602">
        <v>4</v>
      </c>
      <c r="BE98" s="602">
        <v>0</v>
      </c>
      <c r="BF98" s="602">
        <v>0</v>
      </c>
      <c r="BG98" s="602">
        <v>0</v>
      </c>
      <c r="BH98" s="602">
        <v>4</v>
      </c>
      <c r="BI98" s="602">
        <v>0</v>
      </c>
      <c r="BJ98" s="602">
        <v>0</v>
      </c>
      <c r="BK98" s="602">
        <v>0</v>
      </c>
      <c r="BL98" s="602">
        <v>4</v>
      </c>
      <c r="BM98" s="602">
        <v>0</v>
      </c>
      <c r="BN98" s="602">
        <v>0</v>
      </c>
      <c r="BO98" s="602">
        <v>0</v>
      </c>
      <c r="BP98" s="602">
        <v>4</v>
      </c>
    </row>
    <row r="99" spans="2:68" ht="14.4">
      <c r="B99" s="8" t="str">
        <f>Processes!D113</f>
        <v>EXPSNE</v>
      </c>
      <c r="C99" s="8" t="str">
        <f>Processes!E113</f>
        <v>Export technology - Electro Synt. Nat. Gas</v>
      </c>
      <c r="D99" s="216" t="str">
        <f t="shared" si="41"/>
        <v>SNE</v>
      </c>
      <c r="F99" s="1119" t="str">
        <f t="shared" si="52"/>
        <v>MKr19</v>
      </c>
      <c r="G99" s="483">
        <f>G$77</f>
        <v>42.18</v>
      </c>
      <c r="H99" s="483">
        <f t="shared" si="51"/>
        <v>43.795000000000002</v>
      </c>
      <c r="I99" s="483">
        <f t="shared" si="51"/>
        <v>52.344999999999999</v>
      </c>
      <c r="J99" s="483">
        <f t="shared" si="51"/>
        <v>51.49</v>
      </c>
      <c r="K99" s="483">
        <f t="shared" si="51"/>
        <v>43.414999999999999</v>
      </c>
      <c r="L99" s="483">
        <f t="shared" si="51"/>
        <v>41.8</v>
      </c>
      <c r="M99" s="483">
        <f t="shared" si="51"/>
        <v>34.959999999999994</v>
      </c>
      <c r="N99" s="483">
        <f t="shared" si="51"/>
        <v>35.055</v>
      </c>
      <c r="O99" s="483">
        <f t="shared" si="51"/>
        <v>50.751074212757736</v>
      </c>
      <c r="P99" s="483">
        <f t="shared" si="51"/>
        <v>32.54796067858944</v>
      </c>
      <c r="Q99" s="483">
        <f t="shared" si="51"/>
        <v>31.727957487158143</v>
      </c>
      <c r="R99" s="483">
        <f t="shared" si="51"/>
        <v>29.949025524166288</v>
      </c>
      <c r="S99" s="483">
        <f t="shared" si="51"/>
        <v>31.124421190464801</v>
      </c>
      <c r="T99" s="483">
        <f t="shared" si="51"/>
        <v>31.69930389723169</v>
      </c>
      <c r="U99" s="483">
        <f t="shared" si="51"/>
        <v>31.888767724343968</v>
      </c>
      <c r="V99" s="483">
        <f t="shared" si="51"/>
        <v>31.830779289767982</v>
      </c>
      <c r="W99" s="483">
        <f t="shared" si="51"/>
        <v>31.794257244088858</v>
      </c>
      <c r="X99" s="483">
        <f t="shared" si="51"/>
        <v>31.770799731920086</v>
      </c>
      <c r="Y99" s="483">
        <f t="shared" si="51"/>
        <v>31.750709610930787</v>
      </c>
      <c r="Z99" s="483">
        <f t="shared" si="51"/>
        <v>31.743509235621186</v>
      </c>
      <c r="AA99" s="483">
        <f t="shared" si="51"/>
        <v>31.741544979889387</v>
      </c>
      <c r="AB99" s="483">
        <f t="shared" si="51"/>
        <v>31.785326421240963</v>
      </c>
      <c r="AC99" s="483">
        <f t="shared" si="51"/>
        <v>31.829107862592537</v>
      </c>
      <c r="AD99" s="483">
        <f t="shared" si="51"/>
        <v>31.872889303944106</v>
      </c>
      <c r="AE99" s="483">
        <f t="shared" si="51"/>
        <v>31.916670745295676</v>
      </c>
      <c r="AF99" s="483">
        <f t="shared" si="51"/>
        <v>31.960452186647256</v>
      </c>
      <c r="AG99" s="483">
        <f t="shared" si="51"/>
        <v>32.004233627998829</v>
      </c>
      <c r="AH99" s="483">
        <f t="shared" si="51"/>
        <v>32.048015069350392</v>
      </c>
      <c r="AI99" s="483">
        <f t="shared" si="51"/>
        <v>32.091796510701968</v>
      </c>
      <c r="AJ99" s="483">
        <f t="shared" si="51"/>
        <v>32.135577952053531</v>
      </c>
      <c r="AK99" s="483">
        <f t="shared" si="51"/>
        <v>32.179359393405107</v>
      </c>
      <c r="AL99" s="483">
        <f t="shared" si="51"/>
        <v>32.223140834756684</v>
      </c>
      <c r="AM99" s="483">
        <f t="shared" si="51"/>
        <v>32.266922276108254</v>
      </c>
      <c r="AN99" s="483">
        <f t="shared" si="51"/>
        <v>32.310703717459816</v>
      </c>
      <c r="AO99" s="483">
        <f t="shared" si="51"/>
        <v>32.354485158811393</v>
      </c>
      <c r="AP99" s="483">
        <f t="shared" si="51"/>
        <v>32.39826660016297</v>
      </c>
      <c r="AQ99" s="483">
        <f t="shared" si="51"/>
        <v>32.442048041514546</v>
      </c>
      <c r="AR99" s="483">
        <f t="shared" si="51"/>
        <v>32.485829482866109</v>
      </c>
      <c r="AS99" s="483">
        <f t="shared" si="51"/>
        <v>32.529610924217685</v>
      </c>
      <c r="AT99" s="483">
        <f t="shared" si="51"/>
        <v>32.573392365569248</v>
      </c>
      <c r="AU99" s="483">
        <f t="shared" si="51"/>
        <v>32.617173806920832</v>
      </c>
      <c r="AV99" s="484">
        <v>5</v>
      </c>
      <c r="AW99" s="602">
        <v>0</v>
      </c>
      <c r="AX99" s="602">
        <v>0</v>
      </c>
      <c r="AY99" s="602">
        <v>0</v>
      </c>
      <c r="AZ99" s="602">
        <v>4</v>
      </c>
      <c r="BA99" s="602">
        <v>0</v>
      </c>
      <c r="BB99" s="602">
        <v>0</v>
      </c>
      <c r="BC99" s="602">
        <v>0</v>
      </c>
      <c r="BD99" s="602">
        <v>4</v>
      </c>
      <c r="BE99" s="602">
        <v>0</v>
      </c>
      <c r="BF99" s="602">
        <v>0</v>
      </c>
      <c r="BG99" s="602">
        <v>0</v>
      </c>
      <c r="BH99" s="602">
        <v>4</v>
      </c>
      <c r="BI99" s="602">
        <v>0</v>
      </c>
      <c r="BJ99" s="602">
        <v>0</v>
      </c>
      <c r="BK99" s="602">
        <v>0</v>
      </c>
      <c r="BL99" s="602">
        <v>4</v>
      </c>
      <c r="BM99" s="602">
        <v>0</v>
      </c>
      <c r="BN99" s="602">
        <v>0</v>
      </c>
      <c r="BO99" s="602">
        <v>0</v>
      </c>
      <c r="BP99" s="602">
        <v>4</v>
      </c>
    </row>
    <row r="100" spans="2:68" ht="14.4">
      <c r="B100" s="8" t="str">
        <f>Processes!D114</f>
        <v>EXPDSB1</v>
      </c>
      <c r="C100" s="8" t="str">
        <f>Processes!E114</f>
        <v>Export technology - Biodiesel G1</v>
      </c>
      <c r="D100" s="216" t="str">
        <f t="shared" si="41"/>
        <v>DSB1</v>
      </c>
      <c r="F100" s="1119" t="str">
        <f t="shared" si="52"/>
        <v>MKr19</v>
      </c>
      <c r="G100" s="483">
        <f>G$83</f>
        <v>100.13</v>
      </c>
      <c r="H100" s="483">
        <f t="shared" ref="H100:AU102" si="53">H$83</f>
        <v>111.53</v>
      </c>
      <c r="I100" s="483">
        <f t="shared" si="53"/>
        <v>127.48999999999998</v>
      </c>
      <c r="J100" s="483">
        <f t="shared" si="53"/>
        <v>117.03999999999999</v>
      </c>
      <c r="K100" s="483">
        <f t="shared" si="53"/>
        <v>107.82499999999999</v>
      </c>
      <c r="L100" s="483">
        <f t="shared" si="53"/>
        <v>73.149999999999991</v>
      </c>
      <c r="M100" s="483">
        <f t="shared" si="53"/>
        <v>70.3</v>
      </c>
      <c r="N100" s="483">
        <f t="shared" si="53"/>
        <v>74.290000000000006</v>
      </c>
      <c r="O100" s="483">
        <f t="shared" si="53"/>
        <v>96.426022004987345</v>
      </c>
      <c r="P100" s="483">
        <f t="shared" si="53"/>
        <v>90.807615434698747</v>
      </c>
      <c r="Q100" s="483">
        <f t="shared" si="53"/>
        <v>89.401673832219473</v>
      </c>
      <c r="R100" s="483">
        <f t="shared" si="53"/>
        <v>68.516792691424257</v>
      </c>
      <c r="S100" s="483">
        <f t="shared" si="53"/>
        <v>71.754866618593084</v>
      </c>
      <c r="T100" s="483">
        <f t="shared" si="53"/>
        <v>73.96179631899065</v>
      </c>
      <c r="U100" s="483">
        <f t="shared" si="53"/>
        <v>75.575095006707542</v>
      </c>
      <c r="V100" s="483">
        <f t="shared" si="53"/>
        <v>76.749748941909317</v>
      </c>
      <c r="W100" s="483">
        <f t="shared" si="53"/>
        <v>78.046939113302997</v>
      </c>
      <c r="X100" s="483">
        <f t="shared" si="53"/>
        <v>79.318170941805391</v>
      </c>
      <c r="Y100" s="483">
        <f t="shared" si="53"/>
        <v>80.48773617399354</v>
      </c>
      <c r="Z100" s="483">
        <f t="shared" si="53"/>
        <v>81.715850466579965</v>
      </c>
      <c r="AA100" s="483">
        <f t="shared" si="53"/>
        <v>82.877880872470527</v>
      </c>
      <c r="AB100" s="483">
        <f t="shared" si="53"/>
        <v>82.587044298377819</v>
      </c>
      <c r="AC100" s="483">
        <f t="shared" si="53"/>
        <v>82.295512149203404</v>
      </c>
      <c r="AD100" s="483">
        <f t="shared" si="53"/>
        <v>82.005183686862722</v>
      </c>
      <c r="AE100" s="483">
        <f t="shared" si="53"/>
        <v>81.714126007099949</v>
      </c>
      <c r="AF100" s="483">
        <f t="shared" si="53"/>
        <v>81.423160188978741</v>
      </c>
      <c r="AG100" s="483">
        <f t="shared" si="53"/>
        <v>81.131314786114757</v>
      </c>
      <c r="AH100" s="483">
        <f t="shared" si="53"/>
        <v>80.840497833412343</v>
      </c>
      <c r="AI100" s="483">
        <f t="shared" si="53"/>
        <v>80.548986928309944</v>
      </c>
      <c r="AJ100" s="483">
        <f t="shared" si="53"/>
        <v>80.258358418959332</v>
      </c>
      <c r="AK100" s="483">
        <f t="shared" si="53"/>
        <v>79.967443126641484</v>
      </c>
      <c r="AL100" s="483">
        <f t="shared" si="53"/>
        <v>79.676528313431973</v>
      </c>
      <c r="AM100" s="483">
        <f t="shared" si="53"/>
        <v>79.388615803438867</v>
      </c>
      <c r="AN100" s="483">
        <f t="shared" si="53"/>
        <v>79.10070874877735</v>
      </c>
      <c r="AO100" s="483">
        <f t="shared" si="53"/>
        <v>78.812807156422508</v>
      </c>
      <c r="AP100" s="483">
        <f t="shared" si="53"/>
        <v>78.524911033358194</v>
      </c>
      <c r="AQ100" s="483">
        <f t="shared" si="53"/>
        <v>78.237020386577257</v>
      </c>
      <c r="AR100" s="483">
        <f t="shared" si="53"/>
        <v>77.949135223081484</v>
      </c>
      <c r="AS100" s="483">
        <f t="shared" si="53"/>
        <v>77.661255549881631</v>
      </c>
      <c r="AT100" s="483">
        <f t="shared" si="53"/>
        <v>77.373381373997375</v>
      </c>
      <c r="AU100" s="483">
        <f t="shared" si="53"/>
        <v>77.085512702457393</v>
      </c>
      <c r="AV100" s="484">
        <v>5</v>
      </c>
      <c r="AW100" s="602">
        <v>0</v>
      </c>
      <c r="AX100" s="602">
        <v>0</v>
      </c>
      <c r="AY100" s="602">
        <v>0</v>
      </c>
      <c r="AZ100" s="602">
        <v>4</v>
      </c>
      <c r="BA100" s="602">
        <v>0</v>
      </c>
      <c r="BB100" s="602">
        <v>0</v>
      </c>
      <c r="BC100" s="602">
        <v>0</v>
      </c>
      <c r="BD100" s="602">
        <v>4</v>
      </c>
      <c r="BE100" s="602">
        <v>0</v>
      </c>
      <c r="BF100" s="602">
        <v>0</v>
      </c>
      <c r="BG100" s="602">
        <v>0</v>
      </c>
      <c r="BH100" s="602">
        <v>4</v>
      </c>
      <c r="BI100" s="602">
        <v>0</v>
      </c>
      <c r="BJ100" s="602">
        <v>0</v>
      </c>
      <c r="BK100" s="602">
        <v>0</v>
      </c>
      <c r="BL100" s="602">
        <v>4</v>
      </c>
      <c r="BM100" s="602">
        <v>0</v>
      </c>
      <c r="BN100" s="602">
        <v>0</v>
      </c>
      <c r="BO100" s="602">
        <v>0</v>
      </c>
      <c r="BP100" s="602">
        <v>4</v>
      </c>
    </row>
    <row r="101" spans="2:68" ht="14.4">
      <c r="B101" s="8" t="str">
        <f>Processes!D115</f>
        <v>EXPDSB2</v>
      </c>
      <c r="C101" s="8" t="str">
        <f>Processes!E115</f>
        <v>Export technology - Biodiesel G2</v>
      </c>
      <c r="D101" s="216" t="str">
        <f t="shared" si="41"/>
        <v>DSB2</v>
      </c>
      <c r="F101" s="1119" t="str">
        <f t="shared" si="52"/>
        <v>MKr19</v>
      </c>
      <c r="G101" s="483">
        <f>G$83</f>
        <v>100.13</v>
      </c>
      <c r="H101" s="483">
        <f t="shared" si="53"/>
        <v>111.53</v>
      </c>
      <c r="I101" s="483">
        <f t="shared" si="53"/>
        <v>127.48999999999998</v>
      </c>
      <c r="J101" s="483">
        <f t="shared" si="53"/>
        <v>117.03999999999999</v>
      </c>
      <c r="K101" s="483">
        <f t="shared" si="53"/>
        <v>107.82499999999999</v>
      </c>
      <c r="L101" s="483">
        <f t="shared" si="53"/>
        <v>73.149999999999991</v>
      </c>
      <c r="M101" s="483">
        <f t="shared" si="53"/>
        <v>70.3</v>
      </c>
      <c r="N101" s="483">
        <f t="shared" si="53"/>
        <v>74.290000000000006</v>
      </c>
      <c r="O101" s="483">
        <f t="shared" si="53"/>
        <v>96.426022004987345</v>
      </c>
      <c r="P101" s="483">
        <f t="shared" si="53"/>
        <v>90.807615434698747</v>
      </c>
      <c r="Q101" s="483">
        <f t="shared" si="53"/>
        <v>89.401673832219473</v>
      </c>
      <c r="R101" s="483">
        <f t="shared" si="53"/>
        <v>68.516792691424257</v>
      </c>
      <c r="S101" s="483">
        <f t="shared" si="53"/>
        <v>71.754866618593084</v>
      </c>
      <c r="T101" s="483">
        <f t="shared" si="53"/>
        <v>73.96179631899065</v>
      </c>
      <c r="U101" s="483">
        <f t="shared" si="53"/>
        <v>75.575095006707542</v>
      </c>
      <c r="V101" s="483">
        <f t="shared" si="53"/>
        <v>76.749748941909317</v>
      </c>
      <c r="W101" s="483">
        <f t="shared" si="53"/>
        <v>78.046939113302997</v>
      </c>
      <c r="X101" s="483">
        <f t="shared" si="53"/>
        <v>79.318170941805391</v>
      </c>
      <c r="Y101" s="483">
        <f t="shared" si="53"/>
        <v>80.48773617399354</v>
      </c>
      <c r="Z101" s="483">
        <f t="shared" si="53"/>
        <v>81.715850466579965</v>
      </c>
      <c r="AA101" s="483">
        <f t="shared" si="53"/>
        <v>82.877880872470527</v>
      </c>
      <c r="AB101" s="483">
        <f t="shared" si="53"/>
        <v>82.587044298377819</v>
      </c>
      <c r="AC101" s="483">
        <f t="shared" si="53"/>
        <v>82.295512149203404</v>
      </c>
      <c r="AD101" s="483">
        <f t="shared" si="53"/>
        <v>82.005183686862722</v>
      </c>
      <c r="AE101" s="483">
        <f t="shared" si="53"/>
        <v>81.714126007099949</v>
      </c>
      <c r="AF101" s="483">
        <f t="shared" si="53"/>
        <v>81.423160188978741</v>
      </c>
      <c r="AG101" s="483">
        <f t="shared" si="53"/>
        <v>81.131314786114757</v>
      </c>
      <c r="AH101" s="483">
        <f t="shared" si="53"/>
        <v>80.840497833412343</v>
      </c>
      <c r="AI101" s="483">
        <f t="shared" si="53"/>
        <v>80.548986928309944</v>
      </c>
      <c r="AJ101" s="483">
        <f t="shared" si="53"/>
        <v>80.258358418959332</v>
      </c>
      <c r="AK101" s="483">
        <f t="shared" si="53"/>
        <v>79.967443126641484</v>
      </c>
      <c r="AL101" s="483">
        <f t="shared" si="53"/>
        <v>79.676528313431973</v>
      </c>
      <c r="AM101" s="483">
        <f t="shared" si="53"/>
        <v>79.388615803438867</v>
      </c>
      <c r="AN101" s="483">
        <f t="shared" si="53"/>
        <v>79.10070874877735</v>
      </c>
      <c r="AO101" s="483">
        <f t="shared" si="53"/>
        <v>78.812807156422508</v>
      </c>
      <c r="AP101" s="483">
        <f t="shared" si="53"/>
        <v>78.524911033358194</v>
      </c>
      <c r="AQ101" s="483">
        <f t="shared" si="53"/>
        <v>78.237020386577257</v>
      </c>
      <c r="AR101" s="483">
        <f t="shared" si="53"/>
        <v>77.949135223081484</v>
      </c>
      <c r="AS101" s="483">
        <f t="shared" si="53"/>
        <v>77.661255549881631</v>
      </c>
      <c r="AT101" s="483">
        <f t="shared" si="53"/>
        <v>77.373381373997375</v>
      </c>
      <c r="AU101" s="483">
        <f t="shared" si="53"/>
        <v>77.085512702457393</v>
      </c>
      <c r="AV101" s="484">
        <v>5</v>
      </c>
      <c r="AW101" s="602">
        <v>0</v>
      </c>
      <c r="AX101" s="602">
        <v>0</v>
      </c>
      <c r="AY101" s="602">
        <v>0</v>
      </c>
      <c r="AZ101" s="602">
        <v>4</v>
      </c>
      <c r="BA101" s="602">
        <v>0</v>
      </c>
      <c r="BB101" s="602">
        <v>0</v>
      </c>
      <c r="BC101" s="602">
        <v>0</v>
      </c>
      <c r="BD101" s="602">
        <v>4</v>
      </c>
      <c r="BE101" s="602">
        <v>0</v>
      </c>
      <c r="BF101" s="602">
        <v>0</v>
      </c>
      <c r="BG101" s="602">
        <v>0</v>
      </c>
      <c r="BH101" s="602">
        <v>4</v>
      </c>
      <c r="BI101" s="602">
        <v>0</v>
      </c>
      <c r="BJ101" s="602">
        <v>0</v>
      </c>
      <c r="BK101" s="602">
        <v>0</v>
      </c>
      <c r="BL101" s="602">
        <v>4</v>
      </c>
      <c r="BM101" s="602">
        <v>0</v>
      </c>
      <c r="BN101" s="602">
        <v>0</v>
      </c>
      <c r="BO101" s="602">
        <v>0</v>
      </c>
      <c r="BP101" s="602">
        <v>4</v>
      </c>
    </row>
    <row r="102" spans="2:68" ht="14.4">
      <c r="B102" s="8" t="str">
        <f>Processes!D116</f>
        <v>EXPDSE</v>
      </c>
      <c r="C102" s="8" t="str">
        <f>Processes!E116</f>
        <v>Export technology - Electro Diesel</v>
      </c>
      <c r="D102" s="216" t="str">
        <f t="shared" si="41"/>
        <v>DSE</v>
      </c>
      <c r="F102" s="1119" t="str">
        <f t="shared" si="52"/>
        <v>MKr19</v>
      </c>
      <c r="G102" s="483">
        <f>G$83</f>
        <v>100.13</v>
      </c>
      <c r="H102" s="483">
        <f t="shared" si="53"/>
        <v>111.53</v>
      </c>
      <c r="I102" s="483">
        <f t="shared" si="53"/>
        <v>127.48999999999998</v>
      </c>
      <c r="J102" s="483">
        <f t="shared" si="53"/>
        <v>117.03999999999999</v>
      </c>
      <c r="K102" s="483">
        <f t="shared" si="53"/>
        <v>107.82499999999999</v>
      </c>
      <c r="L102" s="483">
        <f t="shared" si="53"/>
        <v>73.149999999999991</v>
      </c>
      <c r="M102" s="483">
        <f t="shared" si="53"/>
        <v>70.3</v>
      </c>
      <c r="N102" s="483">
        <f t="shared" si="53"/>
        <v>74.290000000000006</v>
      </c>
      <c r="O102" s="483">
        <f t="shared" si="53"/>
        <v>96.426022004987345</v>
      </c>
      <c r="P102" s="483">
        <f t="shared" si="53"/>
        <v>90.807615434698747</v>
      </c>
      <c r="Q102" s="483">
        <f t="shared" si="53"/>
        <v>89.401673832219473</v>
      </c>
      <c r="R102" s="483">
        <f t="shared" si="53"/>
        <v>68.516792691424257</v>
      </c>
      <c r="S102" s="483">
        <f t="shared" si="53"/>
        <v>71.754866618593084</v>
      </c>
      <c r="T102" s="483">
        <f t="shared" si="53"/>
        <v>73.96179631899065</v>
      </c>
      <c r="U102" s="483">
        <f t="shared" si="53"/>
        <v>75.575095006707542</v>
      </c>
      <c r="V102" s="483">
        <f t="shared" si="53"/>
        <v>76.749748941909317</v>
      </c>
      <c r="W102" s="483">
        <f t="shared" si="53"/>
        <v>78.046939113302997</v>
      </c>
      <c r="X102" s="483">
        <f t="shared" si="53"/>
        <v>79.318170941805391</v>
      </c>
      <c r="Y102" s="483">
        <f t="shared" si="53"/>
        <v>80.48773617399354</v>
      </c>
      <c r="Z102" s="483">
        <f t="shared" si="53"/>
        <v>81.715850466579965</v>
      </c>
      <c r="AA102" s="483">
        <f t="shared" si="53"/>
        <v>82.877880872470527</v>
      </c>
      <c r="AB102" s="483">
        <f t="shared" si="53"/>
        <v>82.587044298377819</v>
      </c>
      <c r="AC102" s="483">
        <f t="shared" si="53"/>
        <v>82.295512149203404</v>
      </c>
      <c r="AD102" s="483">
        <f t="shared" si="53"/>
        <v>82.005183686862722</v>
      </c>
      <c r="AE102" s="483">
        <f t="shared" si="53"/>
        <v>81.714126007099949</v>
      </c>
      <c r="AF102" s="483">
        <f t="shared" si="53"/>
        <v>81.423160188978741</v>
      </c>
      <c r="AG102" s="483">
        <f t="shared" si="53"/>
        <v>81.131314786114757</v>
      </c>
      <c r="AH102" s="483">
        <f t="shared" si="53"/>
        <v>80.840497833412343</v>
      </c>
      <c r="AI102" s="483">
        <f t="shared" si="53"/>
        <v>80.548986928309944</v>
      </c>
      <c r="AJ102" s="483">
        <f t="shared" si="53"/>
        <v>80.258358418959332</v>
      </c>
      <c r="AK102" s="483">
        <f t="shared" si="53"/>
        <v>79.967443126641484</v>
      </c>
      <c r="AL102" s="483">
        <f t="shared" si="53"/>
        <v>79.676528313431973</v>
      </c>
      <c r="AM102" s="483">
        <f t="shared" si="53"/>
        <v>79.388615803438867</v>
      </c>
      <c r="AN102" s="483">
        <f t="shared" si="53"/>
        <v>79.10070874877735</v>
      </c>
      <c r="AO102" s="483">
        <f t="shared" si="53"/>
        <v>78.812807156422508</v>
      </c>
      <c r="AP102" s="483">
        <f t="shared" si="53"/>
        <v>78.524911033358194</v>
      </c>
      <c r="AQ102" s="483">
        <f t="shared" si="53"/>
        <v>78.237020386577257</v>
      </c>
      <c r="AR102" s="483">
        <f t="shared" si="53"/>
        <v>77.949135223081484</v>
      </c>
      <c r="AS102" s="483">
        <f t="shared" si="53"/>
        <v>77.661255549881631</v>
      </c>
      <c r="AT102" s="483">
        <f t="shared" si="53"/>
        <v>77.373381373997375</v>
      </c>
      <c r="AU102" s="483">
        <f t="shared" si="53"/>
        <v>77.085512702457393</v>
      </c>
      <c r="AV102" s="484">
        <v>5</v>
      </c>
      <c r="AW102" s="602">
        <v>0</v>
      </c>
      <c r="AX102" s="602">
        <v>0</v>
      </c>
      <c r="AY102" s="602">
        <v>0</v>
      </c>
      <c r="AZ102" s="602">
        <v>4</v>
      </c>
      <c r="BA102" s="602">
        <v>0</v>
      </c>
      <c r="BB102" s="602">
        <v>0</v>
      </c>
      <c r="BC102" s="602">
        <v>0</v>
      </c>
      <c r="BD102" s="602">
        <v>4</v>
      </c>
      <c r="BE102" s="602">
        <v>0</v>
      </c>
      <c r="BF102" s="602">
        <v>0</v>
      </c>
      <c r="BG102" s="602">
        <v>0</v>
      </c>
      <c r="BH102" s="602">
        <v>4</v>
      </c>
      <c r="BI102" s="602">
        <v>0</v>
      </c>
      <c r="BJ102" s="602">
        <v>0</v>
      </c>
      <c r="BK102" s="602">
        <v>0</v>
      </c>
      <c r="BL102" s="602">
        <v>4</v>
      </c>
      <c r="BM102" s="602">
        <v>0</v>
      </c>
      <c r="BN102" s="602">
        <v>0</v>
      </c>
      <c r="BO102" s="602">
        <v>0</v>
      </c>
      <c r="BP102" s="602">
        <v>4</v>
      </c>
    </row>
    <row r="103" spans="2:68" ht="14.4">
      <c r="B103" s="8" t="str">
        <f>Processes!D117</f>
        <v>EXPGSB1</v>
      </c>
      <c r="C103" s="8" t="str">
        <f>Processes!E117</f>
        <v>Export technology - Bioethanol G1</v>
      </c>
      <c r="D103" s="216" t="str">
        <f t="shared" si="41"/>
        <v>GSB1</v>
      </c>
      <c r="F103" s="1119" t="str">
        <f t="shared" si="52"/>
        <v>MKr19</v>
      </c>
      <c r="G103" s="483">
        <f>G$81</f>
        <v>88.16</v>
      </c>
      <c r="H103" s="483">
        <f t="shared" ref="H103:AU105" si="54">H$81</f>
        <v>116.755</v>
      </c>
      <c r="I103" s="483">
        <f t="shared" si="54"/>
        <v>129.86499999999998</v>
      </c>
      <c r="J103" s="483">
        <f t="shared" si="54"/>
        <v>115.89999999999999</v>
      </c>
      <c r="K103" s="483">
        <f t="shared" si="54"/>
        <v>109.05999999999999</v>
      </c>
      <c r="L103" s="483">
        <f t="shared" si="54"/>
        <v>74.290000000000006</v>
      </c>
      <c r="M103" s="483">
        <f t="shared" si="54"/>
        <v>71.534999999999997</v>
      </c>
      <c r="N103" s="483">
        <f t="shared" si="54"/>
        <v>75.430000000000007</v>
      </c>
      <c r="O103" s="483">
        <f t="shared" si="54"/>
        <v>97.281022004987349</v>
      </c>
      <c r="P103" s="483">
        <f t="shared" si="54"/>
        <v>92.859615434698739</v>
      </c>
      <c r="Q103" s="483">
        <f t="shared" si="54"/>
        <v>91.453673832219465</v>
      </c>
      <c r="R103" s="483">
        <f t="shared" si="54"/>
        <v>70.56879269142425</v>
      </c>
      <c r="S103" s="483">
        <f t="shared" si="54"/>
        <v>73.806866618593077</v>
      </c>
      <c r="T103" s="483">
        <f t="shared" si="54"/>
        <v>76.013796318990643</v>
      </c>
      <c r="U103" s="483">
        <f t="shared" si="54"/>
        <v>77.627095006707535</v>
      </c>
      <c r="V103" s="483">
        <f t="shared" si="54"/>
        <v>78.80174894190931</v>
      </c>
      <c r="W103" s="483">
        <f t="shared" si="54"/>
        <v>80.09893911330299</v>
      </c>
      <c r="X103" s="483">
        <f t="shared" si="54"/>
        <v>81.370170941805384</v>
      </c>
      <c r="Y103" s="483">
        <f t="shared" si="54"/>
        <v>82.539736173993532</v>
      </c>
      <c r="Z103" s="483">
        <f t="shared" si="54"/>
        <v>83.767850466579958</v>
      </c>
      <c r="AA103" s="483">
        <f t="shared" si="54"/>
        <v>84.929880872470534</v>
      </c>
      <c r="AB103" s="483">
        <f t="shared" si="54"/>
        <v>84.639044298377826</v>
      </c>
      <c r="AC103" s="483">
        <f t="shared" si="54"/>
        <v>84.347512149203396</v>
      </c>
      <c r="AD103" s="483">
        <f t="shared" si="54"/>
        <v>84.057183686862714</v>
      </c>
      <c r="AE103" s="483">
        <f t="shared" si="54"/>
        <v>83.766126007099942</v>
      </c>
      <c r="AF103" s="483">
        <f t="shared" si="54"/>
        <v>83.475160188978734</v>
      </c>
      <c r="AG103" s="483">
        <f t="shared" si="54"/>
        <v>83.183314786114749</v>
      </c>
      <c r="AH103" s="483">
        <f t="shared" si="54"/>
        <v>82.892497833412349</v>
      </c>
      <c r="AI103" s="483">
        <f t="shared" si="54"/>
        <v>82.600986928309936</v>
      </c>
      <c r="AJ103" s="483">
        <f t="shared" si="54"/>
        <v>82.310358418959339</v>
      </c>
      <c r="AK103" s="483">
        <f t="shared" si="54"/>
        <v>82.019443126641477</v>
      </c>
      <c r="AL103" s="483">
        <f t="shared" si="54"/>
        <v>81.728528313431966</v>
      </c>
      <c r="AM103" s="483">
        <f t="shared" si="54"/>
        <v>81.44061580343886</v>
      </c>
      <c r="AN103" s="483">
        <f t="shared" si="54"/>
        <v>81.152708748777343</v>
      </c>
      <c r="AO103" s="483">
        <f t="shared" si="54"/>
        <v>80.864807156422501</v>
      </c>
      <c r="AP103" s="483">
        <f t="shared" si="54"/>
        <v>80.576911033358186</v>
      </c>
      <c r="AQ103" s="483">
        <f t="shared" si="54"/>
        <v>80.289020386577249</v>
      </c>
      <c r="AR103" s="483">
        <f t="shared" si="54"/>
        <v>80.001135223081477</v>
      </c>
      <c r="AS103" s="483">
        <f t="shared" si="54"/>
        <v>79.713255549881637</v>
      </c>
      <c r="AT103" s="483">
        <f t="shared" si="54"/>
        <v>79.425381373997368</v>
      </c>
      <c r="AU103" s="483">
        <f t="shared" si="54"/>
        <v>79.137512702457386</v>
      </c>
      <c r="AV103" s="484">
        <v>5</v>
      </c>
      <c r="AW103" s="602">
        <v>0</v>
      </c>
      <c r="AX103" s="602">
        <v>0</v>
      </c>
      <c r="AY103" s="602">
        <v>0</v>
      </c>
      <c r="AZ103" s="602">
        <v>4</v>
      </c>
      <c r="BA103" s="602">
        <v>0</v>
      </c>
      <c r="BB103" s="602">
        <v>0</v>
      </c>
      <c r="BC103" s="602">
        <v>0</v>
      </c>
      <c r="BD103" s="602">
        <v>4</v>
      </c>
      <c r="BE103" s="602">
        <v>0</v>
      </c>
      <c r="BF103" s="602">
        <v>0</v>
      </c>
      <c r="BG103" s="602">
        <v>0</v>
      </c>
      <c r="BH103" s="602">
        <v>4</v>
      </c>
      <c r="BI103" s="602">
        <v>0</v>
      </c>
      <c r="BJ103" s="602">
        <v>0</v>
      </c>
      <c r="BK103" s="602">
        <v>0</v>
      </c>
      <c r="BL103" s="602">
        <v>4</v>
      </c>
      <c r="BM103" s="602">
        <v>0</v>
      </c>
      <c r="BN103" s="602">
        <v>0</v>
      </c>
      <c r="BO103" s="602">
        <v>0</v>
      </c>
      <c r="BP103" s="602">
        <v>4</v>
      </c>
    </row>
    <row r="104" spans="2:68" ht="14.4">
      <c r="B104" s="8" t="str">
        <f>Processes!D118</f>
        <v>EXPGSB2</v>
      </c>
      <c r="C104" s="8" t="str">
        <f>Processes!E118</f>
        <v>Export technology - Bioethanol G2</v>
      </c>
      <c r="D104" s="216" t="str">
        <f t="shared" si="41"/>
        <v>GSB2</v>
      </c>
      <c r="F104" s="1119" t="str">
        <f t="shared" si="52"/>
        <v>MKr19</v>
      </c>
      <c r="G104" s="483">
        <f>G$81</f>
        <v>88.16</v>
      </c>
      <c r="H104" s="483">
        <f t="shared" si="54"/>
        <v>116.755</v>
      </c>
      <c r="I104" s="483">
        <f t="shared" si="54"/>
        <v>129.86499999999998</v>
      </c>
      <c r="J104" s="483">
        <f t="shared" si="54"/>
        <v>115.89999999999999</v>
      </c>
      <c r="K104" s="483">
        <f t="shared" si="54"/>
        <v>109.05999999999999</v>
      </c>
      <c r="L104" s="483">
        <f t="shared" si="54"/>
        <v>74.290000000000006</v>
      </c>
      <c r="M104" s="483">
        <f t="shared" si="54"/>
        <v>71.534999999999997</v>
      </c>
      <c r="N104" s="483">
        <f t="shared" si="54"/>
        <v>75.430000000000007</v>
      </c>
      <c r="O104" s="483">
        <f t="shared" si="54"/>
        <v>97.281022004987349</v>
      </c>
      <c r="P104" s="483">
        <f t="shared" si="54"/>
        <v>92.859615434698739</v>
      </c>
      <c r="Q104" s="483">
        <f t="shared" si="54"/>
        <v>91.453673832219465</v>
      </c>
      <c r="R104" s="483">
        <f t="shared" si="54"/>
        <v>70.56879269142425</v>
      </c>
      <c r="S104" s="483">
        <f t="shared" si="54"/>
        <v>73.806866618593077</v>
      </c>
      <c r="T104" s="483">
        <f t="shared" si="54"/>
        <v>76.013796318990643</v>
      </c>
      <c r="U104" s="483">
        <f t="shared" si="54"/>
        <v>77.627095006707535</v>
      </c>
      <c r="V104" s="483">
        <f t="shared" si="54"/>
        <v>78.80174894190931</v>
      </c>
      <c r="W104" s="483">
        <f t="shared" si="54"/>
        <v>80.09893911330299</v>
      </c>
      <c r="X104" s="483">
        <f t="shared" si="54"/>
        <v>81.370170941805384</v>
      </c>
      <c r="Y104" s="483">
        <f t="shared" si="54"/>
        <v>82.539736173993532</v>
      </c>
      <c r="Z104" s="483">
        <f t="shared" si="54"/>
        <v>83.767850466579958</v>
      </c>
      <c r="AA104" s="483">
        <f t="shared" si="54"/>
        <v>84.929880872470534</v>
      </c>
      <c r="AB104" s="483">
        <f t="shared" si="54"/>
        <v>84.639044298377826</v>
      </c>
      <c r="AC104" s="483">
        <f t="shared" si="54"/>
        <v>84.347512149203396</v>
      </c>
      <c r="AD104" s="483">
        <f t="shared" si="54"/>
        <v>84.057183686862714</v>
      </c>
      <c r="AE104" s="483">
        <f t="shared" si="54"/>
        <v>83.766126007099942</v>
      </c>
      <c r="AF104" s="483">
        <f t="shared" si="54"/>
        <v>83.475160188978734</v>
      </c>
      <c r="AG104" s="483">
        <f t="shared" si="54"/>
        <v>83.183314786114749</v>
      </c>
      <c r="AH104" s="483">
        <f t="shared" si="54"/>
        <v>82.892497833412349</v>
      </c>
      <c r="AI104" s="483">
        <f t="shared" si="54"/>
        <v>82.600986928309936</v>
      </c>
      <c r="AJ104" s="483">
        <f t="shared" si="54"/>
        <v>82.310358418959339</v>
      </c>
      <c r="AK104" s="483">
        <f t="shared" si="54"/>
        <v>82.019443126641477</v>
      </c>
      <c r="AL104" s="483">
        <f t="shared" si="54"/>
        <v>81.728528313431966</v>
      </c>
      <c r="AM104" s="483">
        <f t="shared" si="54"/>
        <v>81.44061580343886</v>
      </c>
      <c r="AN104" s="483">
        <f t="shared" si="54"/>
        <v>81.152708748777343</v>
      </c>
      <c r="AO104" s="483">
        <f t="shared" si="54"/>
        <v>80.864807156422501</v>
      </c>
      <c r="AP104" s="483">
        <f t="shared" si="54"/>
        <v>80.576911033358186</v>
      </c>
      <c r="AQ104" s="483">
        <f t="shared" si="54"/>
        <v>80.289020386577249</v>
      </c>
      <c r="AR104" s="483">
        <f t="shared" si="54"/>
        <v>80.001135223081477</v>
      </c>
      <c r="AS104" s="483">
        <f t="shared" si="54"/>
        <v>79.713255549881637</v>
      </c>
      <c r="AT104" s="483">
        <f t="shared" si="54"/>
        <v>79.425381373997368</v>
      </c>
      <c r="AU104" s="483">
        <f t="shared" si="54"/>
        <v>79.137512702457386</v>
      </c>
      <c r="AV104" s="484">
        <v>5</v>
      </c>
      <c r="AW104" s="602">
        <v>0</v>
      </c>
      <c r="AX104" s="602">
        <v>0</v>
      </c>
      <c r="AY104" s="602">
        <v>0</v>
      </c>
      <c r="AZ104" s="602">
        <v>4</v>
      </c>
      <c r="BA104" s="602">
        <v>0</v>
      </c>
      <c r="BB104" s="602">
        <v>0</v>
      </c>
      <c r="BC104" s="602">
        <v>0</v>
      </c>
      <c r="BD104" s="602">
        <v>4</v>
      </c>
      <c r="BE104" s="602">
        <v>0</v>
      </c>
      <c r="BF104" s="602">
        <v>0</v>
      </c>
      <c r="BG104" s="602">
        <v>0</v>
      </c>
      <c r="BH104" s="602">
        <v>4</v>
      </c>
      <c r="BI104" s="602">
        <v>0</v>
      </c>
      <c r="BJ104" s="602">
        <v>0</v>
      </c>
      <c r="BK104" s="602">
        <v>0</v>
      </c>
      <c r="BL104" s="602">
        <v>4</v>
      </c>
      <c r="BM104" s="602">
        <v>0</v>
      </c>
      <c r="BN104" s="602">
        <v>0</v>
      </c>
      <c r="BO104" s="602">
        <v>0</v>
      </c>
      <c r="BP104" s="602">
        <v>4</v>
      </c>
    </row>
    <row r="105" spans="2:68" ht="14.4">
      <c r="B105" s="8" t="str">
        <f>Processes!D119</f>
        <v>EXPGSE</v>
      </c>
      <c r="C105" s="8" t="str">
        <f>Processes!E119</f>
        <v>Export technology - Electro Gasoline</v>
      </c>
      <c r="D105" s="216" t="str">
        <f t="shared" si="41"/>
        <v>GSE</v>
      </c>
      <c r="F105" s="1119" t="str">
        <f t="shared" si="52"/>
        <v>MKr19</v>
      </c>
      <c r="G105" s="483">
        <f>G$81</f>
        <v>88.16</v>
      </c>
      <c r="H105" s="483">
        <f t="shared" si="54"/>
        <v>116.755</v>
      </c>
      <c r="I105" s="483">
        <f t="shared" si="54"/>
        <v>129.86499999999998</v>
      </c>
      <c r="J105" s="483">
        <f t="shared" si="54"/>
        <v>115.89999999999999</v>
      </c>
      <c r="K105" s="483">
        <f t="shared" si="54"/>
        <v>109.05999999999999</v>
      </c>
      <c r="L105" s="483">
        <f t="shared" si="54"/>
        <v>74.290000000000006</v>
      </c>
      <c r="M105" s="483">
        <f t="shared" si="54"/>
        <v>71.534999999999997</v>
      </c>
      <c r="N105" s="483">
        <f t="shared" si="54"/>
        <v>75.430000000000007</v>
      </c>
      <c r="O105" s="483">
        <f t="shared" si="54"/>
        <v>97.281022004987349</v>
      </c>
      <c r="P105" s="483">
        <f t="shared" si="54"/>
        <v>92.859615434698739</v>
      </c>
      <c r="Q105" s="483">
        <f t="shared" si="54"/>
        <v>91.453673832219465</v>
      </c>
      <c r="R105" s="483">
        <f t="shared" si="54"/>
        <v>70.56879269142425</v>
      </c>
      <c r="S105" s="483">
        <f t="shared" si="54"/>
        <v>73.806866618593077</v>
      </c>
      <c r="T105" s="483">
        <f t="shared" si="54"/>
        <v>76.013796318990643</v>
      </c>
      <c r="U105" s="483">
        <f t="shared" si="54"/>
        <v>77.627095006707535</v>
      </c>
      <c r="V105" s="483">
        <f t="shared" si="54"/>
        <v>78.80174894190931</v>
      </c>
      <c r="W105" s="483">
        <f t="shared" si="54"/>
        <v>80.09893911330299</v>
      </c>
      <c r="X105" s="483">
        <f t="shared" si="54"/>
        <v>81.370170941805384</v>
      </c>
      <c r="Y105" s="483">
        <f t="shared" si="54"/>
        <v>82.539736173993532</v>
      </c>
      <c r="Z105" s="483">
        <f t="shared" si="54"/>
        <v>83.767850466579958</v>
      </c>
      <c r="AA105" s="483">
        <f t="shared" si="54"/>
        <v>84.929880872470534</v>
      </c>
      <c r="AB105" s="483">
        <f t="shared" si="54"/>
        <v>84.639044298377826</v>
      </c>
      <c r="AC105" s="483">
        <f t="shared" si="54"/>
        <v>84.347512149203396</v>
      </c>
      <c r="AD105" s="483">
        <f t="shared" si="54"/>
        <v>84.057183686862714</v>
      </c>
      <c r="AE105" s="483">
        <f t="shared" si="54"/>
        <v>83.766126007099942</v>
      </c>
      <c r="AF105" s="483">
        <f t="shared" si="54"/>
        <v>83.475160188978734</v>
      </c>
      <c r="AG105" s="483">
        <f t="shared" si="54"/>
        <v>83.183314786114749</v>
      </c>
      <c r="AH105" s="483">
        <f t="shared" si="54"/>
        <v>82.892497833412349</v>
      </c>
      <c r="AI105" s="483">
        <f t="shared" si="54"/>
        <v>82.600986928309936</v>
      </c>
      <c r="AJ105" s="483">
        <f t="shared" si="54"/>
        <v>82.310358418959339</v>
      </c>
      <c r="AK105" s="483">
        <f t="shared" si="54"/>
        <v>82.019443126641477</v>
      </c>
      <c r="AL105" s="483">
        <f t="shared" si="54"/>
        <v>81.728528313431966</v>
      </c>
      <c r="AM105" s="483">
        <f t="shared" si="54"/>
        <v>81.44061580343886</v>
      </c>
      <c r="AN105" s="483">
        <f t="shared" si="54"/>
        <v>81.152708748777343</v>
      </c>
      <c r="AO105" s="483">
        <f t="shared" si="54"/>
        <v>80.864807156422501</v>
      </c>
      <c r="AP105" s="483">
        <f t="shared" si="54"/>
        <v>80.576911033358186</v>
      </c>
      <c r="AQ105" s="483">
        <f t="shared" si="54"/>
        <v>80.289020386577249</v>
      </c>
      <c r="AR105" s="483">
        <f t="shared" si="54"/>
        <v>80.001135223081477</v>
      </c>
      <c r="AS105" s="483">
        <f t="shared" si="54"/>
        <v>79.713255549881637</v>
      </c>
      <c r="AT105" s="483">
        <f t="shared" si="54"/>
        <v>79.425381373997368</v>
      </c>
      <c r="AU105" s="483">
        <f t="shared" si="54"/>
        <v>79.137512702457386</v>
      </c>
      <c r="AV105" s="484">
        <v>5</v>
      </c>
      <c r="AW105" s="602">
        <v>0</v>
      </c>
      <c r="AX105" s="602">
        <v>0</v>
      </c>
      <c r="AY105" s="602">
        <v>0</v>
      </c>
      <c r="AZ105" s="602">
        <v>4</v>
      </c>
      <c r="BA105" s="602">
        <v>0</v>
      </c>
      <c r="BB105" s="602">
        <v>0</v>
      </c>
      <c r="BC105" s="602">
        <v>0</v>
      </c>
      <c r="BD105" s="602">
        <v>4</v>
      </c>
      <c r="BE105" s="602">
        <v>0</v>
      </c>
      <c r="BF105" s="602">
        <v>0</v>
      </c>
      <c r="BG105" s="602">
        <v>0</v>
      </c>
      <c r="BH105" s="602">
        <v>4</v>
      </c>
      <c r="BI105" s="602">
        <v>0</v>
      </c>
      <c r="BJ105" s="602">
        <v>0</v>
      </c>
      <c r="BK105" s="602">
        <v>0</v>
      </c>
      <c r="BL105" s="602">
        <v>4</v>
      </c>
      <c r="BM105" s="602">
        <v>0</v>
      </c>
      <c r="BN105" s="602">
        <v>0</v>
      </c>
      <c r="BO105" s="602">
        <v>0</v>
      </c>
      <c r="BP105" s="602">
        <v>4</v>
      </c>
    </row>
    <row r="106" spans="2:68" ht="14.4">
      <c r="B106" s="8" t="str">
        <f>Processes!D120</f>
        <v>EXPMOB1</v>
      </c>
      <c r="C106" s="8" t="str">
        <f>Processes!E120</f>
        <v>Export technology - Bio Methanol G1</v>
      </c>
      <c r="D106" s="216" t="str">
        <f t="shared" si="41"/>
        <v>MOB1</v>
      </c>
      <c r="F106" s="1119" t="str">
        <f t="shared" si="52"/>
        <v>MKr14</v>
      </c>
      <c r="G106" s="483">
        <f>G103</f>
        <v>88.16</v>
      </c>
      <c r="H106" s="483">
        <f t="shared" ref="H106:AU106" si="55">H103</f>
        <v>116.755</v>
      </c>
      <c r="I106" s="483">
        <f t="shared" si="55"/>
        <v>129.86499999999998</v>
      </c>
      <c r="J106" s="483">
        <f t="shared" si="55"/>
        <v>115.89999999999999</v>
      </c>
      <c r="K106" s="483">
        <f t="shared" si="55"/>
        <v>109.05999999999999</v>
      </c>
      <c r="L106" s="483">
        <f t="shared" si="55"/>
        <v>74.290000000000006</v>
      </c>
      <c r="M106" s="483">
        <f t="shared" si="55"/>
        <v>71.534999999999997</v>
      </c>
      <c r="N106" s="483">
        <f t="shared" si="55"/>
        <v>75.430000000000007</v>
      </c>
      <c r="O106" s="483">
        <f t="shared" si="55"/>
        <v>97.281022004987349</v>
      </c>
      <c r="P106" s="483">
        <f t="shared" si="55"/>
        <v>92.859615434698739</v>
      </c>
      <c r="Q106" s="483">
        <f t="shared" si="55"/>
        <v>91.453673832219465</v>
      </c>
      <c r="R106" s="483">
        <f t="shared" si="55"/>
        <v>70.56879269142425</v>
      </c>
      <c r="S106" s="483">
        <f t="shared" si="55"/>
        <v>73.806866618593077</v>
      </c>
      <c r="T106" s="483">
        <f t="shared" si="55"/>
        <v>76.013796318990643</v>
      </c>
      <c r="U106" s="483">
        <f t="shared" si="55"/>
        <v>77.627095006707535</v>
      </c>
      <c r="V106" s="483">
        <f t="shared" si="55"/>
        <v>78.80174894190931</v>
      </c>
      <c r="W106" s="483">
        <f t="shared" si="55"/>
        <v>80.09893911330299</v>
      </c>
      <c r="X106" s="483">
        <f t="shared" si="55"/>
        <v>81.370170941805384</v>
      </c>
      <c r="Y106" s="483">
        <f t="shared" si="55"/>
        <v>82.539736173993532</v>
      </c>
      <c r="Z106" s="483">
        <f t="shared" si="55"/>
        <v>83.767850466579958</v>
      </c>
      <c r="AA106" s="483">
        <f t="shared" si="55"/>
        <v>84.929880872470534</v>
      </c>
      <c r="AB106" s="483">
        <f t="shared" si="55"/>
        <v>84.639044298377826</v>
      </c>
      <c r="AC106" s="483">
        <f t="shared" si="55"/>
        <v>84.347512149203396</v>
      </c>
      <c r="AD106" s="483">
        <f t="shared" si="55"/>
        <v>84.057183686862714</v>
      </c>
      <c r="AE106" s="483">
        <f t="shared" si="55"/>
        <v>83.766126007099942</v>
      </c>
      <c r="AF106" s="483">
        <f t="shared" si="55"/>
        <v>83.475160188978734</v>
      </c>
      <c r="AG106" s="483">
        <f t="shared" si="55"/>
        <v>83.183314786114749</v>
      </c>
      <c r="AH106" s="483">
        <f t="shared" si="55"/>
        <v>82.892497833412349</v>
      </c>
      <c r="AI106" s="483">
        <f t="shared" si="55"/>
        <v>82.600986928309936</v>
      </c>
      <c r="AJ106" s="483">
        <f t="shared" si="55"/>
        <v>82.310358418959339</v>
      </c>
      <c r="AK106" s="483">
        <f t="shared" si="55"/>
        <v>82.019443126641477</v>
      </c>
      <c r="AL106" s="483">
        <f t="shared" si="55"/>
        <v>81.728528313431966</v>
      </c>
      <c r="AM106" s="483">
        <f t="shared" si="55"/>
        <v>81.44061580343886</v>
      </c>
      <c r="AN106" s="483">
        <f t="shared" si="55"/>
        <v>81.152708748777343</v>
      </c>
      <c r="AO106" s="483">
        <f t="shared" si="55"/>
        <v>80.864807156422501</v>
      </c>
      <c r="AP106" s="483">
        <f t="shared" si="55"/>
        <v>80.576911033358186</v>
      </c>
      <c r="AQ106" s="483">
        <f t="shared" si="55"/>
        <v>80.289020386577249</v>
      </c>
      <c r="AR106" s="483">
        <f t="shared" si="55"/>
        <v>80.001135223081477</v>
      </c>
      <c r="AS106" s="483">
        <f t="shared" si="55"/>
        <v>79.713255549881637</v>
      </c>
      <c r="AT106" s="483">
        <f t="shared" si="55"/>
        <v>79.425381373997368</v>
      </c>
      <c r="AU106" s="483">
        <f t="shared" si="55"/>
        <v>79.137512702457386</v>
      </c>
      <c r="AV106" s="484">
        <v>5</v>
      </c>
      <c r="AW106" s="602">
        <v>0</v>
      </c>
      <c r="AX106" s="602">
        <v>0</v>
      </c>
      <c r="AY106" s="602">
        <v>0</v>
      </c>
      <c r="AZ106" s="602">
        <v>4</v>
      </c>
      <c r="BA106" s="602">
        <v>0</v>
      </c>
      <c r="BB106" s="602">
        <v>0</v>
      </c>
      <c r="BC106" s="602">
        <v>0</v>
      </c>
      <c r="BD106" s="602">
        <v>4</v>
      </c>
      <c r="BE106" s="602">
        <v>0</v>
      </c>
      <c r="BF106" s="602">
        <v>0</v>
      </c>
      <c r="BG106" s="602">
        <v>0</v>
      </c>
      <c r="BH106" s="602">
        <v>4</v>
      </c>
      <c r="BI106" s="602">
        <v>0</v>
      </c>
      <c r="BJ106" s="602">
        <v>0</v>
      </c>
      <c r="BK106" s="602">
        <v>0</v>
      </c>
      <c r="BL106" s="602">
        <v>4</v>
      </c>
      <c r="BM106" s="602">
        <v>0</v>
      </c>
      <c r="BN106" s="602">
        <v>0</v>
      </c>
      <c r="BO106" s="602">
        <v>0</v>
      </c>
      <c r="BP106" s="602">
        <v>4</v>
      </c>
    </row>
    <row r="107" spans="2:68" ht="14.4">
      <c r="B107" s="8" t="str">
        <f>Processes!D121</f>
        <v>EXPMOB2</v>
      </c>
      <c r="C107" s="8" t="str">
        <f>Processes!E121</f>
        <v>Export technology - Bio Methanol G2</v>
      </c>
      <c r="D107" s="216" t="str">
        <f t="shared" si="41"/>
        <v>MOB2</v>
      </c>
      <c r="F107" s="1119" t="str">
        <f t="shared" si="52"/>
        <v>MKr14</v>
      </c>
      <c r="G107" s="483">
        <f>G104</f>
        <v>88.16</v>
      </c>
      <c r="H107" s="483">
        <f t="shared" ref="H107:AU107" si="56">H104</f>
        <v>116.755</v>
      </c>
      <c r="I107" s="483">
        <f t="shared" si="56"/>
        <v>129.86499999999998</v>
      </c>
      <c r="J107" s="483">
        <f t="shared" si="56"/>
        <v>115.89999999999999</v>
      </c>
      <c r="K107" s="483">
        <f t="shared" si="56"/>
        <v>109.05999999999999</v>
      </c>
      <c r="L107" s="483">
        <f t="shared" si="56"/>
        <v>74.290000000000006</v>
      </c>
      <c r="M107" s="483">
        <f t="shared" si="56"/>
        <v>71.534999999999997</v>
      </c>
      <c r="N107" s="483">
        <f t="shared" si="56"/>
        <v>75.430000000000007</v>
      </c>
      <c r="O107" s="483">
        <f t="shared" si="56"/>
        <v>97.281022004987349</v>
      </c>
      <c r="P107" s="483">
        <f t="shared" si="56"/>
        <v>92.859615434698739</v>
      </c>
      <c r="Q107" s="483">
        <f t="shared" si="56"/>
        <v>91.453673832219465</v>
      </c>
      <c r="R107" s="483">
        <f t="shared" si="56"/>
        <v>70.56879269142425</v>
      </c>
      <c r="S107" s="483">
        <f t="shared" si="56"/>
        <v>73.806866618593077</v>
      </c>
      <c r="T107" s="483">
        <f t="shared" si="56"/>
        <v>76.013796318990643</v>
      </c>
      <c r="U107" s="483">
        <f t="shared" si="56"/>
        <v>77.627095006707535</v>
      </c>
      <c r="V107" s="483">
        <f t="shared" si="56"/>
        <v>78.80174894190931</v>
      </c>
      <c r="W107" s="483">
        <f t="shared" si="56"/>
        <v>80.09893911330299</v>
      </c>
      <c r="X107" s="483">
        <f t="shared" si="56"/>
        <v>81.370170941805384</v>
      </c>
      <c r="Y107" s="483">
        <f t="shared" si="56"/>
        <v>82.539736173993532</v>
      </c>
      <c r="Z107" s="483">
        <f t="shared" si="56"/>
        <v>83.767850466579958</v>
      </c>
      <c r="AA107" s="483">
        <f t="shared" si="56"/>
        <v>84.929880872470534</v>
      </c>
      <c r="AB107" s="483">
        <f t="shared" si="56"/>
        <v>84.639044298377826</v>
      </c>
      <c r="AC107" s="483">
        <f t="shared" si="56"/>
        <v>84.347512149203396</v>
      </c>
      <c r="AD107" s="483">
        <f t="shared" si="56"/>
        <v>84.057183686862714</v>
      </c>
      <c r="AE107" s="483">
        <f t="shared" si="56"/>
        <v>83.766126007099942</v>
      </c>
      <c r="AF107" s="483">
        <f t="shared" si="56"/>
        <v>83.475160188978734</v>
      </c>
      <c r="AG107" s="483">
        <f t="shared" si="56"/>
        <v>83.183314786114749</v>
      </c>
      <c r="AH107" s="483">
        <f t="shared" si="56"/>
        <v>82.892497833412349</v>
      </c>
      <c r="AI107" s="483">
        <f t="shared" si="56"/>
        <v>82.600986928309936</v>
      </c>
      <c r="AJ107" s="483">
        <f t="shared" si="56"/>
        <v>82.310358418959339</v>
      </c>
      <c r="AK107" s="483">
        <f t="shared" si="56"/>
        <v>82.019443126641477</v>
      </c>
      <c r="AL107" s="483">
        <f t="shared" si="56"/>
        <v>81.728528313431966</v>
      </c>
      <c r="AM107" s="483">
        <f t="shared" si="56"/>
        <v>81.44061580343886</v>
      </c>
      <c r="AN107" s="483">
        <f t="shared" si="56"/>
        <v>81.152708748777343</v>
      </c>
      <c r="AO107" s="483">
        <f t="shared" si="56"/>
        <v>80.864807156422501</v>
      </c>
      <c r="AP107" s="483">
        <f t="shared" si="56"/>
        <v>80.576911033358186</v>
      </c>
      <c r="AQ107" s="483">
        <f t="shared" si="56"/>
        <v>80.289020386577249</v>
      </c>
      <c r="AR107" s="483">
        <f t="shared" si="56"/>
        <v>80.001135223081477</v>
      </c>
      <c r="AS107" s="483">
        <f t="shared" si="56"/>
        <v>79.713255549881637</v>
      </c>
      <c r="AT107" s="483">
        <f t="shared" si="56"/>
        <v>79.425381373997368</v>
      </c>
      <c r="AU107" s="483">
        <f t="shared" si="56"/>
        <v>79.137512702457386</v>
      </c>
      <c r="AV107" s="484">
        <v>5</v>
      </c>
      <c r="AW107" s="602">
        <v>0</v>
      </c>
      <c r="AX107" s="602">
        <v>0</v>
      </c>
      <c r="AY107" s="602">
        <v>0</v>
      </c>
      <c r="AZ107" s="602">
        <v>4</v>
      </c>
      <c r="BA107" s="602">
        <v>0</v>
      </c>
      <c r="BB107" s="602">
        <v>0</v>
      </c>
      <c r="BC107" s="602">
        <v>0</v>
      </c>
      <c r="BD107" s="602">
        <v>4</v>
      </c>
      <c r="BE107" s="602">
        <v>0</v>
      </c>
      <c r="BF107" s="602">
        <v>0</v>
      </c>
      <c r="BG107" s="602">
        <v>0</v>
      </c>
      <c r="BH107" s="602">
        <v>4</v>
      </c>
      <c r="BI107" s="602">
        <v>0</v>
      </c>
      <c r="BJ107" s="602">
        <v>0</v>
      </c>
      <c r="BK107" s="602">
        <v>0</v>
      </c>
      <c r="BL107" s="602">
        <v>4</v>
      </c>
      <c r="BM107" s="602">
        <v>0</v>
      </c>
      <c r="BN107" s="602">
        <v>0</v>
      </c>
      <c r="BO107" s="602">
        <v>0</v>
      </c>
      <c r="BP107" s="602">
        <v>4</v>
      </c>
    </row>
    <row r="108" spans="2:68" ht="14.4">
      <c r="B108" s="8" t="str">
        <f>Processes!D122</f>
        <v>EXPMOE</v>
      </c>
      <c r="C108" s="8" t="str">
        <f>Processes!E122</f>
        <v>Export technology - Electro Methanol</v>
      </c>
      <c r="D108" s="216" t="str">
        <f t="shared" si="41"/>
        <v>MOE</v>
      </c>
      <c r="F108" s="1119" t="str">
        <f t="shared" si="52"/>
        <v>MKr14</v>
      </c>
      <c r="G108" s="483">
        <f>G105</f>
        <v>88.16</v>
      </c>
      <c r="H108" s="483">
        <f t="shared" ref="H108:AU108" si="57">H105</f>
        <v>116.755</v>
      </c>
      <c r="I108" s="483">
        <f t="shared" si="57"/>
        <v>129.86499999999998</v>
      </c>
      <c r="J108" s="483">
        <f t="shared" si="57"/>
        <v>115.89999999999999</v>
      </c>
      <c r="K108" s="483">
        <f t="shared" si="57"/>
        <v>109.05999999999999</v>
      </c>
      <c r="L108" s="483">
        <f t="shared" si="57"/>
        <v>74.290000000000006</v>
      </c>
      <c r="M108" s="483">
        <f t="shared" si="57"/>
        <v>71.534999999999997</v>
      </c>
      <c r="N108" s="483">
        <f t="shared" si="57"/>
        <v>75.430000000000007</v>
      </c>
      <c r="O108" s="483">
        <f t="shared" si="57"/>
        <v>97.281022004987349</v>
      </c>
      <c r="P108" s="483">
        <f t="shared" si="57"/>
        <v>92.859615434698739</v>
      </c>
      <c r="Q108" s="483">
        <f t="shared" si="57"/>
        <v>91.453673832219465</v>
      </c>
      <c r="R108" s="483">
        <f t="shared" si="57"/>
        <v>70.56879269142425</v>
      </c>
      <c r="S108" s="483">
        <f t="shared" si="57"/>
        <v>73.806866618593077</v>
      </c>
      <c r="T108" s="483">
        <f t="shared" si="57"/>
        <v>76.013796318990643</v>
      </c>
      <c r="U108" s="483">
        <f t="shared" si="57"/>
        <v>77.627095006707535</v>
      </c>
      <c r="V108" s="483">
        <f t="shared" si="57"/>
        <v>78.80174894190931</v>
      </c>
      <c r="W108" s="483">
        <f t="shared" si="57"/>
        <v>80.09893911330299</v>
      </c>
      <c r="X108" s="483">
        <f t="shared" si="57"/>
        <v>81.370170941805384</v>
      </c>
      <c r="Y108" s="483">
        <f t="shared" si="57"/>
        <v>82.539736173993532</v>
      </c>
      <c r="Z108" s="483">
        <f t="shared" si="57"/>
        <v>83.767850466579958</v>
      </c>
      <c r="AA108" s="483">
        <f t="shared" si="57"/>
        <v>84.929880872470534</v>
      </c>
      <c r="AB108" s="483">
        <f t="shared" si="57"/>
        <v>84.639044298377826</v>
      </c>
      <c r="AC108" s="483">
        <f t="shared" si="57"/>
        <v>84.347512149203396</v>
      </c>
      <c r="AD108" s="483">
        <f t="shared" si="57"/>
        <v>84.057183686862714</v>
      </c>
      <c r="AE108" s="483">
        <f t="shared" si="57"/>
        <v>83.766126007099942</v>
      </c>
      <c r="AF108" s="483">
        <f t="shared" si="57"/>
        <v>83.475160188978734</v>
      </c>
      <c r="AG108" s="483">
        <f t="shared" si="57"/>
        <v>83.183314786114749</v>
      </c>
      <c r="AH108" s="483">
        <f t="shared" si="57"/>
        <v>82.892497833412349</v>
      </c>
      <c r="AI108" s="483">
        <f t="shared" si="57"/>
        <v>82.600986928309936</v>
      </c>
      <c r="AJ108" s="483">
        <f t="shared" si="57"/>
        <v>82.310358418959339</v>
      </c>
      <c r="AK108" s="483">
        <f t="shared" si="57"/>
        <v>82.019443126641477</v>
      </c>
      <c r="AL108" s="483">
        <f t="shared" si="57"/>
        <v>81.728528313431966</v>
      </c>
      <c r="AM108" s="483">
        <f t="shared" si="57"/>
        <v>81.44061580343886</v>
      </c>
      <c r="AN108" s="483">
        <f t="shared" si="57"/>
        <v>81.152708748777343</v>
      </c>
      <c r="AO108" s="483">
        <f t="shared" si="57"/>
        <v>80.864807156422501</v>
      </c>
      <c r="AP108" s="483">
        <f t="shared" si="57"/>
        <v>80.576911033358186</v>
      </c>
      <c r="AQ108" s="483">
        <f t="shared" si="57"/>
        <v>80.289020386577249</v>
      </c>
      <c r="AR108" s="483">
        <f t="shared" si="57"/>
        <v>80.001135223081477</v>
      </c>
      <c r="AS108" s="483">
        <f t="shared" si="57"/>
        <v>79.713255549881637</v>
      </c>
      <c r="AT108" s="483">
        <f t="shared" si="57"/>
        <v>79.425381373997368</v>
      </c>
      <c r="AU108" s="483">
        <f t="shared" si="57"/>
        <v>79.137512702457386</v>
      </c>
      <c r="AV108" s="484">
        <v>5</v>
      </c>
      <c r="AW108" s="602">
        <v>0</v>
      </c>
      <c r="AX108" s="602">
        <v>0</v>
      </c>
      <c r="AY108" s="602">
        <v>0</v>
      </c>
      <c r="AZ108" s="602">
        <v>4</v>
      </c>
      <c r="BA108" s="602">
        <v>0</v>
      </c>
      <c r="BB108" s="602">
        <v>0</v>
      </c>
      <c r="BC108" s="602">
        <v>0</v>
      </c>
      <c r="BD108" s="602">
        <v>4</v>
      </c>
      <c r="BE108" s="602">
        <v>0</v>
      </c>
      <c r="BF108" s="602">
        <v>0</v>
      </c>
      <c r="BG108" s="602">
        <v>0</v>
      </c>
      <c r="BH108" s="602">
        <v>4</v>
      </c>
      <c r="BI108" s="602">
        <v>0</v>
      </c>
      <c r="BJ108" s="602">
        <v>0</v>
      </c>
      <c r="BK108" s="602">
        <v>0</v>
      </c>
      <c r="BL108" s="602">
        <v>4</v>
      </c>
      <c r="BM108" s="602">
        <v>0</v>
      </c>
      <c r="BN108" s="602">
        <v>0</v>
      </c>
      <c r="BO108" s="602">
        <v>0</v>
      </c>
      <c r="BP108" s="602">
        <v>4</v>
      </c>
    </row>
    <row r="109" spans="2:68" ht="14.4">
      <c r="B109" s="8" t="str">
        <f>Processes!D123</f>
        <v>EXPLNB</v>
      </c>
      <c r="C109" s="8" t="str">
        <f>Processes!E123</f>
        <v>Export technology - Bio Naphtha (Petroleoum)</v>
      </c>
      <c r="D109" s="216" t="str">
        <f>IF(LEN(B109)=6,RIGHT(B109,3),RIGHT(B109,4))</f>
        <v>LNB</v>
      </c>
      <c r="F109" s="1119" t="str">
        <f t="shared" si="52"/>
        <v>MKr19</v>
      </c>
      <c r="G109" s="483">
        <f>G$79</f>
        <v>84.36</v>
      </c>
      <c r="H109" s="483">
        <f t="shared" ref="H109:AU109" si="58">H$79</f>
        <v>87.59</v>
      </c>
      <c r="I109" s="483">
        <f t="shared" si="58"/>
        <v>104.69</v>
      </c>
      <c r="J109" s="483">
        <f t="shared" si="58"/>
        <v>102.98</v>
      </c>
      <c r="K109" s="483">
        <f t="shared" si="58"/>
        <v>86.83</v>
      </c>
      <c r="L109" s="483">
        <f t="shared" si="58"/>
        <v>83.6</v>
      </c>
      <c r="M109" s="483">
        <f t="shared" si="58"/>
        <v>69.919999999999987</v>
      </c>
      <c r="N109" s="483">
        <f t="shared" si="58"/>
        <v>70.11</v>
      </c>
      <c r="O109" s="483">
        <f t="shared" si="58"/>
        <v>101.50214842551547</v>
      </c>
      <c r="P109" s="483">
        <f t="shared" si="58"/>
        <v>65.095921357178881</v>
      </c>
      <c r="Q109" s="483">
        <f t="shared" si="58"/>
        <v>63.455914974316286</v>
      </c>
      <c r="R109" s="483">
        <f t="shared" si="58"/>
        <v>59.898051048332576</v>
      </c>
      <c r="S109" s="483">
        <f t="shared" si="58"/>
        <v>62.248842380929602</v>
      </c>
      <c r="T109" s="483">
        <f t="shared" si="58"/>
        <v>63.398607794463381</v>
      </c>
      <c r="U109" s="483">
        <f t="shared" si="58"/>
        <v>63.777535448687935</v>
      </c>
      <c r="V109" s="483">
        <f t="shared" si="58"/>
        <v>63.661558579535964</v>
      </c>
      <c r="W109" s="483">
        <f t="shared" si="58"/>
        <v>63.588514488177715</v>
      </c>
      <c r="X109" s="483">
        <f t="shared" si="58"/>
        <v>63.541599463840171</v>
      </c>
      <c r="Y109" s="483">
        <f t="shared" si="58"/>
        <v>63.501419221861575</v>
      </c>
      <c r="Z109" s="483">
        <f t="shared" si="58"/>
        <v>63.487018471242372</v>
      </c>
      <c r="AA109" s="483">
        <f t="shared" si="58"/>
        <v>63.483089959778773</v>
      </c>
      <c r="AB109" s="483">
        <f t="shared" si="58"/>
        <v>63.570652842481927</v>
      </c>
      <c r="AC109" s="483">
        <f t="shared" si="58"/>
        <v>63.658215725185073</v>
      </c>
      <c r="AD109" s="483">
        <f t="shared" si="58"/>
        <v>63.745778607888212</v>
      </c>
      <c r="AE109" s="483">
        <f t="shared" si="58"/>
        <v>63.833341490591351</v>
      </c>
      <c r="AF109" s="483">
        <f t="shared" si="58"/>
        <v>63.920904373294512</v>
      </c>
      <c r="AG109" s="483">
        <f t="shared" si="58"/>
        <v>64.008467255997658</v>
      </c>
      <c r="AH109" s="483">
        <f t="shared" si="58"/>
        <v>64.096030138700783</v>
      </c>
      <c r="AI109" s="483">
        <f t="shared" si="58"/>
        <v>64.183593021403937</v>
      </c>
      <c r="AJ109" s="483">
        <f t="shared" si="58"/>
        <v>64.271155904107061</v>
      </c>
      <c r="AK109" s="483">
        <f t="shared" si="58"/>
        <v>64.358718786810215</v>
      </c>
      <c r="AL109" s="483">
        <f t="shared" si="58"/>
        <v>64.446281669513368</v>
      </c>
      <c r="AM109" s="483">
        <f t="shared" si="58"/>
        <v>64.533844552216507</v>
      </c>
      <c r="AN109" s="483">
        <f t="shared" si="58"/>
        <v>64.621407434919632</v>
      </c>
      <c r="AO109" s="483">
        <f t="shared" si="58"/>
        <v>64.708970317622786</v>
      </c>
      <c r="AP109" s="483">
        <f t="shared" si="58"/>
        <v>64.796533200325939</v>
      </c>
      <c r="AQ109" s="483">
        <f t="shared" si="58"/>
        <v>64.884096083029092</v>
      </c>
      <c r="AR109" s="483">
        <f t="shared" si="58"/>
        <v>64.971658965732217</v>
      </c>
      <c r="AS109" s="483">
        <f t="shared" si="58"/>
        <v>65.059221848435371</v>
      </c>
      <c r="AT109" s="483">
        <f t="shared" si="58"/>
        <v>65.146784731138496</v>
      </c>
      <c r="AU109" s="483">
        <f t="shared" si="58"/>
        <v>65.234347613841663</v>
      </c>
      <c r="AV109" s="484">
        <v>5</v>
      </c>
      <c r="AW109" s="602">
        <v>0</v>
      </c>
      <c r="AX109" s="602">
        <v>0</v>
      </c>
      <c r="AY109" s="602">
        <v>0</v>
      </c>
      <c r="AZ109" s="602">
        <v>4</v>
      </c>
      <c r="BA109" s="602">
        <v>0</v>
      </c>
      <c r="BB109" s="602">
        <v>0</v>
      </c>
      <c r="BC109" s="602">
        <v>0</v>
      </c>
      <c r="BD109" s="602">
        <v>4</v>
      </c>
      <c r="BE109" s="602">
        <v>0</v>
      </c>
      <c r="BF109" s="602">
        <v>0</v>
      </c>
      <c r="BG109" s="602">
        <v>0</v>
      </c>
      <c r="BH109" s="602">
        <v>4</v>
      </c>
      <c r="BI109" s="602">
        <v>0</v>
      </c>
      <c r="BJ109" s="602">
        <v>0</v>
      </c>
      <c r="BK109" s="602">
        <v>0</v>
      </c>
      <c r="BL109" s="602">
        <v>4</v>
      </c>
      <c r="BM109" s="602">
        <v>0</v>
      </c>
      <c r="BN109" s="602">
        <v>0</v>
      </c>
      <c r="BO109" s="602">
        <v>0</v>
      </c>
      <c r="BP109" s="602">
        <v>4</v>
      </c>
    </row>
    <row r="110" spans="2:68" ht="14.4">
      <c r="B110" s="8" t="str">
        <f>Processes!D124</f>
        <v>EXPGLY</v>
      </c>
      <c r="C110" s="8" t="str">
        <f>Processes!E124</f>
        <v>Export technology - Glycerol</v>
      </c>
      <c r="D110" s="216" t="str">
        <f t="shared" si="41"/>
        <v>GLY</v>
      </c>
      <c r="F110" s="1119" t="str">
        <f t="shared" si="52"/>
        <v>MKr14</v>
      </c>
      <c r="G110" s="483">
        <f t="shared" ref="G110:P113" si="59">IFERROR(INDEX($G$122:$AU$177,MATCH($D110,$E$122:$E$177,0),MATCH(G$6,$G$121:$AU$121,0)),0)*$E$194</f>
        <v>9.5</v>
      </c>
      <c r="H110" s="483">
        <f t="shared" si="59"/>
        <v>9.5</v>
      </c>
      <c r="I110" s="483">
        <f t="shared" si="59"/>
        <v>9.5</v>
      </c>
      <c r="J110" s="483">
        <f t="shared" si="59"/>
        <v>9.5</v>
      </c>
      <c r="K110" s="483">
        <f t="shared" si="59"/>
        <v>9.5</v>
      </c>
      <c r="L110" s="483">
        <f t="shared" si="59"/>
        <v>9.5</v>
      </c>
      <c r="M110" s="483">
        <f t="shared" si="59"/>
        <v>9.5</v>
      </c>
      <c r="N110" s="483">
        <f t="shared" si="59"/>
        <v>9.5</v>
      </c>
      <c r="O110" s="483">
        <f t="shared" si="59"/>
        <v>9.5</v>
      </c>
      <c r="P110" s="483">
        <f t="shared" si="59"/>
        <v>9.5</v>
      </c>
      <c r="Q110" s="483">
        <f t="shared" ref="Q110:Z113" si="60">IFERROR(INDEX($G$122:$AU$177,MATCH($D110,$E$122:$E$177,0),MATCH(Q$6,$G$121:$AU$121,0)),0)*$E$194</f>
        <v>9.5</v>
      </c>
      <c r="R110" s="483">
        <f t="shared" si="60"/>
        <v>9.5</v>
      </c>
      <c r="S110" s="483">
        <f t="shared" si="60"/>
        <v>9.5</v>
      </c>
      <c r="T110" s="483">
        <f t="shared" si="60"/>
        <v>9.5</v>
      </c>
      <c r="U110" s="483">
        <f t="shared" si="60"/>
        <v>9.5</v>
      </c>
      <c r="V110" s="483">
        <f t="shared" si="60"/>
        <v>9.5</v>
      </c>
      <c r="W110" s="483">
        <f t="shared" si="60"/>
        <v>9.5</v>
      </c>
      <c r="X110" s="483">
        <f t="shared" si="60"/>
        <v>9.5</v>
      </c>
      <c r="Y110" s="483">
        <f t="shared" si="60"/>
        <v>9.5</v>
      </c>
      <c r="Z110" s="483">
        <f t="shared" si="60"/>
        <v>9.5</v>
      </c>
      <c r="AA110" s="483">
        <f t="shared" ref="AA110:AJ113" si="61">IFERROR(INDEX($G$122:$AU$177,MATCH($D110,$E$122:$E$177,0),MATCH(AA$6,$G$121:$AU$121,0)),0)*$E$194</f>
        <v>9.5</v>
      </c>
      <c r="AB110" s="483">
        <f t="shared" si="61"/>
        <v>9.5</v>
      </c>
      <c r="AC110" s="483">
        <f t="shared" si="61"/>
        <v>9.5</v>
      </c>
      <c r="AD110" s="483">
        <f t="shared" si="61"/>
        <v>9.5</v>
      </c>
      <c r="AE110" s="483">
        <f t="shared" si="61"/>
        <v>9.5</v>
      </c>
      <c r="AF110" s="483">
        <f t="shared" si="61"/>
        <v>9.5</v>
      </c>
      <c r="AG110" s="483">
        <f t="shared" si="61"/>
        <v>9.5</v>
      </c>
      <c r="AH110" s="483">
        <f t="shared" si="61"/>
        <v>9.5</v>
      </c>
      <c r="AI110" s="483">
        <f t="shared" si="61"/>
        <v>9.5</v>
      </c>
      <c r="AJ110" s="483">
        <f t="shared" si="61"/>
        <v>9.5</v>
      </c>
      <c r="AK110" s="483">
        <f t="shared" ref="AK110:AU113" si="62">IFERROR(INDEX($G$122:$AU$177,MATCH($D110,$E$122:$E$177,0),MATCH(AK$6,$G$121:$AU$121,0)),0)*$E$194</f>
        <v>9.5</v>
      </c>
      <c r="AL110" s="483">
        <f t="shared" si="62"/>
        <v>9.5</v>
      </c>
      <c r="AM110" s="483">
        <f t="shared" si="62"/>
        <v>9.5</v>
      </c>
      <c r="AN110" s="483">
        <f t="shared" si="62"/>
        <v>9.5</v>
      </c>
      <c r="AO110" s="483">
        <f t="shared" si="62"/>
        <v>9.5</v>
      </c>
      <c r="AP110" s="483">
        <f t="shared" si="62"/>
        <v>9.5</v>
      </c>
      <c r="AQ110" s="483">
        <f t="shared" si="62"/>
        <v>9.5</v>
      </c>
      <c r="AR110" s="483">
        <f t="shared" si="62"/>
        <v>9.5</v>
      </c>
      <c r="AS110" s="483">
        <f t="shared" si="62"/>
        <v>9.5</v>
      </c>
      <c r="AT110" s="483">
        <f t="shared" si="62"/>
        <v>9.5</v>
      </c>
      <c r="AU110" s="483">
        <f t="shared" si="62"/>
        <v>9.5</v>
      </c>
      <c r="AV110" s="484">
        <v>5</v>
      </c>
      <c r="AW110" s="602">
        <v>0</v>
      </c>
      <c r="AX110" s="602">
        <v>0</v>
      </c>
      <c r="AY110" s="602">
        <v>0</v>
      </c>
      <c r="AZ110" s="602">
        <v>4</v>
      </c>
      <c r="BA110" s="602">
        <v>0</v>
      </c>
      <c r="BB110" s="602">
        <v>0</v>
      </c>
      <c r="BC110" s="602">
        <v>0</v>
      </c>
      <c r="BD110" s="602">
        <v>4</v>
      </c>
      <c r="BE110" s="602">
        <v>0</v>
      </c>
      <c r="BF110" s="602">
        <v>0</v>
      </c>
      <c r="BG110" s="602">
        <v>0</v>
      </c>
      <c r="BH110" s="602">
        <v>4</v>
      </c>
      <c r="BI110" s="602">
        <v>0</v>
      </c>
      <c r="BJ110" s="602">
        <v>0</v>
      </c>
      <c r="BK110" s="602">
        <v>0</v>
      </c>
      <c r="BL110" s="602">
        <v>4</v>
      </c>
      <c r="BM110" s="602">
        <v>0</v>
      </c>
      <c r="BN110" s="602">
        <v>0</v>
      </c>
      <c r="BO110" s="602">
        <v>0</v>
      </c>
      <c r="BP110" s="602">
        <v>4</v>
      </c>
    </row>
    <row r="111" spans="2:68" ht="14.4">
      <c r="B111" s="8" t="str">
        <f>Processes!D125</f>
        <v>EXPRPC</v>
      </c>
      <c r="C111" s="8" t="str">
        <f>Processes!E125</f>
        <v>Export technology - Rape Cake</v>
      </c>
      <c r="D111" s="216" t="str">
        <f t="shared" si="41"/>
        <v>RPC</v>
      </c>
      <c r="F111" s="1119" t="str">
        <f t="shared" si="52"/>
        <v>MKr14</v>
      </c>
      <c r="G111" s="483">
        <f t="shared" si="59"/>
        <v>9.5</v>
      </c>
      <c r="H111" s="483">
        <f t="shared" si="59"/>
        <v>9.5</v>
      </c>
      <c r="I111" s="483">
        <f t="shared" si="59"/>
        <v>9.5</v>
      </c>
      <c r="J111" s="483">
        <f t="shared" si="59"/>
        <v>9.5</v>
      </c>
      <c r="K111" s="483">
        <f t="shared" si="59"/>
        <v>9.5</v>
      </c>
      <c r="L111" s="483">
        <f t="shared" si="59"/>
        <v>9.5</v>
      </c>
      <c r="M111" s="483">
        <f t="shared" si="59"/>
        <v>9.5</v>
      </c>
      <c r="N111" s="483">
        <f t="shared" si="59"/>
        <v>9.5</v>
      </c>
      <c r="O111" s="483">
        <f t="shared" si="59"/>
        <v>9.5</v>
      </c>
      <c r="P111" s="483">
        <f t="shared" si="59"/>
        <v>9.5</v>
      </c>
      <c r="Q111" s="483">
        <f t="shared" si="60"/>
        <v>9.5</v>
      </c>
      <c r="R111" s="483">
        <f t="shared" si="60"/>
        <v>9.5</v>
      </c>
      <c r="S111" s="483">
        <f t="shared" si="60"/>
        <v>9.5</v>
      </c>
      <c r="T111" s="483">
        <f t="shared" si="60"/>
        <v>9.5</v>
      </c>
      <c r="U111" s="483">
        <f t="shared" si="60"/>
        <v>9.5</v>
      </c>
      <c r="V111" s="483">
        <f t="shared" si="60"/>
        <v>9.5</v>
      </c>
      <c r="W111" s="483">
        <f t="shared" si="60"/>
        <v>9.5</v>
      </c>
      <c r="X111" s="483">
        <f t="shared" si="60"/>
        <v>9.5</v>
      </c>
      <c r="Y111" s="483">
        <f t="shared" si="60"/>
        <v>9.5</v>
      </c>
      <c r="Z111" s="483">
        <f t="shared" si="60"/>
        <v>9.5</v>
      </c>
      <c r="AA111" s="483">
        <f t="shared" si="61"/>
        <v>9.5</v>
      </c>
      <c r="AB111" s="483">
        <f t="shared" si="61"/>
        <v>9.5</v>
      </c>
      <c r="AC111" s="483">
        <f t="shared" si="61"/>
        <v>9.5</v>
      </c>
      <c r="AD111" s="483">
        <f t="shared" si="61"/>
        <v>9.5</v>
      </c>
      <c r="AE111" s="483">
        <f t="shared" si="61"/>
        <v>9.5</v>
      </c>
      <c r="AF111" s="483">
        <f t="shared" si="61"/>
        <v>9.5</v>
      </c>
      <c r="AG111" s="483">
        <f t="shared" si="61"/>
        <v>9.5</v>
      </c>
      <c r="AH111" s="483">
        <f t="shared" si="61"/>
        <v>9.5</v>
      </c>
      <c r="AI111" s="483">
        <f t="shared" si="61"/>
        <v>9.5</v>
      </c>
      <c r="AJ111" s="483">
        <f t="shared" si="61"/>
        <v>9.5</v>
      </c>
      <c r="AK111" s="483">
        <f t="shared" si="62"/>
        <v>9.5</v>
      </c>
      <c r="AL111" s="483">
        <f t="shared" si="62"/>
        <v>9.5</v>
      </c>
      <c r="AM111" s="483">
        <f t="shared" si="62"/>
        <v>9.5</v>
      </c>
      <c r="AN111" s="483">
        <f t="shared" si="62"/>
        <v>9.5</v>
      </c>
      <c r="AO111" s="483">
        <f t="shared" si="62"/>
        <v>9.5</v>
      </c>
      <c r="AP111" s="483">
        <f t="shared" si="62"/>
        <v>9.5</v>
      </c>
      <c r="AQ111" s="483">
        <f t="shared" si="62"/>
        <v>9.5</v>
      </c>
      <c r="AR111" s="483">
        <f t="shared" si="62"/>
        <v>9.5</v>
      </c>
      <c r="AS111" s="483">
        <f t="shared" si="62"/>
        <v>9.5</v>
      </c>
      <c r="AT111" s="483">
        <f t="shared" si="62"/>
        <v>9.5</v>
      </c>
      <c r="AU111" s="483">
        <f t="shared" si="62"/>
        <v>9.5</v>
      </c>
      <c r="AV111" s="484">
        <v>5</v>
      </c>
      <c r="AW111" s="602">
        <v>0</v>
      </c>
      <c r="AX111" s="602">
        <v>0</v>
      </c>
      <c r="AY111" s="602">
        <v>0</v>
      </c>
      <c r="AZ111" s="602">
        <v>4</v>
      </c>
      <c r="BA111" s="602">
        <v>0</v>
      </c>
      <c r="BB111" s="602">
        <v>0</v>
      </c>
      <c r="BC111" s="602">
        <v>0</v>
      </c>
      <c r="BD111" s="602">
        <v>4</v>
      </c>
      <c r="BE111" s="602">
        <v>0</v>
      </c>
      <c r="BF111" s="602">
        <v>0</v>
      </c>
      <c r="BG111" s="602">
        <v>0</v>
      </c>
      <c r="BH111" s="602">
        <v>4</v>
      </c>
      <c r="BI111" s="602">
        <v>0</v>
      </c>
      <c r="BJ111" s="602">
        <v>0</v>
      </c>
      <c r="BK111" s="602">
        <v>0</v>
      </c>
      <c r="BL111" s="602">
        <v>4</v>
      </c>
      <c r="BM111" s="602">
        <v>0</v>
      </c>
      <c r="BN111" s="602">
        <v>0</v>
      </c>
      <c r="BO111" s="602">
        <v>0</v>
      </c>
      <c r="BP111" s="602">
        <v>4</v>
      </c>
    </row>
    <row r="112" spans="2:68" ht="14.4">
      <c r="B112" s="8" t="str">
        <f>Processes!D126</f>
        <v>EXPSGP</v>
      </c>
      <c r="C112" s="8" t="str">
        <f>Processes!E126</f>
        <v>Export technology - Sugar Beet Pulp</v>
      </c>
      <c r="D112" s="216" t="str">
        <f t="shared" si="41"/>
        <v>SGP</v>
      </c>
      <c r="F112" s="1119" t="str">
        <f t="shared" si="52"/>
        <v>MKr14</v>
      </c>
      <c r="G112" s="483">
        <f t="shared" si="59"/>
        <v>9.5</v>
      </c>
      <c r="H112" s="483">
        <f t="shared" si="59"/>
        <v>9.5</v>
      </c>
      <c r="I112" s="483">
        <f t="shared" si="59"/>
        <v>9.5</v>
      </c>
      <c r="J112" s="483">
        <f t="shared" si="59"/>
        <v>9.5</v>
      </c>
      <c r="K112" s="483">
        <f t="shared" si="59"/>
        <v>9.5</v>
      </c>
      <c r="L112" s="483">
        <f t="shared" si="59"/>
        <v>9.5</v>
      </c>
      <c r="M112" s="483">
        <f t="shared" si="59"/>
        <v>9.5</v>
      </c>
      <c r="N112" s="483">
        <f t="shared" si="59"/>
        <v>9.5</v>
      </c>
      <c r="O112" s="483">
        <f t="shared" si="59"/>
        <v>9.5</v>
      </c>
      <c r="P112" s="483">
        <f t="shared" si="59"/>
        <v>9.5</v>
      </c>
      <c r="Q112" s="483">
        <f t="shared" si="60"/>
        <v>9.5</v>
      </c>
      <c r="R112" s="483">
        <f t="shared" si="60"/>
        <v>9.5</v>
      </c>
      <c r="S112" s="483">
        <f t="shared" si="60"/>
        <v>9.5</v>
      </c>
      <c r="T112" s="483">
        <f t="shared" si="60"/>
        <v>9.5</v>
      </c>
      <c r="U112" s="483">
        <f t="shared" si="60"/>
        <v>9.5</v>
      </c>
      <c r="V112" s="483">
        <f t="shared" si="60"/>
        <v>9.5</v>
      </c>
      <c r="W112" s="483">
        <f t="shared" si="60"/>
        <v>9.5</v>
      </c>
      <c r="X112" s="483">
        <f t="shared" si="60"/>
        <v>9.5</v>
      </c>
      <c r="Y112" s="483">
        <f t="shared" si="60"/>
        <v>9.5</v>
      </c>
      <c r="Z112" s="483">
        <f t="shared" si="60"/>
        <v>9.5</v>
      </c>
      <c r="AA112" s="483">
        <f t="shared" si="61"/>
        <v>9.5</v>
      </c>
      <c r="AB112" s="483">
        <f t="shared" si="61"/>
        <v>9.5</v>
      </c>
      <c r="AC112" s="483">
        <f t="shared" si="61"/>
        <v>9.5</v>
      </c>
      <c r="AD112" s="483">
        <f t="shared" si="61"/>
        <v>9.5</v>
      </c>
      <c r="AE112" s="483">
        <f t="shared" si="61"/>
        <v>9.5</v>
      </c>
      <c r="AF112" s="483">
        <f t="shared" si="61"/>
        <v>9.5</v>
      </c>
      <c r="AG112" s="483">
        <f t="shared" si="61"/>
        <v>9.5</v>
      </c>
      <c r="AH112" s="483">
        <f t="shared" si="61"/>
        <v>9.5</v>
      </c>
      <c r="AI112" s="483">
        <f t="shared" si="61"/>
        <v>9.5</v>
      </c>
      <c r="AJ112" s="483">
        <f t="shared" si="61"/>
        <v>9.5</v>
      </c>
      <c r="AK112" s="483">
        <f t="shared" si="62"/>
        <v>9.5</v>
      </c>
      <c r="AL112" s="483">
        <f t="shared" si="62"/>
        <v>9.5</v>
      </c>
      <c r="AM112" s="483">
        <f t="shared" si="62"/>
        <v>9.5</v>
      </c>
      <c r="AN112" s="483">
        <f t="shared" si="62"/>
        <v>9.5</v>
      </c>
      <c r="AO112" s="483">
        <f t="shared" si="62"/>
        <v>9.5</v>
      </c>
      <c r="AP112" s="483">
        <f t="shared" si="62"/>
        <v>9.5</v>
      </c>
      <c r="AQ112" s="483">
        <f t="shared" si="62"/>
        <v>9.5</v>
      </c>
      <c r="AR112" s="483">
        <f t="shared" si="62"/>
        <v>9.5</v>
      </c>
      <c r="AS112" s="483">
        <f t="shared" si="62"/>
        <v>9.5</v>
      </c>
      <c r="AT112" s="483">
        <f t="shared" si="62"/>
        <v>9.5</v>
      </c>
      <c r="AU112" s="483">
        <f t="shared" si="62"/>
        <v>9.5</v>
      </c>
      <c r="AV112" s="484">
        <v>5</v>
      </c>
      <c r="AW112" s="602">
        <v>0</v>
      </c>
      <c r="AX112" s="602">
        <v>0</v>
      </c>
      <c r="AY112" s="602">
        <v>0</v>
      </c>
      <c r="AZ112" s="602">
        <v>4</v>
      </c>
      <c r="BA112" s="602">
        <v>0</v>
      </c>
      <c r="BB112" s="602">
        <v>0</v>
      </c>
      <c r="BC112" s="602">
        <v>0</v>
      </c>
      <c r="BD112" s="602">
        <v>4</v>
      </c>
      <c r="BE112" s="602">
        <v>0</v>
      </c>
      <c r="BF112" s="602">
        <v>0</v>
      </c>
      <c r="BG112" s="602">
        <v>0</v>
      </c>
      <c r="BH112" s="602">
        <v>4</v>
      </c>
      <c r="BI112" s="602">
        <v>0</v>
      </c>
      <c r="BJ112" s="602">
        <v>0</v>
      </c>
      <c r="BK112" s="602">
        <v>0</v>
      </c>
      <c r="BL112" s="602">
        <v>4</v>
      </c>
      <c r="BM112" s="602">
        <v>0</v>
      </c>
      <c r="BN112" s="602">
        <v>0</v>
      </c>
      <c r="BO112" s="602">
        <v>0</v>
      </c>
      <c r="BP112" s="602">
        <v>4</v>
      </c>
    </row>
    <row r="113" spans="2:68" s="602" customFormat="1" ht="14.4">
      <c r="B113" s="8" t="str">
        <f>Processes!D127</f>
        <v>EXPOTH</v>
      </c>
      <c r="C113" s="8" t="str">
        <f>Processes!E127</f>
        <v>Export technology - Other non energy related commodities</v>
      </c>
      <c r="D113" s="216" t="str">
        <f t="shared" ref="D113" si="63">IF(LEN(B113)=6,RIGHT(B113,3),RIGHT(B113,4))</f>
        <v>OTH</v>
      </c>
      <c r="E113" s="482"/>
      <c r="F113" s="1119" t="str">
        <f>IFERROR(VLOOKUP(D113,$E$122:$F$175,2,FALSE),"MKr19")</f>
        <v>MKr14</v>
      </c>
      <c r="G113" s="483">
        <f t="shared" si="59"/>
        <v>9.5</v>
      </c>
      <c r="H113" s="483">
        <f t="shared" si="59"/>
        <v>9.5</v>
      </c>
      <c r="I113" s="483">
        <f t="shared" si="59"/>
        <v>9.5</v>
      </c>
      <c r="J113" s="483">
        <f t="shared" si="59"/>
        <v>9.5</v>
      </c>
      <c r="K113" s="483">
        <f t="shared" si="59"/>
        <v>9.5</v>
      </c>
      <c r="L113" s="483">
        <f t="shared" si="59"/>
        <v>9.5</v>
      </c>
      <c r="M113" s="483">
        <f t="shared" si="59"/>
        <v>9.5</v>
      </c>
      <c r="N113" s="483">
        <f t="shared" si="59"/>
        <v>9.5</v>
      </c>
      <c r="O113" s="483">
        <f t="shared" si="59"/>
        <v>9.5</v>
      </c>
      <c r="P113" s="483">
        <f t="shared" si="59"/>
        <v>9.5</v>
      </c>
      <c r="Q113" s="483">
        <f t="shared" si="60"/>
        <v>9.5</v>
      </c>
      <c r="R113" s="483">
        <f t="shared" si="60"/>
        <v>9.5</v>
      </c>
      <c r="S113" s="483">
        <f t="shared" si="60"/>
        <v>9.5</v>
      </c>
      <c r="T113" s="483">
        <f t="shared" si="60"/>
        <v>9.5</v>
      </c>
      <c r="U113" s="483">
        <f t="shared" si="60"/>
        <v>9.5</v>
      </c>
      <c r="V113" s="483">
        <f t="shared" si="60"/>
        <v>9.5</v>
      </c>
      <c r="W113" s="483">
        <f t="shared" si="60"/>
        <v>9.5</v>
      </c>
      <c r="X113" s="483">
        <f t="shared" si="60"/>
        <v>9.5</v>
      </c>
      <c r="Y113" s="483">
        <f t="shared" si="60"/>
        <v>9.5</v>
      </c>
      <c r="Z113" s="483">
        <f t="shared" si="60"/>
        <v>9.5</v>
      </c>
      <c r="AA113" s="483">
        <f t="shared" si="61"/>
        <v>9.5</v>
      </c>
      <c r="AB113" s="483">
        <f t="shared" si="61"/>
        <v>9.5</v>
      </c>
      <c r="AC113" s="483">
        <f t="shared" si="61"/>
        <v>9.5</v>
      </c>
      <c r="AD113" s="483">
        <f t="shared" si="61"/>
        <v>9.5</v>
      </c>
      <c r="AE113" s="483">
        <f t="shared" si="61"/>
        <v>9.5</v>
      </c>
      <c r="AF113" s="483">
        <f t="shared" si="61"/>
        <v>9.5</v>
      </c>
      <c r="AG113" s="483">
        <f t="shared" si="61"/>
        <v>9.5</v>
      </c>
      <c r="AH113" s="483">
        <f t="shared" si="61"/>
        <v>9.5</v>
      </c>
      <c r="AI113" s="483">
        <f t="shared" si="61"/>
        <v>9.5</v>
      </c>
      <c r="AJ113" s="483">
        <f t="shared" si="61"/>
        <v>9.5</v>
      </c>
      <c r="AK113" s="483">
        <f t="shared" si="62"/>
        <v>9.5</v>
      </c>
      <c r="AL113" s="483">
        <f t="shared" si="62"/>
        <v>9.5</v>
      </c>
      <c r="AM113" s="483">
        <f t="shared" si="62"/>
        <v>9.5</v>
      </c>
      <c r="AN113" s="483">
        <f t="shared" si="62"/>
        <v>9.5</v>
      </c>
      <c r="AO113" s="483">
        <f t="shared" si="62"/>
        <v>9.5</v>
      </c>
      <c r="AP113" s="483">
        <f t="shared" si="62"/>
        <v>9.5</v>
      </c>
      <c r="AQ113" s="483">
        <f t="shared" si="62"/>
        <v>9.5</v>
      </c>
      <c r="AR113" s="483">
        <f t="shared" si="62"/>
        <v>9.5</v>
      </c>
      <c r="AS113" s="483">
        <f t="shared" si="62"/>
        <v>9.5</v>
      </c>
      <c r="AT113" s="483">
        <f t="shared" si="62"/>
        <v>9.5</v>
      </c>
      <c r="AU113" s="483">
        <f t="shared" si="62"/>
        <v>9.5</v>
      </c>
      <c r="AV113" s="602">
        <v>5</v>
      </c>
      <c r="AW113" s="602">
        <v>0</v>
      </c>
      <c r="AX113" s="602">
        <v>0</v>
      </c>
      <c r="AY113" s="602">
        <v>0</v>
      </c>
      <c r="AZ113" s="602">
        <v>4</v>
      </c>
      <c r="BA113" s="602">
        <v>0</v>
      </c>
      <c r="BB113" s="602">
        <v>0</v>
      </c>
      <c r="BC113" s="602">
        <v>0</v>
      </c>
      <c r="BD113" s="602">
        <v>4</v>
      </c>
      <c r="BE113" s="602">
        <v>0</v>
      </c>
      <c r="BF113" s="602">
        <v>0</v>
      </c>
      <c r="BG113" s="602">
        <v>0</v>
      </c>
      <c r="BH113" s="602">
        <v>4</v>
      </c>
      <c r="BI113" s="602">
        <v>0</v>
      </c>
      <c r="BJ113" s="602">
        <v>0</v>
      </c>
      <c r="BK113" s="602">
        <v>0</v>
      </c>
      <c r="BL113" s="602">
        <v>4</v>
      </c>
      <c r="BM113" s="602">
        <v>0</v>
      </c>
      <c r="BN113" s="602">
        <v>0</v>
      </c>
      <c r="BO113" s="602">
        <v>0</v>
      </c>
      <c r="BP113" s="602">
        <v>4</v>
      </c>
    </row>
    <row r="114" spans="2:68" ht="14.4">
      <c r="B114" s="8"/>
      <c r="C114" s="8"/>
      <c r="D114" s="216"/>
      <c r="F114" s="100"/>
      <c r="G114" s="483"/>
      <c r="H114" s="483"/>
      <c r="I114" s="483"/>
      <c r="J114" s="483"/>
      <c r="K114" s="483"/>
      <c r="L114" s="483"/>
      <c r="M114" s="483"/>
      <c r="N114" s="483"/>
      <c r="O114" s="483"/>
      <c r="P114" s="483"/>
      <c r="Q114" s="483"/>
      <c r="R114" s="483"/>
      <c r="S114" s="483"/>
      <c r="T114" s="483"/>
      <c r="U114" s="483"/>
    </row>
    <row r="115" spans="2:68" ht="14.4">
      <c r="B115" s="8"/>
      <c r="C115" s="8"/>
      <c r="D115" s="216"/>
      <c r="F115" s="100"/>
      <c r="G115" s="483"/>
      <c r="H115" s="483"/>
      <c r="I115" s="483"/>
      <c r="J115" s="483"/>
      <c r="K115" s="483"/>
      <c r="L115" s="483"/>
      <c r="M115" s="483"/>
      <c r="N115" s="483"/>
      <c r="O115" s="483"/>
      <c r="P115" s="483"/>
      <c r="Q115" s="483"/>
      <c r="R115" s="483"/>
      <c r="S115" s="483"/>
      <c r="T115" s="483"/>
      <c r="U115" s="483"/>
    </row>
    <row r="116" spans="2:68" ht="14.4">
      <c r="B116" s="8"/>
      <c r="C116" s="8"/>
      <c r="D116" s="216"/>
      <c r="F116" s="100"/>
      <c r="G116" s="483"/>
      <c r="H116" s="483"/>
      <c r="I116" s="483"/>
      <c r="J116" s="483"/>
      <c r="K116" s="483"/>
      <c r="L116" s="483"/>
      <c r="M116" s="483"/>
      <c r="N116" s="483"/>
      <c r="O116" s="483"/>
      <c r="P116" s="483"/>
      <c r="Q116" s="483"/>
      <c r="R116" s="483"/>
      <c r="S116" s="483"/>
      <c r="T116" s="483"/>
      <c r="U116" s="483"/>
    </row>
    <row r="117" spans="2:68">
      <c r="B117" s="8"/>
      <c r="C117" s="1303" t="s">
        <v>838</v>
      </c>
      <c r="D117" s="1303"/>
      <c r="E117" s="1303"/>
      <c r="F117" s="1303"/>
      <c r="G117" s="1303"/>
      <c r="H117" s="1303"/>
      <c r="I117" s="1303"/>
      <c r="J117" s="1303"/>
      <c r="K117" s="1303"/>
      <c r="L117" s="1303"/>
    </row>
    <row r="118" spans="2:68">
      <c r="B118" s="8"/>
      <c r="C118" s="1303"/>
      <c r="D118" s="1303"/>
      <c r="E118" s="1303"/>
      <c r="F118" s="1303"/>
      <c r="G118" s="1303"/>
      <c r="H118" s="1303"/>
      <c r="I118" s="1303"/>
      <c r="J118" s="1303"/>
      <c r="K118" s="1303"/>
      <c r="L118" s="1303"/>
    </row>
    <row r="119" spans="2:68" s="602" customFormat="1" ht="20.399999999999999">
      <c r="B119" s="8"/>
      <c r="C119" s="1076"/>
      <c r="D119" s="1076"/>
      <c r="E119" s="1076"/>
      <c r="F119" s="1076"/>
      <c r="G119" s="1076"/>
      <c r="H119" s="1076"/>
      <c r="I119" s="1076"/>
      <c r="J119" s="1076"/>
      <c r="K119" s="1076"/>
      <c r="L119" s="1076"/>
    </row>
    <row r="120" spans="2:68">
      <c r="B120" s="8"/>
      <c r="C120" s="8"/>
      <c r="D120" s="216"/>
      <c r="E120" s="397"/>
      <c r="F120" s="100"/>
    </row>
    <row r="121" spans="2:68" ht="13.8">
      <c r="B121" s="602"/>
      <c r="C121" s="602"/>
      <c r="D121" s="1077"/>
      <c r="E121" s="1077" t="s">
        <v>792</v>
      </c>
      <c r="F121" s="1046" t="s">
        <v>793</v>
      </c>
      <c r="G121" s="1078">
        <v>2010</v>
      </c>
      <c r="H121" s="1078">
        <v>2011</v>
      </c>
      <c r="I121" s="1078">
        <v>2012</v>
      </c>
      <c r="J121" s="1078">
        <v>2013</v>
      </c>
      <c r="K121" s="1078">
        <v>2014</v>
      </c>
      <c r="L121" s="1078">
        <v>2015</v>
      </c>
      <c r="M121" s="1078">
        <v>2016</v>
      </c>
      <c r="N121" s="1078">
        <v>2017</v>
      </c>
      <c r="O121" s="1078">
        <v>2018</v>
      </c>
      <c r="P121" s="1078">
        <v>2019</v>
      </c>
      <c r="Q121" s="1078">
        <v>2020</v>
      </c>
      <c r="R121" s="1078">
        <v>2021</v>
      </c>
      <c r="S121" s="1078">
        <v>2022</v>
      </c>
      <c r="T121" s="1078">
        <v>2023</v>
      </c>
      <c r="U121" s="1078">
        <v>2024</v>
      </c>
      <c r="V121" s="1078">
        <v>2025</v>
      </c>
      <c r="W121" s="1078">
        <v>2026</v>
      </c>
      <c r="X121" s="1078">
        <v>2027</v>
      </c>
      <c r="Y121" s="1078">
        <v>2028</v>
      </c>
      <c r="Z121" s="1078">
        <v>2029</v>
      </c>
      <c r="AA121" s="1078">
        <v>2030</v>
      </c>
      <c r="AB121" s="1078">
        <v>2031</v>
      </c>
      <c r="AC121" s="1078">
        <v>2032</v>
      </c>
      <c r="AD121" s="1078">
        <v>2033</v>
      </c>
      <c r="AE121" s="1078">
        <v>2034</v>
      </c>
      <c r="AF121" s="1078">
        <v>2035</v>
      </c>
      <c r="AG121" s="1078">
        <v>2036</v>
      </c>
      <c r="AH121" s="1078">
        <v>2037</v>
      </c>
      <c r="AI121" s="1078">
        <v>2038</v>
      </c>
      <c r="AJ121" s="1078">
        <v>2039</v>
      </c>
      <c r="AK121" s="1078">
        <v>2040</v>
      </c>
      <c r="AL121" s="1078">
        <v>2041</v>
      </c>
      <c r="AM121" s="1078">
        <v>2042</v>
      </c>
      <c r="AN121" s="1078">
        <v>2043</v>
      </c>
      <c r="AO121" s="1078">
        <v>2044</v>
      </c>
      <c r="AP121" s="1078">
        <v>2045</v>
      </c>
      <c r="AQ121" s="1078">
        <v>2046</v>
      </c>
      <c r="AR121" s="1078">
        <v>2047</v>
      </c>
      <c r="AS121" s="1078">
        <v>2048</v>
      </c>
      <c r="AT121" s="1078">
        <v>2049</v>
      </c>
      <c r="AU121" s="1078">
        <v>2050</v>
      </c>
      <c r="AV121" s="602"/>
      <c r="AW121" s="602"/>
      <c r="AX121" s="602"/>
      <c r="AY121" s="602"/>
      <c r="AZ121" s="602"/>
      <c r="BA121" s="602"/>
    </row>
    <row r="122" spans="2:68">
      <c r="B122" s="602"/>
      <c r="C122" s="602"/>
      <c r="D122" s="1077"/>
      <c r="E122" s="1077" t="s">
        <v>40</v>
      </c>
      <c r="F122" s="1079" t="s">
        <v>1619</v>
      </c>
      <c r="G122" s="1080">
        <f>G217</f>
        <v>23.1</v>
      </c>
      <c r="H122" s="1080">
        <f t="shared" ref="H122:N123" si="64">H217</f>
        <v>27.7</v>
      </c>
      <c r="I122" s="1080">
        <f t="shared" si="64"/>
        <v>23.9</v>
      </c>
      <c r="J122" s="1080">
        <f t="shared" si="64"/>
        <v>20.3</v>
      </c>
      <c r="K122" s="1080">
        <f t="shared" si="64"/>
        <v>17.2</v>
      </c>
      <c r="L122" s="1080">
        <f t="shared" si="64"/>
        <v>15.7</v>
      </c>
      <c r="M122" s="1080">
        <f t="shared" si="64"/>
        <v>12.2</v>
      </c>
      <c r="N122" s="1080">
        <f t="shared" si="64"/>
        <v>11.7</v>
      </c>
      <c r="O122" s="1081">
        <f>VLOOKUP(O$121,$C$286:$O$318,4)</f>
        <v>22.935796128023767</v>
      </c>
      <c r="P122" s="1081">
        <f t="shared" ref="P122:AU122" si="65">VLOOKUP(P$121,$C$286:$O$318,4)</f>
        <v>15.532766006190153</v>
      </c>
      <c r="Q122" s="1081">
        <f t="shared" si="65"/>
        <v>12.929551889587877</v>
      </c>
      <c r="R122" s="1081">
        <f t="shared" si="65"/>
        <v>13.166058954324894</v>
      </c>
      <c r="S122" s="1081">
        <f t="shared" si="65"/>
        <v>13.673473481430243</v>
      </c>
      <c r="T122" s="1081">
        <f t="shared" si="65"/>
        <v>14.173926683886389</v>
      </c>
      <c r="U122" s="1081">
        <f t="shared" si="65"/>
        <v>14.64740072098045</v>
      </c>
      <c r="V122" s="1081">
        <f t="shared" si="65"/>
        <v>14.580898828103843</v>
      </c>
      <c r="W122" s="1081">
        <f t="shared" si="65"/>
        <v>14.5316584938834</v>
      </c>
      <c r="X122" s="1081">
        <f t="shared" si="65"/>
        <v>14.477230593088336</v>
      </c>
      <c r="Y122" s="1081">
        <f t="shared" si="65"/>
        <v>14.413190648189367</v>
      </c>
      <c r="Z122" s="1081">
        <f t="shared" si="65"/>
        <v>14.343963605486476</v>
      </c>
      <c r="AA122" s="1081">
        <f t="shared" si="65"/>
        <v>14.266503152082981</v>
      </c>
      <c r="AB122" s="1081">
        <f t="shared" si="65"/>
        <v>14.23069306413351</v>
      </c>
      <c r="AC122" s="1081">
        <f t="shared" si="65"/>
        <v>14.195037264254136</v>
      </c>
      <c r="AD122" s="1081">
        <f t="shared" si="65"/>
        <v>14.159114470166005</v>
      </c>
      <c r="AE122" s="1081">
        <f t="shared" si="65"/>
        <v>14.123353426479357</v>
      </c>
      <c r="AF122" s="1081">
        <f t="shared" si="65"/>
        <v>14.087572006623748</v>
      </c>
      <c r="AG122" s="1081">
        <f t="shared" si="65"/>
        <v>14.051985690698709</v>
      </c>
      <c r="AH122" s="1081">
        <f t="shared" si="65"/>
        <v>14.016171250456402</v>
      </c>
      <c r="AI122" s="1081">
        <f t="shared" si="65"/>
        <v>13.980510738351196</v>
      </c>
      <c r="AJ122" s="1081">
        <f t="shared" si="65"/>
        <v>13.944654498795146</v>
      </c>
      <c r="AK122" s="1081">
        <f t="shared" si="65"/>
        <v>13.908861871625055</v>
      </c>
      <c r="AL122" s="1081">
        <f t="shared" si="65"/>
        <v>13.873069138182171</v>
      </c>
      <c r="AM122" s="1081">
        <f t="shared" si="65"/>
        <v>13.836610452807903</v>
      </c>
      <c r="AN122" s="1081">
        <f t="shared" si="65"/>
        <v>13.800150557366436</v>
      </c>
      <c r="AO122" s="1081">
        <f t="shared" si="65"/>
        <v>13.763689450310618</v>
      </c>
      <c r="AP122" s="1081">
        <f t="shared" si="65"/>
        <v>13.727227130091334</v>
      </c>
      <c r="AQ122" s="1081">
        <f t="shared" si="65"/>
        <v>13.690763595157463</v>
      </c>
      <c r="AR122" s="1081">
        <f t="shared" si="65"/>
        <v>13.654298843955917</v>
      </c>
      <c r="AS122" s="1081">
        <f t="shared" si="65"/>
        <v>13.617832874931624</v>
      </c>
      <c r="AT122" s="1081">
        <f t="shared" si="65"/>
        <v>13.581365686527514</v>
      </c>
      <c r="AU122" s="1081">
        <f t="shared" si="65"/>
        <v>13.544897277184536</v>
      </c>
      <c r="AV122" s="1080"/>
      <c r="AW122" s="602"/>
      <c r="AX122" s="602"/>
      <c r="AY122" s="602"/>
      <c r="AZ122" s="602"/>
      <c r="BA122" s="602"/>
    </row>
    <row r="123" spans="2:68">
      <c r="B123" s="602"/>
      <c r="C123" s="602"/>
      <c r="D123" s="1077"/>
      <c r="E123" s="1077" t="s">
        <v>93</v>
      </c>
      <c r="F123" s="1079" t="s">
        <v>1619</v>
      </c>
      <c r="G123" s="1080">
        <f>G218</f>
        <v>76.2</v>
      </c>
      <c r="H123" s="1080">
        <f t="shared" si="64"/>
        <v>106.1</v>
      </c>
      <c r="I123" s="1080">
        <f t="shared" si="64"/>
        <v>112.9</v>
      </c>
      <c r="J123" s="1080">
        <f t="shared" si="64"/>
        <v>100.3</v>
      </c>
      <c r="K123" s="1080">
        <f t="shared" si="64"/>
        <v>97.3</v>
      </c>
      <c r="L123" s="1080">
        <f t="shared" si="64"/>
        <v>62.7</v>
      </c>
      <c r="M123" s="1080">
        <f t="shared" si="64"/>
        <v>59.9</v>
      </c>
      <c r="N123" s="1080">
        <f t="shared" si="64"/>
        <v>63.9</v>
      </c>
      <c r="O123" s="1081">
        <f>VLOOKUP(O$121,$C$286:$O$318,2)</f>
        <v>78.592912119302227</v>
      </c>
      <c r="P123" s="1081">
        <f t="shared" ref="P123:AU123" si="66">VLOOKUP(P$121,$C$286:$O$318,2)</f>
        <v>72.66780821917807</v>
      </c>
      <c r="Q123" s="1081">
        <f t="shared" si="66"/>
        <v>71.191547947610658</v>
      </c>
      <c r="R123" s="1081">
        <f t="shared" si="66"/>
        <v>49.181117057429148</v>
      </c>
      <c r="S123" s="1081">
        <f t="shared" si="66"/>
        <v>52.581323432074825</v>
      </c>
      <c r="T123" s="1081">
        <f t="shared" si="66"/>
        <v>54.889966476332738</v>
      </c>
      <c r="U123" s="1081">
        <f t="shared" si="66"/>
        <v>56.568388062461416</v>
      </c>
      <c r="V123" s="1081">
        <f t="shared" si="66"/>
        <v>57.786429057350325</v>
      </c>
      <c r="W123" s="1081">
        <f t="shared" si="66"/>
        <v>59.146270171698553</v>
      </c>
      <c r="X123" s="1081">
        <f t="shared" si="66"/>
        <v>60.478046986869018</v>
      </c>
      <c r="Y123" s="1081">
        <f t="shared" si="66"/>
        <v>61.703174257304624</v>
      </c>
      <c r="Z123" s="1081">
        <f t="shared" si="66"/>
        <v>62.989602327697277</v>
      </c>
      <c r="AA123" s="1081">
        <f t="shared" si="66"/>
        <v>64.209121548162642</v>
      </c>
      <c r="AB123" s="1081">
        <f t="shared" si="66"/>
        <v>63.901532941943884</v>
      </c>
      <c r="AC123" s="1081">
        <f t="shared" si="66"/>
        <v>63.593944335725141</v>
      </c>
      <c r="AD123" s="1081">
        <f t="shared" si="66"/>
        <v>63.286355729506404</v>
      </c>
      <c r="AE123" s="1081">
        <f t="shared" si="66"/>
        <v>62.978767123287653</v>
      </c>
      <c r="AF123" s="1081">
        <f t="shared" si="66"/>
        <v>62.671178517068917</v>
      </c>
      <c r="AG123" s="1081">
        <f t="shared" si="66"/>
        <v>62.363589910850173</v>
      </c>
      <c r="AH123" s="1081">
        <f t="shared" si="66"/>
        <v>62.056001304631437</v>
      </c>
      <c r="AI123" s="1081">
        <f t="shared" si="66"/>
        <v>61.7484126984127</v>
      </c>
      <c r="AJ123" s="1081">
        <f t="shared" si="66"/>
        <v>61.440824092193949</v>
      </c>
      <c r="AK123" s="1081">
        <f t="shared" si="66"/>
        <v>61.133235485975206</v>
      </c>
      <c r="AL123" s="1081">
        <f t="shared" si="66"/>
        <v>60.825646879756469</v>
      </c>
      <c r="AM123" s="1081">
        <f t="shared" si="66"/>
        <v>60.518058273537719</v>
      </c>
      <c r="AN123" s="1081">
        <f t="shared" si="66"/>
        <v>60.210469667318975</v>
      </c>
      <c r="AO123" s="1081">
        <f t="shared" si="66"/>
        <v>59.902881061100238</v>
      </c>
      <c r="AP123" s="1081">
        <f t="shared" si="66"/>
        <v>59.595292454881495</v>
      </c>
      <c r="AQ123" s="1081">
        <f t="shared" si="66"/>
        <v>59.287703848662751</v>
      </c>
      <c r="AR123" s="1081">
        <f t="shared" si="66"/>
        <v>58.980115242444008</v>
      </c>
      <c r="AS123" s="1081">
        <f t="shared" si="66"/>
        <v>58.672526636225271</v>
      </c>
      <c r="AT123" s="1081">
        <f t="shared" si="66"/>
        <v>58.364938030006527</v>
      </c>
      <c r="AU123" s="1081">
        <f t="shared" si="66"/>
        <v>58.057349423787784</v>
      </c>
      <c r="AV123" s="602"/>
      <c r="AW123" s="602"/>
      <c r="AX123" s="602"/>
      <c r="AY123" s="602"/>
      <c r="AZ123" s="602"/>
      <c r="BA123" s="602"/>
    </row>
    <row r="124" spans="2:68">
      <c r="B124" s="602"/>
      <c r="C124" s="602"/>
      <c r="D124" s="1077"/>
      <c r="E124" s="1077" t="s">
        <v>735</v>
      </c>
      <c r="F124" s="1079" t="s">
        <v>1619</v>
      </c>
      <c r="G124" s="1080">
        <f>G123</f>
        <v>76.2</v>
      </c>
      <c r="H124" s="1080">
        <f t="shared" ref="H124:AU124" si="67">H123</f>
        <v>106.1</v>
      </c>
      <c r="I124" s="1080">
        <f t="shared" si="67"/>
        <v>112.9</v>
      </c>
      <c r="J124" s="1080">
        <f t="shared" si="67"/>
        <v>100.3</v>
      </c>
      <c r="K124" s="1080">
        <f t="shared" si="67"/>
        <v>97.3</v>
      </c>
      <c r="L124" s="1080">
        <f t="shared" si="67"/>
        <v>62.7</v>
      </c>
      <c r="M124" s="1080">
        <f t="shared" si="67"/>
        <v>59.9</v>
      </c>
      <c r="N124" s="1080">
        <f t="shared" si="67"/>
        <v>63.9</v>
      </c>
      <c r="O124" s="1081">
        <f t="shared" si="67"/>
        <v>78.592912119302227</v>
      </c>
      <c r="P124" s="1081">
        <f t="shared" si="67"/>
        <v>72.66780821917807</v>
      </c>
      <c r="Q124" s="1081">
        <f t="shared" si="67"/>
        <v>71.191547947610658</v>
      </c>
      <c r="R124" s="1081">
        <f t="shared" si="67"/>
        <v>49.181117057429148</v>
      </c>
      <c r="S124" s="1081">
        <f t="shared" si="67"/>
        <v>52.581323432074825</v>
      </c>
      <c r="T124" s="1081">
        <f t="shared" si="67"/>
        <v>54.889966476332738</v>
      </c>
      <c r="U124" s="1081">
        <f t="shared" si="67"/>
        <v>56.568388062461416</v>
      </c>
      <c r="V124" s="1081">
        <f t="shared" si="67"/>
        <v>57.786429057350325</v>
      </c>
      <c r="W124" s="1081">
        <f t="shared" si="67"/>
        <v>59.146270171698553</v>
      </c>
      <c r="X124" s="1081">
        <f t="shared" si="67"/>
        <v>60.478046986869018</v>
      </c>
      <c r="Y124" s="1081">
        <f t="shared" si="67"/>
        <v>61.703174257304624</v>
      </c>
      <c r="Z124" s="1081">
        <f t="shared" si="67"/>
        <v>62.989602327697277</v>
      </c>
      <c r="AA124" s="1081">
        <f t="shared" si="67"/>
        <v>64.209121548162642</v>
      </c>
      <c r="AB124" s="1081">
        <f t="shared" si="67"/>
        <v>63.901532941943884</v>
      </c>
      <c r="AC124" s="1081">
        <f t="shared" si="67"/>
        <v>63.593944335725141</v>
      </c>
      <c r="AD124" s="1081">
        <f t="shared" si="67"/>
        <v>63.286355729506404</v>
      </c>
      <c r="AE124" s="1081">
        <f t="shared" si="67"/>
        <v>62.978767123287653</v>
      </c>
      <c r="AF124" s="1081">
        <f t="shared" si="67"/>
        <v>62.671178517068917</v>
      </c>
      <c r="AG124" s="1081">
        <f t="shared" si="67"/>
        <v>62.363589910850173</v>
      </c>
      <c r="AH124" s="1081">
        <f t="shared" si="67"/>
        <v>62.056001304631437</v>
      </c>
      <c r="AI124" s="1081">
        <f t="shared" si="67"/>
        <v>61.7484126984127</v>
      </c>
      <c r="AJ124" s="1081">
        <f t="shared" si="67"/>
        <v>61.440824092193949</v>
      </c>
      <c r="AK124" s="1081">
        <f t="shared" si="67"/>
        <v>61.133235485975206</v>
      </c>
      <c r="AL124" s="1081">
        <f t="shared" si="67"/>
        <v>60.825646879756469</v>
      </c>
      <c r="AM124" s="1081">
        <f t="shared" si="67"/>
        <v>60.518058273537719</v>
      </c>
      <c r="AN124" s="1081">
        <f t="shared" si="67"/>
        <v>60.210469667318975</v>
      </c>
      <c r="AO124" s="1081">
        <f t="shared" si="67"/>
        <v>59.902881061100238</v>
      </c>
      <c r="AP124" s="1081">
        <f t="shared" si="67"/>
        <v>59.595292454881495</v>
      </c>
      <c r="AQ124" s="1081">
        <f t="shared" si="67"/>
        <v>59.287703848662751</v>
      </c>
      <c r="AR124" s="1081">
        <f t="shared" si="67"/>
        <v>58.980115242444008</v>
      </c>
      <c r="AS124" s="1081">
        <f t="shared" si="67"/>
        <v>58.672526636225271</v>
      </c>
      <c r="AT124" s="1081">
        <f t="shared" si="67"/>
        <v>58.364938030006527</v>
      </c>
      <c r="AU124" s="1081">
        <f t="shared" si="67"/>
        <v>58.057349423787784</v>
      </c>
      <c r="AV124" s="602"/>
      <c r="AW124" s="602"/>
      <c r="AX124" s="602"/>
      <c r="AY124" s="602"/>
      <c r="AZ124" s="602"/>
      <c r="BA124" s="602"/>
    </row>
    <row r="125" spans="2:68">
      <c r="B125" s="602"/>
      <c r="C125" s="602"/>
      <c r="D125" s="1077"/>
      <c r="E125" s="1077" t="s">
        <v>76</v>
      </c>
      <c r="F125" s="1079" t="s">
        <v>1619</v>
      </c>
      <c r="G125" s="1080">
        <f>G219</f>
        <v>92.8</v>
      </c>
      <c r="H125" s="1080">
        <f t="shared" ref="H125:N125" si="68">H219</f>
        <v>122.9</v>
      </c>
      <c r="I125" s="1080">
        <f t="shared" si="68"/>
        <v>136.69999999999999</v>
      </c>
      <c r="J125" s="1080">
        <f t="shared" si="68"/>
        <v>122</v>
      </c>
      <c r="K125" s="1080">
        <f t="shared" si="68"/>
        <v>114.8</v>
      </c>
      <c r="L125" s="1080">
        <f t="shared" si="68"/>
        <v>78.2</v>
      </c>
      <c r="M125" s="1080">
        <f t="shared" si="68"/>
        <v>75.3</v>
      </c>
      <c r="N125" s="1080">
        <f t="shared" si="68"/>
        <v>79.400000000000006</v>
      </c>
      <c r="O125" s="1081">
        <f>VLOOKUP(O$121,$C$286:$O$318,8)</f>
        <v>102.40107579472352</v>
      </c>
      <c r="P125" s="1081">
        <f t="shared" ref="P125:AU125" si="69">VLOOKUP(P$121,$C$286:$O$318,8)</f>
        <v>97.746963615472367</v>
      </c>
      <c r="Q125" s="1081">
        <f t="shared" si="69"/>
        <v>96.267025086546809</v>
      </c>
      <c r="R125" s="1081">
        <f t="shared" si="69"/>
        <v>74.282939675183428</v>
      </c>
      <c r="S125" s="1081">
        <f t="shared" si="69"/>
        <v>77.691438545887451</v>
      </c>
      <c r="T125" s="1081">
        <f t="shared" si="69"/>
        <v>80.014522441042786</v>
      </c>
      <c r="U125" s="1081">
        <f t="shared" si="69"/>
        <v>81.712731586007934</v>
      </c>
      <c r="V125" s="1081">
        <f t="shared" si="69"/>
        <v>82.949209412536121</v>
      </c>
      <c r="W125" s="1081">
        <f t="shared" si="69"/>
        <v>84.314672750845261</v>
      </c>
      <c r="X125" s="1081">
        <f t="shared" si="69"/>
        <v>85.652811517689884</v>
      </c>
      <c r="Y125" s="1081">
        <f t="shared" si="69"/>
        <v>86.883932814730045</v>
      </c>
      <c r="Z125" s="1081">
        <f t="shared" si="69"/>
        <v>88.17668470166312</v>
      </c>
      <c r="AA125" s="1081">
        <f t="shared" si="69"/>
        <v>89.399874602600562</v>
      </c>
      <c r="AB125" s="1081">
        <f t="shared" si="69"/>
        <v>89.093730840397711</v>
      </c>
      <c r="AC125" s="1081">
        <f t="shared" si="69"/>
        <v>88.786854893898322</v>
      </c>
      <c r="AD125" s="1081">
        <f t="shared" si="69"/>
        <v>88.481245986171288</v>
      </c>
      <c r="AE125" s="1081">
        <f t="shared" si="69"/>
        <v>88.174869481157842</v>
      </c>
      <c r="AF125" s="1081">
        <f t="shared" si="69"/>
        <v>87.868589672609204</v>
      </c>
      <c r="AG125" s="1081">
        <f t="shared" si="69"/>
        <v>87.561383985383955</v>
      </c>
      <c r="AH125" s="1081">
        <f t="shared" si="69"/>
        <v>87.255260877276157</v>
      </c>
      <c r="AI125" s="1081">
        <f t="shared" si="69"/>
        <v>86.948407292957839</v>
      </c>
      <c r="AJ125" s="1081">
        <f t="shared" si="69"/>
        <v>86.642482546272987</v>
      </c>
      <c r="AK125" s="1081">
        <f t="shared" si="69"/>
        <v>86.336255922780509</v>
      </c>
      <c r="AL125" s="1081">
        <f t="shared" si="69"/>
        <v>86.030029803612607</v>
      </c>
      <c r="AM125" s="1081">
        <f t="shared" si="69"/>
        <v>85.726964003619855</v>
      </c>
      <c r="AN125" s="1081">
        <f t="shared" si="69"/>
        <v>85.423903946081424</v>
      </c>
      <c r="AO125" s="1081">
        <f t="shared" si="69"/>
        <v>85.120849638339479</v>
      </c>
      <c r="AP125" s="1081">
        <f t="shared" si="69"/>
        <v>84.817801087745465</v>
      </c>
      <c r="AQ125" s="1081">
        <f t="shared" si="69"/>
        <v>84.514758301660265</v>
      </c>
      <c r="AR125" s="1081">
        <f t="shared" si="69"/>
        <v>84.211721287454196</v>
      </c>
      <c r="AS125" s="1081">
        <f t="shared" si="69"/>
        <v>83.908690052506984</v>
      </c>
      <c r="AT125" s="1081">
        <f t="shared" si="69"/>
        <v>83.60566460420776</v>
      </c>
      <c r="AU125" s="1081">
        <f t="shared" si="69"/>
        <v>83.302644949955152</v>
      </c>
      <c r="AV125" s="602"/>
      <c r="AW125" s="602"/>
      <c r="AX125" s="602"/>
      <c r="AY125" s="602"/>
      <c r="AZ125" s="602"/>
      <c r="BA125" s="602"/>
    </row>
    <row r="126" spans="2:68">
      <c r="B126" s="602"/>
      <c r="C126" s="602"/>
      <c r="D126" s="1077"/>
      <c r="E126" s="1077" t="s">
        <v>590</v>
      </c>
      <c r="F126" s="1079" t="s">
        <v>1619</v>
      </c>
      <c r="G126" s="1080">
        <f t="shared" ref="G126:AU127" si="70">G125+$E$185</f>
        <v>191.9869989234187</v>
      </c>
      <c r="H126" s="1080">
        <f t="shared" si="70"/>
        <v>222.08699892341872</v>
      </c>
      <c r="I126" s="1080">
        <f t="shared" si="70"/>
        <v>235.88699892341867</v>
      </c>
      <c r="J126" s="1080">
        <f t="shared" si="70"/>
        <v>221.18699892341868</v>
      </c>
      <c r="K126" s="1080">
        <f t="shared" si="70"/>
        <v>213.9869989234187</v>
      </c>
      <c r="L126" s="1080">
        <f>L125+$E$185</f>
        <v>177.3869989234187</v>
      </c>
      <c r="M126" s="1080">
        <f t="shared" si="70"/>
        <v>174.4869989234187</v>
      </c>
      <c r="N126" s="1080">
        <f t="shared" si="70"/>
        <v>178.58699892341872</v>
      </c>
      <c r="O126" s="1081">
        <f t="shared" si="70"/>
        <v>201.58807471814222</v>
      </c>
      <c r="P126" s="1081">
        <f t="shared" si="70"/>
        <v>196.93396253889108</v>
      </c>
      <c r="Q126" s="1081">
        <f t="shared" si="70"/>
        <v>195.45402400996551</v>
      </c>
      <c r="R126" s="1081">
        <f t="shared" si="70"/>
        <v>173.46993859860214</v>
      </c>
      <c r="S126" s="1081">
        <f t="shared" si="70"/>
        <v>176.87843746930616</v>
      </c>
      <c r="T126" s="1081">
        <f t="shared" si="70"/>
        <v>179.20152136446148</v>
      </c>
      <c r="U126" s="1081">
        <f t="shared" si="70"/>
        <v>180.89973050942663</v>
      </c>
      <c r="V126" s="1081">
        <f t="shared" si="70"/>
        <v>182.13620833595482</v>
      </c>
      <c r="W126" s="1081">
        <f t="shared" si="70"/>
        <v>183.50167167426395</v>
      </c>
      <c r="X126" s="1081">
        <f t="shared" si="70"/>
        <v>184.83981044110857</v>
      </c>
      <c r="Y126" s="1081">
        <f t="shared" si="70"/>
        <v>186.07093173814874</v>
      </c>
      <c r="Z126" s="1081">
        <f t="shared" si="70"/>
        <v>187.36368362508182</v>
      </c>
      <c r="AA126" s="1081">
        <f t="shared" si="70"/>
        <v>188.58687352601925</v>
      </c>
      <c r="AB126" s="1081">
        <f t="shared" si="70"/>
        <v>188.2807297638164</v>
      </c>
      <c r="AC126" s="1081">
        <f t="shared" si="70"/>
        <v>187.97385381731704</v>
      </c>
      <c r="AD126" s="1081">
        <f t="shared" si="70"/>
        <v>187.66824490958999</v>
      </c>
      <c r="AE126" s="1081">
        <f t="shared" si="70"/>
        <v>187.36186840457654</v>
      </c>
      <c r="AF126" s="1081">
        <f t="shared" si="70"/>
        <v>187.05558859602792</v>
      </c>
      <c r="AG126" s="1081">
        <f t="shared" si="70"/>
        <v>186.74838290880265</v>
      </c>
      <c r="AH126" s="1081">
        <f t="shared" si="70"/>
        <v>186.44225980069484</v>
      </c>
      <c r="AI126" s="1081">
        <f t="shared" si="70"/>
        <v>186.13540621637654</v>
      </c>
      <c r="AJ126" s="1081">
        <f t="shared" si="70"/>
        <v>185.8294814696917</v>
      </c>
      <c r="AK126" s="1081">
        <f t="shared" si="70"/>
        <v>185.52325484619922</v>
      </c>
      <c r="AL126" s="1081">
        <f t="shared" si="70"/>
        <v>185.21702872703131</v>
      </c>
      <c r="AM126" s="1081">
        <f t="shared" si="70"/>
        <v>184.91396292703854</v>
      </c>
      <c r="AN126" s="1081">
        <f t="shared" si="70"/>
        <v>184.61090286950014</v>
      </c>
      <c r="AO126" s="1081">
        <f t="shared" si="70"/>
        <v>184.30784856175819</v>
      </c>
      <c r="AP126" s="1081">
        <f t="shared" si="70"/>
        <v>184.00480001116415</v>
      </c>
      <c r="AQ126" s="1081">
        <f t="shared" si="70"/>
        <v>183.70175722507895</v>
      </c>
      <c r="AR126" s="1081">
        <f t="shared" si="70"/>
        <v>183.39872021087291</v>
      </c>
      <c r="AS126" s="1081">
        <f t="shared" si="70"/>
        <v>183.09568897592567</v>
      </c>
      <c r="AT126" s="1081">
        <f t="shared" si="70"/>
        <v>182.79266352762647</v>
      </c>
      <c r="AU126" s="1081">
        <f t="shared" si="70"/>
        <v>182.48964387337384</v>
      </c>
      <c r="AV126" s="602"/>
      <c r="AW126" s="602"/>
      <c r="AX126" s="602"/>
      <c r="AY126" s="602"/>
      <c r="AZ126" s="602"/>
      <c r="BA126" s="602"/>
    </row>
    <row r="127" spans="2:68">
      <c r="B127" s="602"/>
      <c r="C127" s="602"/>
      <c r="D127" s="1077"/>
      <c r="E127" s="1077" t="s">
        <v>592</v>
      </c>
      <c r="F127" s="1079" t="s">
        <v>1619</v>
      </c>
      <c r="G127" s="1080">
        <f>G126*1.1</f>
        <v>211.18569881576059</v>
      </c>
      <c r="H127" s="1080">
        <f t="shared" si="70"/>
        <v>321.2739978468374</v>
      </c>
      <c r="I127" s="1080">
        <f t="shared" si="70"/>
        <v>335.07399784683736</v>
      </c>
      <c r="J127" s="1080">
        <f t="shared" si="70"/>
        <v>320.37399784683737</v>
      </c>
      <c r="K127" s="1080">
        <f t="shared" si="70"/>
        <v>313.17399784683738</v>
      </c>
      <c r="L127" s="1080">
        <f>L126+$E$185</f>
        <v>276.57399784683741</v>
      </c>
      <c r="M127" s="1080">
        <f t="shared" si="70"/>
        <v>273.67399784683738</v>
      </c>
      <c r="N127" s="1080">
        <f t="shared" si="70"/>
        <v>277.7739978468374</v>
      </c>
      <c r="O127" s="1081">
        <f t="shared" si="70"/>
        <v>300.77507364156094</v>
      </c>
      <c r="P127" s="1081">
        <f t="shared" si="70"/>
        <v>296.12096146230977</v>
      </c>
      <c r="Q127" s="1081">
        <f t="shared" si="70"/>
        <v>294.64102293338419</v>
      </c>
      <c r="R127" s="1081">
        <f t="shared" si="70"/>
        <v>272.65693752202083</v>
      </c>
      <c r="S127" s="1081">
        <f t="shared" si="70"/>
        <v>276.06543639272485</v>
      </c>
      <c r="T127" s="1081">
        <f t="shared" si="70"/>
        <v>278.38852028788017</v>
      </c>
      <c r="U127" s="1081">
        <f t="shared" si="70"/>
        <v>280.08672943284535</v>
      </c>
      <c r="V127" s="1081">
        <f t="shared" si="70"/>
        <v>281.32320725937353</v>
      </c>
      <c r="W127" s="1081">
        <f t="shared" si="70"/>
        <v>282.68867059768263</v>
      </c>
      <c r="X127" s="1081">
        <f t="shared" si="70"/>
        <v>284.02680936452725</v>
      </c>
      <c r="Y127" s="1081">
        <f t="shared" si="70"/>
        <v>285.25793066156746</v>
      </c>
      <c r="Z127" s="1081">
        <f t="shared" si="70"/>
        <v>286.5506825485005</v>
      </c>
      <c r="AA127" s="1081">
        <f t="shared" si="70"/>
        <v>287.77387244943793</v>
      </c>
      <c r="AB127" s="1081">
        <f t="shared" si="70"/>
        <v>287.46772868723508</v>
      </c>
      <c r="AC127" s="1081">
        <f t="shared" si="70"/>
        <v>287.16085274073572</v>
      </c>
      <c r="AD127" s="1081">
        <f t="shared" si="70"/>
        <v>286.85524383300867</v>
      </c>
      <c r="AE127" s="1081">
        <f t="shared" si="70"/>
        <v>286.54886732799525</v>
      </c>
      <c r="AF127" s="1081">
        <f t="shared" si="70"/>
        <v>286.2425875194466</v>
      </c>
      <c r="AG127" s="1081">
        <f t="shared" si="70"/>
        <v>285.93538183222137</v>
      </c>
      <c r="AH127" s="1081">
        <f t="shared" si="70"/>
        <v>285.62925872411353</v>
      </c>
      <c r="AI127" s="1081">
        <f t="shared" si="70"/>
        <v>285.32240513979525</v>
      </c>
      <c r="AJ127" s="1081">
        <f t="shared" si="70"/>
        <v>285.01648039311038</v>
      </c>
      <c r="AK127" s="1081">
        <f t="shared" si="70"/>
        <v>284.71025376961791</v>
      </c>
      <c r="AL127" s="1081">
        <f t="shared" si="70"/>
        <v>284.40402765045002</v>
      </c>
      <c r="AM127" s="1081">
        <f t="shared" si="70"/>
        <v>284.10096185045722</v>
      </c>
      <c r="AN127" s="1081">
        <f t="shared" si="70"/>
        <v>283.79790179291882</v>
      </c>
      <c r="AO127" s="1081">
        <f t="shared" si="70"/>
        <v>283.49484748517688</v>
      </c>
      <c r="AP127" s="1081">
        <f t="shared" si="70"/>
        <v>283.19179893458283</v>
      </c>
      <c r="AQ127" s="1081">
        <f t="shared" si="70"/>
        <v>282.88875614849763</v>
      </c>
      <c r="AR127" s="1081">
        <f t="shared" si="70"/>
        <v>282.58571913429159</v>
      </c>
      <c r="AS127" s="1081">
        <f t="shared" si="70"/>
        <v>282.28268789934435</v>
      </c>
      <c r="AT127" s="1081">
        <f t="shared" si="70"/>
        <v>281.97966245104516</v>
      </c>
      <c r="AU127" s="1081">
        <f t="shared" si="70"/>
        <v>281.67664279679252</v>
      </c>
      <c r="AV127" s="602"/>
      <c r="AW127" s="602"/>
      <c r="AX127" s="602"/>
      <c r="AY127" s="602"/>
      <c r="AZ127" s="602"/>
      <c r="BA127" s="602"/>
    </row>
    <row r="128" spans="2:68">
      <c r="B128" s="602"/>
      <c r="C128" s="602"/>
      <c r="D128" s="1077"/>
      <c r="E128" s="1077" t="s">
        <v>769</v>
      </c>
      <c r="F128" s="1079" t="s">
        <v>1619</v>
      </c>
      <c r="G128" s="1080">
        <f>G127*2</f>
        <v>422.37139763152118</v>
      </c>
      <c r="H128" s="1080">
        <f t="shared" ref="H128:AU128" si="71">H127*2</f>
        <v>642.54799569367481</v>
      </c>
      <c r="I128" s="1080">
        <f t="shared" si="71"/>
        <v>670.14799569367472</v>
      </c>
      <c r="J128" s="1080">
        <f t="shared" si="71"/>
        <v>640.74799569367474</v>
      </c>
      <c r="K128" s="1080">
        <f t="shared" si="71"/>
        <v>626.34799569367476</v>
      </c>
      <c r="L128" s="1080">
        <f>L127*2</f>
        <v>553.14799569367483</v>
      </c>
      <c r="M128" s="1080">
        <f t="shared" si="71"/>
        <v>547.34799569367476</v>
      </c>
      <c r="N128" s="1080">
        <f t="shared" si="71"/>
        <v>555.54799569367481</v>
      </c>
      <c r="O128" s="1081">
        <f>O127*2</f>
        <v>601.55014728312187</v>
      </c>
      <c r="P128" s="1081">
        <f t="shared" si="71"/>
        <v>592.24192292461953</v>
      </c>
      <c r="Q128" s="1081">
        <f t="shared" si="71"/>
        <v>589.28204586676839</v>
      </c>
      <c r="R128" s="1081">
        <f t="shared" si="71"/>
        <v>545.31387504404165</v>
      </c>
      <c r="S128" s="1081">
        <f t="shared" si="71"/>
        <v>552.1308727854497</v>
      </c>
      <c r="T128" s="1081">
        <f t="shared" si="71"/>
        <v>556.77704057576034</v>
      </c>
      <c r="U128" s="1081">
        <f t="shared" si="71"/>
        <v>560.17345886569069</v>
      </c>
      <c r="V128" s="1081">
        <f t="shared" si="71"/>
        <v>562.64641451874706</v>
      </c>
      <c r="W128" s="1081">
        <f t="shared" si="71"/>
        <v>565.37734119536526</v>
      </c>
      <c r="X128" s="1081">
        <f t="shared" si="71"/>
        <v>568.05361872905451</v>
      </c>
      <c r="Y128" s="1081">
        <f t="shared" si="71"/>
        <v>570.51586132313491</v>
      </c>
      <c r="Z128" s="1081">
        <f t="shared" si="71"/>
        <v>573.10136509700101</v>
      </c>
      <c r="AA128" s="1081">
        <f t="shared" si="71"/>
        <v>575.54774489887586</v>
      </c>
      <c r="AB128" s="1081">
        <f t="shared" si="71"/>
        <v>574.93545737447016</v>
      </c>
      <c r="AC128" s="1081">
        <f t="shared" si="71"/>
        <v>574.32170548147144</v>
      </c>
      <c r="AD128" s="1081">
        <f t="shared" si="71"/>
        <v>573.71048766601734</v>
      </c>
      <c r="AE128" s="1081">
        <f t="shared" si="71"/>
        <v>573.09773465599051</v>
      </c>
      <c r="AF128" s="1081">
        <f t="shared" si="71"/>
        <v>572.4851750388932</v>
      </c>
      <c r="AG128" s="1081">
        <f t="shared" si="71"/>
        <v>571.87076366444273</v>
      </c>
      <c r="AH128" s="1081">
        <f t="shared" si="71"/>
        <v>571.25851744822705</v>
      </c>
      <c r="AI128" s="1081">
        <f t="shared" si="71"/>
        <v>570.6448102795905</v>
      </c>
      <c r="AJ128" s="1081">
        <f t="shared" si="71"/>
        <v>570.03296078622077</v>
      </c>
      <c r="AK128" s="1081">
        <f t="shared" si="71"/>
        <v>569.42050753923581</v>
      </c>
      <c r="AL128" s="1081">
        <f t="shared" si="71"/>
        <v>568.80805530090004</v>
      </c>
      <c r="AM128" s="1081">
        <f t="shared" si="71"/>
        <v>568.20192370091445</v>
      </c>
      <c r="AN128" s="1081">
        <f t="shared" si="71"/>
        <v>567.59580358583764</v>
      </c>
      <c r="AO128" s="1081">
        <f t="shared" si="71"/>
        <v>566.98969497035375</v>
      </c>
      <c r="AP128" s="1081">
        <f t="shared" si="71"/>
        <v>566.38359786916567</v>
      </c>
      <c r="AQ128" s="1081">
        <f t="shared" si="71"/>
        <v>565.77751229699527</v>
      </c>
      <c r="AR128" s="1081">
        <f t="shared" si="71"/>
        <v>565.17143826858319</v>
      </c>
      <c r="AS128" s="1081">
        <f t="shared" si="71"/>
        <v>564.56537579868871</v>
      </c>
      <c r="AT128" s="1081">
        <f t="shared" si="71"/>
        <v>563.95932490209032</v>
      </c>
      <c r="AU128" s="1081">
        <f t="shared" si="71"/>
        <v>563.35328559358504</v>
      </c>
      <c r="AV128" s="602"/>
      <c r="AW128" s="602"/>
      <c r="AX128" s="602"/>
      <c r="AY128" s="602"/>
      <c r="AZ128" s="602"/>
      <c r="BA128" s="602"/>
    </row>
    <row r="129" spans="2:53">
      <c r="B129" s="602"/>
      <c r="C129" s="602"/>
      <c r="D129" s="1077"/>
      <c r="E129" s="1077" t="s">
        <v>45</v>
      </c>
      <c r="F129" s="1079" t="s">
        <v>1619</v>
      </c>
      <c r="G129" s="1080">
        <f>G220</f>
        <v>105.4</v>
      </c>
      <c r="H129" s="1080">
        <f t="shared" ref="H129:N129" si="72">H220</f>
        <v>117.4</v>
      </c>
      <c r="I129" s="1080">
        <f t="shared" si="72"/>
        <v>134.19999999999999</v>
      </c>
      <c r="J129" s="1080">
        <f t="shared" si="72"/>
        <v>123.2</v>
      </c>
      <c r="K129" s="1080">
        <f t="shared" si="72"/>
        <v>113.5</v>
      </c>
      <c r="L129" s="1080">
        <f>L220</f>
        <v>77</v>
      </c>
      <c r="M129" s="1080">
        <f t="shared" si="72"/>
        <v>74</v>
      </c>
      <c r="N129" s="1080">
        <f t="shared" si="72"/>
        <v>78.2</v>
      </c>
      <c r="O129" s="1081">
        <f>VLOOKUP(O$121,$C$286:$O$318,7)</f>
        <v>101.50107579472352</v>
      </c>
      <c r="P129" s="1081">
        <f t="shared" ref="P129:AU129" si="73">VLOOKUP(P$121,$C$286:$O$318,7)</f>
        <v>95.586963615472371</v>
      </c>
      <c r="Q129" s="1081">
        <f t="shared" si="73"/>
        <v>94.107025086546813</v>
      </c>
      <c r="R129" s="1081">
        <f t="shared" si="73"/>
        <v>72.122939675183432</v>
      </c>
      <c r="S129" s="1081">
        <f t="shared" si="73"/>
        <v>75.531438545887454</v>
      </c>
      <c r="T129" s="1081">
        <f t="shared" si="73"/>
        <v>77.854522441042789</v>
      </c>
      <c r="U129" s="1081">
        <f t="shared" si="73"/>
        <v>79.552731586007937</v>
      </c>
      <c r="V129" s="1081">
        <f t="shared" si="73"/>
        <v>80.789209412536124</v>
      </c>
      <c r="W129" s="1081">
        <f t="shared" si="73"/>
        <v>82.154672750845265</v>
      </c>
      <c r="X129" s="1081">
        <f t="shared" si="73"/>
        <v>83.492811517689887</v>
      </c>
      <c r="Y129" s="1081">
        <f t="shared" si="73"/>
        <v>84.723932814730048</v>
      </c>
      <c r="Z129" s="1081">
        <f t="shared" si="73"/>
        <v>86.016684701663124</v>
      </c>
      <c r="AA129" s="1081">
        <f t="shared" si="73"/>
        <v>87.239874602600565</v>
      </c>
      <c r="AB129" s="1081">
        <f t="shared" si="73"/>
        <v>86.933730840397715</v>
      </c>
      <c r="AC129" s="1081">
        <f t="shared" si="73"/>
        <v>86.626854893898326</v>
      </c>
      <c r="AD129" s="1081">
        <f t="shared" si="73"/>
        <v>86.321245986171292</v>
      </c>
      <c r="AE129" s="1081">
        <f t="shared" si="73"/>
        <v>86.014869481157845</v>
      </c>
      <c r="AF129" s="1081">
        <f t="shared" si="73"/>
        <v>85.708589672609207</v>
      </c>
      <c r="AG129" s="1081">
        <f t="shared" si="73"/>
        <v>85.401383985383958</v>
      </c>
      <c r="AH129" s="1081">
        <f t="shared" si="73"/>
        <v>85.095260877276161</v>
      </c>
      <c r="AI129" s="1081">
        <f t="shared" si="73"/>
        <v>84.788407292957842</v>
      </c>
      <c r="AJ129" s="1081">
        <f t="shared" si="73"/>
        <v>84.48248254627299</v>
      </c>
      <c r="AK129" s="1081">
        <f t="shared" si="73"/>
        <v>84.176255922780513</v>
      </c>
      <c r="AL129" s="1081">
        <f t="shared" si="73"/>
        <v>83.87002980361261</v>
      </c>
      <c r="AM129" s="1081">
        <f t="shared" si="73"/>
        <v>83.566964003619859</v>
      </c>
      <c r="AN129" s="1081">
        <f t="shared" si="73"/>
        <v>83.263903946081427</v>
      </c>
      <c r="AO129" s="1081">
        <f t="shared" si="73"/>
        <v>82.960849638339482</v>
      </c>
      <c r="AP129" s="1081">
        <f t="shared" si="73"/>
        <v>82.657801087745469</v>
      </c>
      <c r="AQ129" s="1081">
        <f t="shared" si="73"/>
        <v>82.354758301660269</v>
      </c>
      <c r="AR129" s="1081">
        <f t="shared" si="73"/>
        <v>82.0517212874542</v>
      </c>
      <c r="AS129" s="1081">
        <f t="shared" si="73"/>
        <v>81.748690052506987</v>
      </c>
      <c r="AT129" s="1081">
        <f t="shared" si="73"/>
        <v>81.445664604207764</v>
      </c>
      <c r="AU129" s="1081">
        <f t="shared" si="73"/>
        <v>81.142644949955155</v>
      </c>
      <c r="AV129" s="602"/>
      <c r="AW129" s="602"/>
      <c r="AX129" s="602"/>
      <c r="AY129" s="602"/>
      <c r="AZ129" s="602"/>
      <c r="BA129" s="602"/>
    </row>
    <row r="130" spans="2:53">
      <c r="B130" s="602"/>
      <c r="C130" s="602"/>
      <c r="D130" s="1077"/>
      <c r="E130" s="1077" t="s">
        <v>586</v>
      </c>
      <c r="F130" s="1079" t="s">
        <v>1619</v>
      </c>
      <c r="G130" s="1080">
        <f t="shared" ref="G130:AU131" si="74">G129+$E$184</f>
        <v>169.073753033598</v>
      </c>
      <c r="H130" s="1080">
        <f t="shared" si="74"/>
        <v>181.073753033598</v>
      </c>
      <c r="I130" s="1080">
        <f t="shared" si="74"/>
        <v>197.87375303359798</v>
      </c>
      <c r="J130" s="1080">
        <f t="shared" si="74"/>
        <v>186.87375303359801</v>
      </c>
      <c r="K130" s="1080">
        <f t="shared" si="74"/>
        <v>177.17375303359799</v>
      </c>
      <c r="L130" s="1080">
        <f t="shared" si="74"/>
        <v>140.67375303359799</v>
      </c>
      <c r="M130" s="1080">
        <f t="shared" si="74"/>
        <v>137.67375303359799</v>
      </c>
      <c r="N130" s="1080">
        <f t="shared" si="74"/>
        <v>141.87375303359801</v>
      </c>
      <c r="O130" s="1081">
        <f t="shared" si="74"/>
        <v>165.17482882832152</v>
      </c>
      <c r="P130" s="1081">
        <f t="shared" si="74"/>
        <v>159.26071664907036</v>
      </c>
      <c r="Q130" s="1081">
        <f t="shared" si="74"/>
        <v>157.78077812014482</v>
      </c>
      <c r="R130" s="1081">
        <f t="shared" si="74"/>
        <v>135.79669270878142</v>
      </c>
      <c r="S130" s="1081">
        <f t="shared" si="74"/>
        <v>139.20519157948544</v>
      </c>
      <c r="T130" s="1081">
        <f t="shared" si="74"/>
        <v>141.52827547464079</v>
      </c>
      <c r="U130" s="1081">
        <f t="shared" si="74"/>
        <v>143.22648461960594</v>
      </c>
      <c r="V130" s="1081">
        <f t="shared" si="74"/>
        <v>144.46296244613413</v>
      </c>
      <c r="W130" s="1081">
        <f t="shared" si="74"/>
        <v>145.82842578444325</v>
      </c>
      <c r="X130" s="1081">
        <f t="shared" si="74"/>
        <v>147.16656455128788</v>
      </c>
      <c r="Y130" s="1081">
        <f t="shared" si="74"/>
        <v>148.39768584832805</v>
      </c>
      <c r="Z130" s="1081">
        <f t="shared" si="74"/>
        <v>149.69043773526113</v>
      </c>
      <c r="AA130" s="1081">
        <f t="shared" si="74"/>
        <v>150.91362763619856</v>
      </c>
      <c r="AB130" s="1081">
        <f t="shared" si="74"/>
        <v>150.6074838739957</v>
      </c>
      <c r="AC130" s="1081">
        <f t="shared" si="74"/>
        <v>150.30060792749632</v>
      </c>
      <c r="AD130" s="1081">
        <f t="shared" si="74"/>
        <v>149.9949990197693</v>
      </c>
      <c r="AE130" s="1081">
        <f t="shared" si="74"/>
        <v>149.68862251475585</v>
      </c>
      <c r="AF130" s="1081">
        <f t="shared" si="74"/>
        <v>149.3823427062072</v>
      </c>
      <c r="AG130" s="1081">
        <f t="shared" si="74"/>
        <v>149.07513701898196</v>
      </c>
      <c r="AH130" s="1081">
        <f t="shared" si="74"/>
        <v>148.76901391087415</v>
      </c>
      <c r="AI130" s="1081">
        <f t="shared" si="74"/>
        <v>148.46216032655585</v>
      </c>
      <c r="AJ130" s="1081">
        <f t="shared" si="74"/>
        <v>148.15623557987098</v>
      </c>
      <c r="AK130" s="1081">
        <f t="shared" si="74"/>
        <v>147.8500089563785</v>
      </c>
      <c r="AL130" s="1081">
        <f t="shared" si="74"/>
        <v>147.54378283721061</v>
      </c>
      <c r="AM130" s="1081">
        <f t="shared" si="74"/>
        <v>147.24071703721785</v>
      </c>
      <c r="AN130" s="1081">
        <f t="shared" si="74"/>
        <v>146.93765697967942</v>
      </c>
      <c r="AO130" s="1081">
        <f t="shared" si="74"/>
        <v>146.63460267193747</v>
      </c>
      <c r="AP130" s="1081">
        <f t="shared" si="74"/>
        <v>146.33155412134346</v>
      </c>
      <c r="AQ130" s="1081">
        <f t="shared" si="74"/>
        <v>146.02851133525826</v>
      </c>
      <c r="AR130" s="1081">
        <f t="shared" si="74"/>
        <v>145.72547432105219</v>
      </c>
      <c r="AS130" s="1081">
        <f t="shared" si="74"/>
        <v>145.42244308610498</v>
      </c>
      <c r="AT130" s="1081">
        <f t="shared" si="74"/>
        <v>145.11941763780575</v>
      </c>
      <c r="AU130" s="1081">
        <f t="shared" si="74"/>
        <v>144.81639798355314</v>
      </c>
      <c r="AV130" s="602"/>
      <c r="AW130" s="602"/>
      <c r="AX130" s="602"/>
      <c r="AY130" s="602"/>
      <c r="AZ130" s="602"/>
      <c r="BA130" s="602"/>
    </row>
    <row r="131" spans="2:53">
      <c r="B131" s="602"/>
      <c r="C131" s="602"/>
      <c r="D131" s="1077"/>
      <c r="E131" s="1077" t="s">
        <v>588</v>
      </c>
      <c r="F131" s="1079" t="s">
        <v>1619</v>
      </c>
      <c r="G131" s="1080">
        <f>G130*1.1</f>
        <v>185.98112833695782</v>
      </c>
      <c r="H131" s="1080">
        <f t="shared" si="74"/>
        <v>244.74750606719599</v>
      </c>
      <c r="I131" s="1080">
        <f t="shared" si="74"/>
        <v>261.54750606719597</v>
      </c>
      <c r="J131" s="1080">
        <f t="shared" si="74"/>
        <v>250.547506067196</v>
      </c>
      <c r="K131" s="1080">
        <f t="shared" si="74"/>
        <v>240.84750606719598</v>
      </c>
      <c r="L131" s="1080">
        <f t="shared" si="74"/>
        <v>204.34750606719598</v>
      </c>
      <c r="M131" s="1080">
        <f t="shared" si="74"/>
        <v>201.34750606719598</v>
      </c>
      <c r="N131" s="1080">
        <f t="shared" si="74"/>
        <v>205.547506067196</v>
      </c>
      <c r="O131" s="1081">
        <f t="shared" si="74"/>
        <v>228.84858186191951</v>
      </c>
      <c r="P131" s="1081">
        <f t="shared" si="74"/>
        <v>222.93446968266835</v>
      </c>
      <c r="Q131" s="1081">
        <f t="shared" si="74"/>
        <v>221.45453115374281</v>
      </c>
      <c r="R131" s="1081">
        <f t="shared" si="74"/>
        <v>199.47044574237941</v>
      </c>
      <c r="S131" s="1081">
        <f t="shared" si="74"/>
        <v>202.87894461308343</v>
      </c>
      <c r="T131" s="1081">
        <f t="shared" si="74"/>
        <v>205.20202850823878</v>
      </c>
      <c r="U131" s="1081">
        <f t="shared" si="74"/>
        <v>206.90023765320393</v>
      </c>
      <c r="V131" s="1081">
        <f t="shared" si="74"/>
        <v>208.13671547973212</v>
      </c>
      <c r="W131" s="1081">
        <f t="shared" si="74"/>
        <v>209.50217881804124</v>
      </c>
      <c r="X131" s="1081">
        <f t="shared" si="74"/>
        <v>210.84031758488587</v>
      </c>
      <c r="Y131" s="1081">
        <f t="shared" si="74"/>
        <v>212.07143888192604</v>
      </c>
      <c r="Z131" s="1081">
        <f t="shared" si="74"/>
        <v>213.36419076885912</v>
      </c>
      <c r="AA131" s="1081">
        <f t="shared" si="74"/>
        <v>214.58738066979654</v>
      </c>
      <c r="AB131" s="1081">
        <f t="shared" si="74"/>
        <v>214.28123690759369</v>
      </c>
      <c r="AC131" s="1081">
        <f t="shared" si="74"/>
        <v>213.97436096109431</v>
      </c>
      <c r="AD131" s="1081">
        <f t="shared" si="74"/>
        <v>213.66875205336729</v>
      </c>
      <c r="AE131" s="1081">
        <f t="shared" si="74"/>
        <v>213.36237554835384</v>
      </c>
      <c r="AF131" s="1081">
        <f t="shared" si="74"/>
        <v>213.05609573980519</v>
      </c>
      <c r="AG131" s="1081">
        <f t="shared" si="74"/>
        <v>212.74889005257995</v>
      </c>
      <c r="AH131" s="1081">
        <f t="shared" si="74"/>
        <v>212.44276694447214</v>
      </c>
      <c r="AI131" s="1081">
        <f t="shared" si="74"/>
        <v>212.13591336015384</v>
      </c>
      <c r="AJ131" s="1081">
        <f t="shared" si="74"/>
        <v>211.82998861346897</v>
      </c>
      <c r="AK131" s="1081">
        <f t="shared" si="74"/>
        <v>211.52376198997649</v>
      </c>
      <c r="AL131" s="1081">
        <f t="shared" si="74"/>
        <v>211.2175358708086</v>
      </c>
      <c r="AM131" s="1081">
        <f t="shared" si="74"/>
        <v>210.91447007081584</v>
      </c>
      <c r="AN131" s="1081">
        <f t="shared" si="74"/>
        <v>210.61141001327741</v>
      </c>
      <c r="AO131" s="1081">
        <f t="shared" si="74"/>
        <v>210.30835570553546</v>
      </c>
      <c r="AP131" s="1081">
        <f t="shared" si="74"/>
        <v>210.00530715494145</v>
      </c>
      <c r="AQ131" s="1081">
        <f t="shared" si="74"/>
        <v>209.70226436885625</v>
      </c>
      <c r="AR131" s="1081">
        <f t="shared" si="74"/>
        <v>209.39922735465018</v>
      </c>
      <c r="AS131" s="1081">
        <f t="shared" si="74"/>
        <v>209.09619611970297</v>
      </c>
      <c r="AT131" s="1081">
        <f t="shared" si="74"/>
        <v>208.79317067140374</v>
      </c>
      <c r="AU131" s="1081">
        <f t="shared" si="74"/>
        <v>208.49015101715113</v>
      </c>
      <c r="AV131" s="602"/>
      <c r="AW131" s="602"/>
      <c r="AX131" s="602"/>
      <c r="AY131" s="602"/>
      <c r="AZ131" s="602"/>
      <c r="BA131" s="602"/>
    </row>
    <row r="132" spans="2:53">
      <c r="B132" s="602"/>
      <c r="C132" s="602"/>
      <c r="D132" s="1077"/>
      <c r="E132" s="1077" t="s">
        <v>692</v>
      </c>
      <c r="F132" s="1079" t="s">
        <v>1619</v>
      </c>
      <c r="G132" s="1080">
        <f>G131</f>
        <v>185.98112833695782</v>
      </c>
      <c r="H132" s="1080">
        <f t="shared" ref="H132:AU132" si="75">H131</f>
        <v>244.74750606719599</v>
      </c>
      <c r="I132" s="1080">
        <f t="shared" si="75"/>
        <v>261.54750606719597</v>
      </c>
      <c r="J132" s="1080">
        <f t="shared" si="75"/>
        <v>250.547506067196</v>
      </c>
      <c r="K132" s="1080">
        <f t="shared" si="75"/>
        <v>240.84750606719598</v>
      </c>
      <c r="L132" s="1080">
        <f t="shared" si="75"/>
        <v>204.34750606719598</v>
      </c>
      <c r="M132" s="1080">
        <f t="shared" si="75"/>
        <v>201.34750606719598</v>
      </c>
      <c r="N132" s="1080">
        <f t="shared" si="75"/>
        <v>205.547506067196</v>
      </c>
      <c r="O132" s="1081">
        <f t="shared" si="75"/>
        <v>228.84858186191951</v>
      </c>
      <c r="P132" s="1081">
        <f t="shared" si="75"/>
        <v>222.93446968266835</v>
      </c>
      <c r="Q132" s="1081">
        <f t="shared" si="75"/>
        <v>221.45453115374281</v>
      </c>
      <c r="R132" s="1081">
        <f t="shared" si="75"/>
        <v>199.47044574237941</v>
      </c>
      <c r="S132" s="1081">
        <f t="shared" si="75"/>
        <v>202.87894461308343</v>
      </c>
      <c r="T132" s="1081">
        <f t="shared" si="75"/>
        <v>205.20202850823878</v>
      </c>
      <c r="U132" s="1081">
        <f t="shared" si="75"/>
        <v>206.90023765320393</v>
      </c>
      <c r="V132" s="1081">
        <f t="shared" si="75"/>
        <v>208.13671547973212</v>
      </c>
      <c r="W132" s="1081">
        <f t="shared" si="75"/>
        <v>209.50217881804124</v>
      </c>
      <c r="X132" s="1081">
        <f t="shared" si="75"/>
        <v>210.84031758488587</v>
      </c>
      <c r="Y132" s="1081">
        <f t="shared" si="75"/>
        <v>212.07143888192604</v>
      </c>
      <c r="Z132" s="1081">
        <f t="shared" si="75"/>
        <v>213.36419076885912</v>
      </c>
      <c r="AA132" s="1081">
        <f t="shared" si="75"/>
        <v>214.58738066979654</v>
      </c>
      <c r="AB132" s="1081">
        <f t="shared" si="75"/>
        <v>214.28123690759369</v>
      </c>
      <c r="AC132" s="1081">
        <f t="shared" si="75"/>
        <v>213.97436096109431</v>
      </c>
      <c r="AD132" s="1081">
        <f t="shared" si="75"/>
        <v>213.66875205336729</v>
      </c>
      <c r="AE132" s="1081">
        <f t="shared" si="75"/>
        <v>213.36237554835384</v>
      </c>
      <c r="AF132" s="1081">
        <f t="shared" si="75"/>
        <v>213.05609573980519</v>
      </c>
      <c r="AG132" s="1081">
        <f t="shared" si="75"/>
        <v>212.74889005257995</v>
      </c>
      <c r="AH132" s="1081">
        <f t="shared" si="75"/>
        <v>212.44276694447214</v>
      </c>
      <c r="AI132" s="1081">
        <f t="shared" si="75"/>
        <v>212.13591336015384</v>
      </c>
      <c r="AJ132" s="1081">
        <f t="shared" si="75"/>
        <v>211.82998861346897</v>
      </c>
      <c r="AK132" s="1081">
        <f t="shared" si="75"/>
        <v>211.52376198997649</v>
      </c>
      <c r="AL132" s="1081">
        <f t="shared" si="75"/>
        <v>211.2175358708086</v>
      </c>
      <c r="AM132" s="1081">
        <f t="shared" si="75"/>
        <v>210.91447007081584</v>
      </c>
      <c r="AN132" s="1081">
        <f t="shared" si="75"/>
        <v>210.61141001327741</v>
      </c>
      <c r="AO132" s="1081">
        <f t="shared" si="75"/>
        <v>210.30835570553546</v>
      </c>
      <c r="AP132" s="1081">
        <f t="shared" si="75"/>
        <v>210.00530715494145</v>
      </c>
      <c r="AQ132" s="1081">
        <f t="shared" si="75"/>
        <v>209.70226436885625</v>
      </c>
      <c r="AR132" s="1081">
        <f t="shared" si="75"/>
        <v>209.39922735465018</v>
      </c>
      <c r="AS132" s="1081">
        <f t="shared" si="75"/>
        <v>209.09619611970297</v>
      </c>
      <c r="AT132" s="1081">
        <f t="shared" si="75"/>
        <v>208.79317067140374</v>
      </c>
      <c r="AU132" s="1081">
        <f t="shared" si="75"/>
        <v>208.49015101715113</v>
      </c>
      <c r="AV132" s="602"/>
      <c r="AW132" s="602"/>
      <c r="AX132" s="602"/>
      <c r="AY132" s="602"/>
      <c r="AZ132" s="602"/>
      <c r="BA132" s="602"/>
    </row>
    <row r="133" spans="2:53">
      <c r="B133" s="602"/>
      <c r="C133" s="602"/>
      <c r="D133" s="1077"/>
      <c r="E133" s="1077" t="s">
        <v>767</v>
      </c>
      <c r="F133" s="1079" t="s">
        <v>1619</v>
      </c>
      <c r="G133" s="1080">
        <f>G131*2</f>
        <v>371.96225667391565</v>
      </c>
      <c r="H133" s="1080">
        <f t="shared" ref="H133:AU133" si="76">H131*2</f>
        <v>489.49501213439197</v>
      </c>
      <c r="I133" s="1080">
        <f t="shared" si="76"/>
        <v>523.09501213439194</v>
      </c>
      <c r="J133" s="1080">
        <f t="shared" si="76"/>
        <v>501.09501213439199</v>
      </c>
      <c r="K133" s="1080">
        <f t="shared" si="76"/>
        <v>481.69501213439196</v>
      </c>
      <c r="L133" s="1080">
        <f t="shared" si="76"/>
        <v>408.69501213439196</v>
      </c>
      <c r="M133" s="1080">
        <f t="shared" si="76"/>
        <v>402.69501213439196</v>
      </c>
      <c r="N133" s="1080">
        <f t="shared" si="76"/>
        <v>411.09501213439199</v>
      </c>
      <c r="O133" s="1081">
        <f t="shared" si="76"/>
        <v>457.69716372383903</v>
      </c>
      <c r="P133" s="1081">
        <f t="shared" si="76"/>
        <v>445.8689393653367</v>
      </c>
      <c r="Q133" s="1081">
        <f t="shared" si="76"/>
        <v>442.90906230748561</v>
      </c>
      <c r="R133" s="1081">
        <f t="shared" si="76"/>
        <v>398.94089148475882</v>
      </c>
      <c r="S133" s="1081">
        <f t="shared" si="76"/>
        <v>405.75788922616687</v>
      </c>
      <c r="T133" s="1081">
        <f t="shared" si="76"/>
        <v>410.40405701647757</v>
      </c>
      <c r="U133" s="1081">
        <f t="shared" si="76"/>
        <v>413.80047530640786</v>
      </c>
      <c r="V133" s="1081">
        <f t="shared" si="76"/>
        <v>416.27343095946424</v>
      </c>
      <c r="W133" s="1081">
        <f t="shared" si="76"/>
        <v>419.00435763608249</v>
      </c>
      <c r="X133" s="1081">
        <f t="shared" si="76"/>
        <v>421.68063516977173</v>
      </c>
      <c r="Y133" s="1081">
        <f t="shared" si="76"/>
        <v>424.14287776385208</v>
      </c>
      <c r="Z133" s="1081">
        <f t="shared" si="76"/>
        <v>426.72838153771823</v>
      </c>
      <c r="AA133" s="1081">
        <f t="shared" si="76"/>
        <v>429.17476133959309</v>
      </c>
      <c r="AB133" s="1081">
        <f t="shared" si="76"/>
        <v>428.56247381518739</v>
      </c>
      <c r="AC133" s="1081">
        <f t="shared" si="76"/>
        <v>427.94872192218861</v>
      </c>
      <c r="AD133" s="1081">
        <f t="shared" si="76"/>
        <v>427.33750410673457</v>
      </c>
      <c r="AE133" s="1081">
        <f t="shared" si="76"/>
        <v>426.72475109670768</v>
      </c>
      <c r="AF133" s="1081">
        <f t="shared" si="76"/>
        <v>426.11219147961037</v>
      </c>
      <c r="AG133" s="1081">
        <f t="shared" si="76"/>
        <v>425.4977801051599</v>
      </c>
      <c r="AH133" s="1081">
        <f t="shared" si="76"/>
        <v>424.88553388894428</v>
      </c>
      <c r="AI133" s="1081">
        <f t="shared" si="76"/>
        <v>424.27182672030767</v>
      </c>
      <c r="AJ133" s="1081">
        <f t="shared" si="76"/>
        <v>423.65997722693794</v>
      </c>
      <c r="AK133" s="1081">
        <f t="shared" si="76"/>
        <v>423.04752397995298</v>
      </c>
      <c r="AL133" s="1081">
        <f t="shared" si="76"/>
        <v>422.43507174161721</v>
      </c>
      <c r="AM133" s="1081">
        <f t="shared" si="76"/>
        <v>421.82894014163168</v>
      </c>
      <c r="AN133" s="1081">
        <f t="shared" si="76"/>
        <v>421.22282002655481</v>
      </c>
      <c r="AO133" s="1081">
        <f t="shared" si="76"/>
        <v>420.61671141107092</v>
      </c>
      <c r="AP133" s="1081">
        <f t="shared" si="76"/>
        <v>420.0106143098829</v>
      </c>
      <c r="AQ133" s="1081">
        <f t="shared" si="76"/>
        <v>419.4045287377125</v>
      </c>
      <c r="AR133" s="1081">
        <f t="shared" si="76"/>
        <v>418.79845470930036</v>
      </c>
      <c r="AS133" s="1081">
        <f t="shared" si="76"/>
        <v>418.19239223940593</v>
      </c>
      <c r="AT133" s="1081">
        <f t="shared" si="76"/>
        <v>417.58634134280749</v>
      </c>
      <c r="AU133" s="1081">
        <f t="shared" si="76"/>
        <v>416.98030203430227</v>
      </c>
      <c r="AV133" s="602"/>
      <c r="AW133" s="602"/>
      <c r="AX133" s="602"/>
      <c r="AY133" s="602"/>
      <c r="AZ133" s="602"/>
      <c r="BA133" s="602"/>
    </row>
    <row r="134" spans="2:53">
      <c r="B134" s="602"/>
      <c r="C134" s="602"/>
      <c r="D134" s="1077"/>
      <c r="E134" s="1077" t="s">
        <v>79</v>
      </c>
      <c r="F134" s="1079" t="s">
        <v>1619</v>
      </c>
      <c r="G134" s="1080">
        <f>G221</f>
        <v>76.5</v>
      </c>
      <c r="H134" s="1080">
        <f t="shared" ref="H134:N134" si="77">H221</f>
        <v>112.4</v>
      </c>
      <c r="I134" s="1080">
        <f t="shared" si="77"/>
        <v>116.3</v>
      </c>
      <c r="J134" s="1080">
        <f t="shared" si="77"/>
        <v>118.6</v>
      </c>
      <c r="K134" s="1080">
        <f t="shared" si="77"/>
        <v>110.1</v>
      </c>
      <c r="L134" s="1080">
        <f t="shared" si="77"/>
        <v>73.5</v>
      </c>
      <c r="M134" s="1080">
        <f t="shared" si="77"/>
        <v>70.599999999999994</v>
      </c>
      <c r="N134" s="1080">
        <f t="shared" si="77"/>
        <v>74.7</v>
      </c>
      <c r="O134" s="1081">
        <f>VLOOKUP(O$121,$C$286:$O$318,9)</f>
        <v>99.501075794723519</v>
      </c>
      <c r="P134" s="1081">
        <f t="shared" ref="P134:AU134" si="78">VLOOKUP(P$121,$C$286:$O$318,9)</f>
        <v>92.996963615472367</v>
      </c>
      <c r="Q134" s="1081">
        <f t="shared" si="78"/>
        <v>91.517025086546809</v>
      </c>
      <c r="R134" s="1081">
        <f t="shared" si="78"/>
        <v>69.532939675183428</v>
      </c>
      <c r="S134" s="1081">
        <f t="shared" si="78"/>
        <v>72.941438545887451</v>
      </c>
      <c r="T134" s="1081">
        <f t="shared" si="78"/>
        <v>75.264522441042786</v>
      </c>
      <c r="U134" s="1081">
        <f t="shared" si="78"/>
        <v>76.962731586007934</v>
      </c>
      <c r="V134" s="1081">
        <f t="shared" si="78"/>
        <v>78.199209412536121</v>
      </c>
      <c r="W134" s="1081">
        <f t="shared" si="78"/>
        <v>79.564672750845261</v>
      </c>
      <c r="X134" s="1081">
        <f t="shared" si="78"/>
        <v>80.902811517689884</v>
      </c>
      <c r="Y134" s="1081">
        <f t="shared" si="78"/>
        <v>82.133932814730045</v>
      </c>
      <c r="Z134" s="1081">
        <f t="shared" si="78"/>
        <v>83.42668470166312</v>
      </c>
      <c r="AA134" s="1081">
        <f t="shared" si="78"/>
        <v>84.649874602600562</v>
      </c>
      <c r="AB134" s="1081">
        <f t="shared" si="78"/>
        <v>84.343730840397711</v>
      </c>
      <c r="AC134" s="1081">
        <f t="shared" si="78"/>
        <v>84.036854893898322</v>
      </c>
      <c r="AD134" s="1081">
        <f t="shared" si="78"/>
        <v>83.731245986171288</v>
      </c>
      <c r="AE134" s="1081">
        <f t="shared" si="78"/>
        <v>83.424869481157842</v>
      </c>
      <c r="AF134" s="1081">
        <f t="shared" si="78"/>
        <v>83.118589672609204</v>
      </c>
      <c r="AG134" s="1081">
        <f t="shared" si="78"/>
        <v>82.811383985383955</v>
      </c>
      <c r="AH134" s="1081">
        <f t="shared" si="78"/>
        <v>82.505260877276157</v>
      </c>
      <c r="AI134" s="1081">
        <f t="shared" si="78"/>
        <v>82.198407292957839</v>
      </c>
      <c r="AJ134" s="1081">
        <f t="shared" si="78"/>
        <v>81.892482546272987</v>
      </c>
      <c r="AK134" s="1081">
        <f t="shared" si="78"/>
        <v>81.586255922780509</v>
      </c>
      <c r="AL134" s="1081">
        <f t="shared" si="78"/>
        <v>81.280029803612607</v>
      </c>
      <c r="AM134" s="1081">
        <f t="shared" si="78"/>
        <v>80.976964003619855</v>
      </c>
      <c r="AN134" s="1081">
        <f t="shared" si="78"/>
        <v>80.673903946081424</v>
      </c>
      <c r="AO134" s="1081">
        <f t="shared" si="78"/>
        <v>80.370849638339479</v>
      </c>
      <c r="AP134" s="1081">
        <f t="shared" si="78"/>
        <v>80.067801087745465</v>
      </c>
      <c r="AQ134" s="1081">
        <f t="shared" si="78"/>
        <v>79.764758301660265</v>
      </c>
      <c r="AR134" s="1081">
        <f t="shared" si="78"/>
        <v>79.461721287454196</v>
      </c>
      <c r="AS134" s="1081">
        <f t="shared" si="78"/>
        <v>79.158690052506984</v>
      </c>
      <c r="AT134" s="1081">
        <f t="shared" si="78"/>
        <v>78.85566460420776</v>
      </c>
      <c r="AU134" s="1081">
        <f t="shared" si="78"/>
        <v>78.552644949955152</v>
      </c>
      <c r="AV134" s="602"/>
      <c r="AW134" s="602"/>
      <c r="AX134" s="602"/>
      <c r="AY134" s="602"/>
      <c r="AZ134" s="602"/>
      <c r="BA134" s="602"/>
    </row>
    <row r="135" spans="2:53">
      <c r="B135" s="602"/>
      <c r="C135" s="602"/>
      <c r="D135" s="1077"/>
      <c r="E135" s="1077" t="s">
        <v>578</v>
      </c>
      <c r="F135" s="1079" t="s">
        <v>1619</v>
      </c>
      <c r="G135" s="1080">
        <f t="shared" ref="G135:AU135" si="79">G134*$E$180</f>
        <v>229.5</v>
      </c>
      <c r="H135" s="1080">
        <f t="shared" si="79"/>
        <v>337.20000000000005</v>
      </c>
      <c r="I135" s="1080">
        <f t="shared" si="79"/>
        <v>348.9</v>
      </c>
      <c r="J135" s="1080">
        <f t="shared" si="79"/>
        <v>355.79999999999995</v>
      </c>
      <c r="K135" s="1080">
        <f t="shared" si="79"/>
        <v>330.29999999999995</v>
      </c>
      <c r="L135" s="1080">
        <f t="shared" si="79"/>
        <v>220.5</v>
      </c>
      <c r="M135" s="1080">
        <f t="shared" si="79"/>
        <v>211.79999999999998</v>
      </c>
      <c r="N135" s="1080">
        <f t="shared" si="79"/>
        <v>224.10000000000002</v>
      </c>
      <c r="O135" s="1081">
        <f t="shared" si="79"/>
        <v>298.50322738417054</v>
      </c>
      <c r="P135" s="1081">
        <f t="shared" si="79"/>
        <v>278.99089084641707</v>
      </c>
      <c r="Q135" s="1081">
        <f t="shared" si="79"/>
        <v>274.55107525964041</v>
      </c>
      <c r="R135" s="1081">
        <f t="shared" si="79"/>
        <v>208.59881902555028</v>
      </c>
      <c r="S135" s="1081">
        <f t="shared" si="79"/>
        <v>218.82431563766235</v>
      </c>
      <c r="T135" s="1081">
        <f t="shared" si="79"/>
        <v>225.79356732312834</v>
      </c>
      <c r="U135" s="1081">
        <f t="shared" si="79"/>
        <v>230.88819475802381</v>
      </c>
      <c r="V135" s="1081">
        <f t="shared" si="79"/>
        <v>234.59762823760838</v>
      </c>
      <c r="W135" s="1081">
        <f t="shared" si="79"/>
        <v>238.69401825253578</v>
      </c>
      <c r="X135" s="1081">
        <f t="shared" si="79"/>
        <v>242.70843455306965</v>
      </c>
      <c r="Y135" s="1081">
        <f t="shared" si="79"/>
        <v>246.40179844419015</v>
      </c>
      <c r="Z135" s="1081">
        <f t="shared" si="79"/>
        <v>250.28005410498935</v>
      </c>
      <c r="AA135" s="1081">
        <f t="shared" si="79"/>
        <v>253.94962380780169</v>
      </c>
      <c r="AB135" s="1081">
        <f t="shared" si="79"/>
        <v>253.03119252119313</v>
      </c>
      <c r="AC135" s="1081">
        <f t="shared" si="79"/>
        <v>252.11056468169497</v>
      </c>
      <c r="AD135" s="1081">
        <f t="shared" si="79"/>
        <v>251.19373795851385</v>
      </c>
      <c r="AE135" s="1081">
        <f t="shared" si="79"/>
        <v>250.27460844347354</v>
      </c>
      <c r="AF135" s="1081">
        <f t="shared" si="79"/>
        <v>249.35576901782761</v>
      </c>
      <c r="AG135" s="1081">
        <f t="shared" si="79"/>
        <v>248.43415195615188</v>
      </c>
      <c r="AH135" s="1081">
        <f t="shared" si="79"/>
        <v>247.51578263182847</v>
      </c>
      <c r="AI135" s="1081">
        <f t="shared" si="79"/>
        <v>246.59522187887353</v>
      </c>
      <c r="AJ135" s="1081">
        <f t="shared" si="79"/>
        <v>245.67744763881896</v>
      </c>
      <c r="AK135" s="1081">
        <f t="shared" si="79"/>
        <v>244.75876776834153</v>
      </c>
      <c r="AL135" s="1081">
        <f t="shared" si="79"/>
        <v>243.84008941083783</v>
      </c>
      <c r="AM135" s="1081">
        <f t="shared" si="79"/>
        <v>242.93089201085957</v>
      </c>
      <c r="AN135" s="1081">
        <f t="shared" si="79"/>
        <v>242.02171183824427</v>
      </c>
      <c r="AO135" s="1081">
        <f t="shared" si="79"/>
        <v>241.11254891501844</v>
      </c>
      <c r="AP135" s="1081">
        <f t="shared" si="79"/>
        <v>240.2034032632364</v>
      </c>
      <c r="AQ135" s="1081">
        <f t="shared" si="79"/>
        <v>239.2942749049808</v>
      </c>
      <c r="AR135" s="1081">
        <f t="shared" si="79"/>
        <v>238.38516386236259</v>
      </c>
      <c r="AS135" s="1081">
        <f t="shared" si="79"/>
        <v>237.47607015752095</v>
      </c>
      <c r="AT135" s="1081">
        <f t="shared" si="79"/>
        <v>236.56699381262328</v>
      </c>
      <c r="AU135" s="1081">
        <f t="shared" si="79"/>
        <v>235.65793484986546</v>
      </c>
      <c r="AV135" s="602"/>
      <c r="AW135" s="602"/>
      <c r="AX135" s="602"/>
      <c r="AY135" s="602"/>
      <c r="AZ135" s="602"/>
      <c r="BA135" s="602"/>
    </row>
    <row r="136" spans="2:53">
      <c r="B136" s="602"/>
      <c r="C136" s="602"/>
      <c r="D136" s="1077"/>
      <c r="E136" s="1077" t="s">
        <v>580</v>
      </c>
      <c r="F136" s="1079" t="s">
        <v>1619</v>
      </c>
      <c r="G136" s="1080">
        <f>G135*1.1</f>
        <v>252.45000000000002</v>
      </c>
      <c r="H136" s="1080">
        <f t="shared" ref="H136:AU136" si="80">H135+$E$184</f>
        <v>400.87375303359806</v>
      </c>
      <c r="I136" s="1080">
        <f t="shared" si="80"/>
        <v>412.573753033598</v>
      </c>
      <c r="J136" s="1080">
        <f t="shared" si="80"/>
        <v>419.47375303359797</v>
      </c>
      <c r="K136" s="1080">
        <f t="shared" si="80"/>
        <v>393.97375303359797</v>
      </c>
      <c r="L136" s="1080">
        <f t="shared" si="80"/>
        <v>284.17375303359802</v>
      </c>
      <c r="M136" s="1080">
        <f t="shared" si="80"/>
        <v>275.47375303359797</v>
      </c>
      <c r="N136" s="1080">
        <f t="shared" si="80"/>
        <v>287.77375303359804</v>
      </c>
      <c r="O136" s="1081">
        <f t="shared" si="80"/>
        <v>362.17698041776856</v>
      </c>
      <c r="P136" s="1081">
        <f t="shared" si="80"/>
        <v>342.66464388001509</v>
      </c>
      <c r="Q136" s="1081">
        <f t="shared" si="80"/>
        <v>338.22482829323843</v>
      </c>
      <c r="R136" s="1081">
        <f t="shared" si="80"/>
        <v>272.27257205914827</v>
      </c>
      <c r="S136" s="1081">
        <f t="shared" si="80"/>
        <v>282.49806867126034</v>
      </c>
      <c r="T136" s="1081">
        <f t="shared" si="80"/>
        <v>289.46732035672636</v>
      </c>
      <c r="U136" s="1081">
        <f t="shared" si="80"/>
        <v>294.56194779162183</v>
      </c>
      <c r="V136" s="1081">
        <f t="shared" si="80"/>
        <v>298.27138127120639</v>
      </c>
      <c r="W136" s="1081">
        <f t="shared" si="80"/>
        <v>302.3677712861338</v>
      </c>
      <c r="X136" s="1081">
        <f t="shared" si="80"/>
        <v>306.38218758666767</v>
      </c>
      <c r="Y136" s="1081">
        <f t="shared" si="80"/>
        <v>310.07555147778817</v>
      </c>
      <c r="Z136" s="1081">
        <f t="shared" si="80"/>
        <v>313.95380713858736</v>
      </c>
      <c r="AA136" s="1081">
        <f t="shared" si="80"/>
        <v>317.6233768413997</v>
      </c>
      <c r="AB136" s="1081">
        <f t="shared" si="80"/>
        <v>316.70494555479115</v>
      </c>
      <c r="AC136" s="1081">
        <f t="shared" si="80"/>
        <v>315.78431771529296</v>
      </c>
      <c r="AD136" s="1081">
        <f t="shared" si="80"/>
        <v>314.86749099211187</v>
      </c>
      <c r="AE136" s="1081">
        <f t="shared" si="80"/>
        <v>313.94836147707156</v>
      </c>
      <c r="AF136" s="1081">
        <f t="shared" si="80"/>
        <v>313.0295220514256</v>
      </c>
      <c r="AG136" s="1081">
        <f t="shared" si="80"/>
        <v>312.1079049897499</v>
      </c>
      <c r="AH136" s="1081">
        <f t="shared" si="80"/>
        <v>311.18953566542649</v>
      </c>
      <c r="AI136" s="1081">
        <f t="shared" si="80"/>
        <v>310.26897491247155</v>
      </c>
      <c r="AJ136" s="1081">
        <f t="shared" si="80"/>
        <v>309.35120067241695</v>
      </c>
      <c r="AK136" s="1081">
        <f t="shared" si="80"/>
        <v>308.43252080193952</v>
      </c>
      <c r="AL136" s="1081">
        <f t="shared" si="80"/>
        <v>307.51384244443585</v>
      </c>
      <c r="AM136" s="1081">
        <f t="shared" si="80"/>
        <v>306.60464504445758</v>
      </c>
      <c r="AN136" s="1081">
        <f t="shared" si="80"/>
        <v>305.69546487184226</v>
      </c>
      <c r="AO136" s="1081">
        <f t="shared" si="80"/>
        <v>304.78630194861643</v>
      </c>
      <c r="AP136" s="1081">
        <f t="shared" si="80"/>
        <v>303.87715629683441</v>
      </c>
      <c r="AQ136" s="1081">
        <f t="shared" si="80"/>
        <v>302.96802793857881</v>
      </c>
      <c r="AR136" s="1081">
        <f t="shared" si="80"/>
        <v>302.05891689596058</v>
      </c>
      <c r="AS136" s="1081">
        <f t="shared" si="80"/>
        <v>301.14982319111897</v>
      </c>
      <c r="AT136" s="1081">
        <f t="shared" si="80"/>
        <v>300.24074684622127</v>
      </c>
      <c r="AU136" s="1081">
        <f t="shared" si="80"/>
        <v>299.33168788346347</v>
      </c>
      <c r="AV136" s="602"/>
      <c r="AW136" s="602"/>
      <c r="AX136" s="602"/>
      <c r="AY136" s="602"/>
      <c r="AZ136" s="602"/>
      <c r="BA136" s="602"/>
    </row>
    <row r="137" spans="2:53">
      <c r="B137" s="602"/>
      <c r="C137" s="602"/>
      <c r="D137" s="1077"/>
      <c r="E137" s="1077" t="s">
        <v>764</v>
      </c>
      <c r="F137" s="1079" t="s">
        <v>1619</v>
      </c>
      <c r="G137" s="1080">
        <f>G136*2</f>
        <v>504.90000000000003</v>
      </c>
      <c r="H137" s="1080">
        <f t="shared" ref="H137:AU137" si="81">H136*2</f>
        <v>801.74750606719613</v>
      </c>
      <c r="I137" s="1080">
        <f t="shared" si="81"/>
        <v>825.14750606719599</v>
      </c>
      <c r="J137" s="1080">
        <f t="shared" si="81"/>
        <v>838.94750606719595</v>
      </c>
      <c r="K137" s="1080">
        <f t="shared" si="81"/>
        <v>787.94750606719595</v>
      </c>
      <c r="L137" s="1080">
        <f t="shared" si="81"/>
        <v>568.34750606719604</v>
      </c>
      <c r="M137" s="1080">
        <f t="shared" si="81"/>
        <v>550.94750606719595</v>
      </c>
      <c r="N137" s="1080">
        <f t="shared" si="81"/>
        <v>575.54750606719608</v>
      </c>
      <c r="O137" s="1081">
        <f t="shared" si="81"/>
        <v>724.35396083553712</v>
      </c>
      <c r="P137" s="1081">
        <f t="shared" si="81"/>
        <v>685.32928776003018</v>
      </c>
      <c r="Q137" s="1081">
        <f t="shared" si="81"/>
        <v>676.44965658647686</v>
      </c>
      <c r="R137" s="1081">
        <f t="shared" si="81"/>
        <v>544.54514411829655</v>
      </c>
      <c r="S137" s="1081">
        <f t="shared" si="81"/>
        <v>564.99613734252068</v>
      </c>
      <c r="T137" s="1081">
        <f t="shared" si="81"/>
        <v>578.93464071345272</v>
      </c>
      <c r="U137" s="1081">
        <f t="shared" si="81"/>
        <v>589.12389558324367</v>
      </c>
      <c r="V137" s="1081">
        <f t="shared" si="81"/>
        <v>596.54276254241279</v>
      </c>
      <c r="W137" s="1081">
        <f t="shared" si="81"/>
        <v>604.7355425722676</v>
      </c>
      <c r="X137" s="1081">
        <f t="shared" si="81"/>
        <v>612.76437517333534</v>
      </c>
      <c r="Y137" s="1081">
        <f t="shared" si="81"/>
        <v>620.15110295557633</v>
      </c>
      <c r="Z137" s="1081">
        <f t="shared" si="81"/>
        <v>627.90761427717473</v>
      </c>
      <c r="AA137" s="1081">
        <f t="shared" si="81"/>
        <v>635.24675368279941</v>
      </c>
      <c r="AB137" s="1081">
        <f t="shared" si="81"/>
        <v>633.4098911095823</v>
      </c>
      <c r="AC137" s="1081">
        <f t="shared" si="81"/>
        <v>631.56863543058591</v>
      </c>
      <c r="AD137" s="1081">
        <f t="shared" si="81"/>
        <v>629.73498198422374</v>
      </c>
      <c r="AE137" s="1081">
        <f t="shared" si="81"/>
        <v>627.89672295414312</v>
      </c>
      <c r="AF137" s="1081">
        <f t="shared" si="81"/>
        <v>626.0590441028512</v>
      </c>
      <c r="AG137" s="1081">
        <f t="shared" si="81"/>
        <v>624.2158099794998</v>
      </c>
      <c r="AH137" s="1081">
        <f t="shared" si="81"/>
        <v>622.37907133085298</v>
      </c>
      <c r="AI137" s="1081">
        <f t="shared" si="81"/>
        <v>620.5379498249431</v>
      </c>
      <c r="AJ137" s="1081">
        <f t="shared" si="81"/>
        <v>618.7024013448339</v>
      </c>
      <c r="AK137" s="1081">
        <f t="shared" si="81"/>
        <v>616.86504160387904</v>
      </c>
      <c r="AL137" s="1081">
        <f t="shared" si="81"/>
        <v>615.0276848888717</v>
      </c>
      <c r="AM137" s="1081">
        <f t="shared" si="81"/>
        <v>613.20929008891517</v>
      </c>
      <c r="AN137" s="1081">
        <f t="shared" si="81"/>
        <v>611.39092974368452</v>
      </c>
      <c r="AO137" s="1081">
        <f t="shared" si="81"/>
        <v>609.57260389723285</v>
      </c>
      <c r="AP137" s="1081">
        <f t="shared" si="81"/>
        <v>607.75431259366883</v>
      </c>
      <c r="AQ137" s="1081">
        <f t="shared" si="81"/>
        <v>605.93605587715763</v>
      </c>
      <c r="AR137" s="1081">
        <f t="shared" si="81"/>
        <v>604.11783379192116</v>
      </c>
      <c r="AS137" s="1081">
        <f t="shared" si="81"/>
        <v>602.29964638223794</v>
      </c>
      <c r="AT137" s="1081">
        <f t="shared" si="81"/>
        <v>600.48149369244254</v>
      </c>
      <c r="AU137" s="1081">
        <f t="shared" si="81"/>
        <v>598.66337576692695</v>
      </c>
      <c r="AV137" s="602"/>
      <c r="AW137" s="602"/>
      <c r="AX137" s="602"/>
      <c r="AY137" s="602"/>
      <c r="AZ137" s="602"/>
      <c r="BA137" s="602"/>
    </row>
    <row r="138" spans="2:53">
      <c r="B138" s="602"/>
      <c r="C138" s="602"/>
      <c r="D138" s="1077" t="s">
        <v>841</v>
      </c>
      <c r="E138" s="1077" t="s">
        <v>702</v>
      </c>
      <c r="F138" s="1046" t="str">
        <f>F134</f>
        <v>MKr19</v>
      </c>
      <c r="G138" s="1080">
        <f>G134</f>
        <v>76.5</v>
      </c>
      <c r="H138" s="1080">
        <f t="shared" ref="H138:AU138" si="82">H134</f>
        <v>112.4</v>
      </c>
      <c r="I138" s="1080">
        <f t="shared" si="82"/>
        <v>116.3</v>
      </c>
      <c r="J138" s="1080">
        <f t="shared" si="82"/>
        <v>118.6</v>
      </c>
      <c r="K138" s="1080">
        <f t="shared" si="82"/>
        <v>110.1</v>
      </c>
      <c r="L138" s="1080">
        <f t="shared" si="82"/>
        <v>73.5</v>
      </c>
      <c r="M138" s="1080">
        <f t="shared" si="82"/>
        <v>70.599999999999994</v>
      </c>
      <c r="N138" s="1080">
        <f t="shared" si="82"/>
        <v>74.7</v>
      </c>
      <c r="O138" s="1080">
        <f t="shared" si="82"/>
        <v>99.501075794723519</v>
      </c>
      <c r="P138" s="1080">
        <f t="shared" si="82"/>
        <v>92.996963615472367</v>
      </c>
      <c r="Q138" s="1080">
        <f t="shared" si="82"/>
        <v>91.517025086546809</v>
      </c>
      <c r="R138" s="1080">
        <f t="shared" si="82"/>
        <v>69.532939675183428</v>
      </c>
      <c r="S138" s="1080">
        <f t="shared" si="82"/>
        <v>72.941438545887451</v>
      </c>
      <c r="T138" s="1080">
        <f t="shared" si="82"/>
        <v>75.264522441042786</v>
      </c>
      <c r="U138" s="1080">
        <f t="shared" si="82"/>
        <v>76.962731586007934</v>
      </c>
      <c r="V138" s="1080">
        <f t="shared" si="82"/>
        <v>78.199209412536121</v>
      </c>
      <c r="W138" s="1080">
        <f t="shared" si="82"/>
        <v>79.564672750845261</v>
      </c>
      <c r="X138" s="1080">
        <f t="shared" si="82"/>
        <v>80.902811517689884</v>
      </c>
      <c r="Y138" s="1080">
        <f t="shared" si="82"/>
        <v>82.133932814730045</v>
      </c>
      <c r="Z138" s="1080">
        <f t="shared" si="82"/>
        <v>83.42668470166312</v>
      </c>
      <c r="AA138" s="1080">
        <f t="shared" si="82"/>
        <v>84.649874602600562</v>
      </c>
      <c r="AB138" s="1080">
        <f t="shared" si="82"/>
        <v>84.343730840397711</v>
      </c>
      <c r="AC138" s="1080">
        <f t="shared" si="82"/>
        <v>84.036854893898322</v>
      </c>
      <c r="AD138" s="1080">
        <f t="shared" si="82"/>
        <v>83.731245986171288</v>
      </c>
      <c r="AE138" s="1080">
        <f t="shared" si="82"/>
        <v>83.424869481157842</v>
      </c>
      <c r="AF138" s="1080">
        <f t="shared" si="82"/>
        <v>83.118589672609204</v>
      </c>
      <c r="AG138" s="1080">
        <f t="shared" si="82"/>
        <v>82.811383985383955</v>
      </c>
      <c r="AH138" s="1080">
        <f t="shared" si="82"/>
        <v>82.505260877276157</v>
      </c>
      <c r="AI138" s="1080">
        <f t="shared" si="82"/>
        <v>82.198407292957839</v>
      </c>
      <c r="AJ138" s="1080">
        <f t="shared" si="82"/>
        <v>81.892482546272987</v>
      </c>
      <c r="AK138" s="1080">
        <f t="shared" si="82"/>
        <v>81.586255922780509</v>
      </c>
      <c r="AL138" s="1080">
        <f t="shared" si="82"/>
        <v>81.280029803612607</v>
      </c>
      <c r="AM138" s="1080">
        <f t="shared" si="82"/>
        <v>80.976964003619855</v>
      </c>
      <c r="AN138" s="1080">
        <f t="shared" si="82"/>
        <v>80.673903946081424</v>
      </c>
      <c r="AO138" s="1080">
        <f t="shared" si="82"/>
        <v>80.370849638339479</v>
      </c>
      <c r="AP138" s="1080">
        <f t="shared" si="82"/>
        <v>80.067801087745465</v>
      </c>
      <c r="AQ138" s="1080">
        <f t="shared" si="82"/>
        <v>79.764758301660265</v>
      </c>
      <c r="AR138" s="1080">
        <f t="shared" si="82"/>
        <v>79.461721287454196</v>
      </c>
      <c r="AS138" s="1080">
        <f t="shared" si="82"/>
        <v>79.158690052506984</v>
      </c>
      <c r="AT138" s="1080">
        <f t="shared" si="82"/>
        <v>78.85566460420776</v>
      </c>
      <c r="AU138" s="1080">
        <f t="shared" si="82"/>
        <v>78.552644949955152</v>
      </c>
      <c r="AV138" s="602"/>
      <c r="AW138" s="602"/>
      <c r="AX138" s="602"/>
      <c r="AY138" s="602"/>
      <c r="AZ138" s="602"/>
      <c r="BA138" s="602"/>
    </row>
    <row r="139" spans="2:53">
      <c r="B139" s="602"/>
      <c r="C139" s="602"/>
      <c r="D139" s="1077"/>
      <c r="E139" s="1077" t="s">
        <v>44</v>
      </c>
      <c r="F139" s="1079" t="s">
        <v>1619</v>
      </c>
      <c r="G139" s="1080">
        <f t="shared" ref="G139:N139" si="83">G224</f>
        <v>68.2</v>
      </c>
      <c r="H139" s="1080">
        <f t="shared" si="83"/>
        <v>102</v>
      </c>
      <c r="I139" s="1080">
        <f t="shared" si="83"/>
        <v>96.2</v>
      </c>
      <c r="J139" s="1080">
        <f t="shared" si="83"/>
        <v>91.7</v>
      </c>
      <c r="K139" s="1080">
        <f t="shared" si="83"/>
        <v>84</v>
      </c>
      <c r="L139" s="1080">
        <f t="shared" si="83"/>
        <v>47.5</v>
      </c>
      <c r="M139" s="1080">
        <f t="shared" si="83"/>
        <v>44.5</v>
      </c>
      <c r="N139" s="1080">
        <f t="shared" si="83"/>
        <v>48.7</v>
      </c>
      <c r="O139" s="1081">
        <f>VLOOKUP(O$121,$C$286:$O$318,5)</f>
        <v>67.735141438725293</v>
      </c>
      <c r="P139" s="1081">
        <f t="shared" ref="P139:AU139" si="84">VLOOKUP(P$121,$C$286:$O$318,5)</f>
        <v>61.821029259474152</v>
      </c>
      <c r="Q139" s="1081">
        <f t="shared" si="84"/>
        <v>60.341090730548601</v>
      </c>
      <c r="R139" s="1081">
        <f t="shared" si="84"/>
        <v>38.35700531918522</v>
      </c>
      <c r="S139" s="1081">
        <f t="shared" si="84"/>
        <v>41.765504189889249</v>
      </c>
      <c r="T139" s="1081">
        <f t="shared" si="84"/>
        <v>44.088588085044584</v>
      </c>
      <c r="U139" s="1081">
        <f t="shared" si="84"/>
        <v>45.786797230009718</v>
      </c>
      <c r="V139" s="1081">
        <f t="shared" si="84"/>
        <v>47.023275056537912</v>
      </c>
      <c r="W139" s="1081">
        <f t="shared" si="84"/>
        <v>48.388738394847046</v>
      </c>
      <c r="X139" s="1081">
        <f t="shared" si="84"/>
        <v>49.726877161691675</v>
      </c>
      <c r="Y139" s="1081">
        <f t="shared" si="84"/>
        <v>50.957998458731836</v>
      </c>
      <c r="Z139" s="1081">
        <f t="shared" si="84"/>
        <v>52.250750345664912</v>
      </c>
      <c r="AA139" s="1081">
        <f t="shared" si="84"/>
        <v>53.473940246602353</v>
      </c>
      <c r="AB139" s="1081">
        <f t="shared" si="84"/>
        <v>53.16779648439951</v>
      </c>
      <c r="AC139" s="1081">
        <f t="shared" si="84"/>
        <v>52.860920537900107</v>
      </c>
      <c r="AD139" s="1081">
        <f t="shared" si="84"/>
        <v>52.55531163017308</v>
      </c>
      <c r="AE139" s="1081">
        <f t="shared" si="84"/>
        <v>52.248935125159633</v>
      </c>
      <c r="AF139" s="1081">
        <f t="shared" si="84"/>
        <v>51.942655316610988</v>
      </c>
      <c r="AG139" s="1081">
        <f t="shared" si="84"/>
        <v>51.635449629385747</v>
      </c>
      <c r="AH139" s="1081">
        <f t="shared" si="84"/>
        <v>51.329326521277956</v>
      </c>
      <c r="AI139" s="1081">
        <f t="shared" si="84"/>
        <v>51.022472936959623</v>
      </c>
      <c r="AJ139" s="1081">
        <f t="shared" si="84"/>
        <v>50.716548190274779</v>
      </c>
      <c r="AK139" s="1081">
        <f t="shared" si="84"/>
        <v>50.410321566782294</v>
      </c>
      <c r="AL139" s="1081">
        <f t="shared" si="84"/>
        <v>50.104095447614391</v>
      </c>
      <c r="AM139" s="1081">
        <f t="shared" si="84"/>
        <v>49.801029647621633</v>
      </c>
      <c r="AN139" s="1081">
        <f t="shared" si="84"/>
        <v>49.497969590083216</v>
      </c>
      <c r="AO139" s="1081">
        <f t="shared" si="84"/>
        <v>49.19491528234127</v>
      </c>
      <c r="AP139" s="1081">
        <f t="shared" si="84"/>
        <v>48.89186673174725</v>
      </c>
      <c r="AQ139" s="1081">
        <f t="shared" si="84"/>
        <v>48.588823945662064</v>
      </c>
      <c r="AR139" s="1081">
        <f t="shared" si="84"/>
        <v>48.285786931455988</v>
      </c>
      <c r="AS139" s="1081">
        <f t="shared" si="84"/>
        <v>47.982755696508768</v>
      </c>
      <c r="AT139" s="1081">
        <f t="shared" si="84"/>
        <v>47.679730248209545</v>
      </c>
      <c r="AU139" s="1081">
        <f t="shared" si="84"/>
        <v>47.376710593956936</v>
      </c>
      <c r="AV139" s="602"/>
      <c r="AW139" s="602"/>
      <c r="AX139" s="602"/>
      <c r="AY139" s="602"/>
      <c r="AZ139" s="602"/>
      <c r="BA139" s="602"/>
    </row>
    <row r="140" spans="2:53">
      <c r="B140" s="602"/>
      <c r="C140" s="602"/>
      <c r="D140" s="1077" t="s">
        <v>850</v>
      </c>
      <c r="E140" s="1077" t="s">
        <v>747</v>
      </c>
      <c r="F140" s="1046" t="str">
        <f>F139</f>
        <v>MKr19</v>
      </c>
      <c r="G140" s="1080">
        <f>G139+$E$184</f>
        <v>131.87375303359801</v>
      </c>
      <c r="H140" s="1080">
        <f t="shared" ref="H140:AU140" si="85">H139+$E$184</f>
        <v>165.67375303359799</v>
      </c>
      <c r="I140" s="1080">
        <f t="shared" si="85"/>
        <v>159.87375303359801</v>
      </c>
      <c r="J140" s="1080">
        <f t="shared" si="85"/>
        <v>155.37375303359801</v>
      </c>
      <c r="K140" s="1080">
        <f t="shared" si="85"/>
        <v>147.67375303359799</v>
      </c>
      <c r="L140" s="1080">
        <f t="shared" si="85"/>
        <v>111.17375303359799</v>
      </c>
      <c r="M140" s="1080">
        <f t="shared" si="85"/>
        <v>108.17375303359799</v>
      </c>
      <c r="N140" s="1080">
        <f t="shared" si="85"/>
        <v>112.37375303359801</v>
      </c>
      <c r="O140" s="1080">
        <f t="shared" si="85"/>
        <v>131.40889447232328</v>
      </c>
      <c r="P140" s="1080">
        <f t="shared" si="85"/>
        <v>125.49478229307215</v>
      </c>
      <c r="Q140" s="1080">
        <f t="shared" si="85"/>
        <v>124.0148437641466</v>
      </c>
      <c r="R140" s="1080">
        <f t="shared" si="85"/>
        <v>102.03075835278321</v>
      </c>
      <c r="S140" s="1080">
        <f t="shared" si="85"/>
        <v>105.43925722348725</v>
      </c>
      <c r="T140" s="1080">
        <f t="shared" si="85"/>
        <v>107.76234111864258</v>
      </c>
      <c r="U140" s="1080">
        <f t="shared" si="85"/>
        <v>109.46055026360771</v>
      </c>
      <c r="V140" s="1080">
        <f t="shared" si="85"/>
        <v>110.69702809013592</v>
      </c>
      <c r="W140" s="1080">
        <f t="shared" si="85"/>
        <v>112.06249142844504</v>
      </c>
      <c r="X140" s="1080">
        <f t="shared" si="85"/>
        <v>113.40063019528966</v>
      </c>
      <c r="Y140" s="1080">
        <f t="shared" si="85"/>
        <v>114.63175149232984</v>
      </c>
      <c r="Z140" s="1080">
        <f t="shared" si="85"/>
        <v>115.92450337926292</v>
      </c>
      <c r="AA140" s="1080">
        <f t="shared" si="85"/>
        <v>117.14769328020034</v>
      </c>
      <c r="AB140" s="1080">
        <f t="shared" si="85"/>
        <v>116.84154951799751</v>
      </c>
      <c r="AC140" s="1080">
        <f t="shared" si="85"/>
        <v>116.5346735714981</v>
      </c>
      <c r="AD140" s="1080">
        <f t="shared" si="85"/>
        <v>116.22906466377108</v>
      </c>
      <c r="AE140" s="1080">
        <f t="shared" si="85"/>
        <v>115.92268815875764</v>
      </c>
      <c r="AF140" s="1080">
        <f t="shared" si="85"/>
        <v>115.61640835020899</v>
      </c>
      <c r="AG140" s="1080">
        <f t="shared" si="85"/>
        <v>115.30920266298375</v>
      </c>
      <c r="AH140" s="1080">
        <f t="shared" si="85"/>
        <v>115.00307955487595</v>
      </c>
      <c r="AI140" s="1080">
        <f t="shared" si="85"/>
        <v>114.69622597055762</v>
      </c>
      <c r="AJ140" s="1080">
        <f t="shared" si="85"/>
        <v>114.39030122387277</v>
      </c>
      <c r="AK140" s="1080">
        <f t="shared" si="85"/>
        <v>114.08407460038029</v>
      </c>
      <c r="AL140" s="1080">
        <f t="shared" si="85"/>
        <v>113.77784848121239</v>
      </c>
      <c r="AM140" s="1080">
        <f t="shared" si="85"/>
        <v>113.47478268121964</v>
      </c>
      <c r="AN140" s="1080">
        <f t="shared" si="85"/>
        <v>113.17172262368121</v>
      </c>
      <c r="AO140" s="1080">
        <f t="shared" si="85"/>
        <v>112.86866831593926</v>
      </c>
      <c r="AP140" s="1080">
        <f t="shared" si="85"/>
        <v>112.56561976534525</v>
      </c>
      <c r="AQ140" s="1080">
        <f t="shared" si="85"/>
        <v>112.26257697926006</v>
      </c>
      <c r="AR140" s="1080">
        <f t="shared" si="85"/>
        <v>111.95953996505398</v>
      </c>
      <c r="AS140" s="1080">
        <f t="shared" si="85"/>
        <v>111.65650873010676</v>
      </c>
      <c r="AT140" s="1080">
        <f t="shared" si="85"/>
        <v>111.35348328180754</v>
      </c>
      <c r="AU140" s="1080">
        <f t="shared" si="85"/>
        <v>111.05046362755493</v>
      </c>
      <c r="AV140" s="602"/>
      <c r="AW140" s="602"/>
      <c r="AX140" s="602"/>
      <c r="AY140" s="602"/>
      <c r="AZ140" s="602"/>
      <c r="BA140" s="602"/>
    </row>
    <row r="141" spans="2:53">
      <c r="B141" s="602"/>
      <c r="C141" s="602"/>
      <c r="D141" s="1077"/>
      <c r="E141" s="1077" t="s">
        <v>761</v>
      </c>
      <c r="F141" s="1046" t="str">
        <f>F140</f>
        <v>MKr19</v>
      </c>
      <c r="G141" s="1080">
        <f>G140*2</f>
        <v>263.74750606719601</v>
      </c>
      <c r="H141" s="1080">
        <f t="shared" ref="H141:AU141" si="86">H140*2</f>
        <v>331.34750606719598</v>
      </c>
      <c r="I141" s="1080">
        <f t="shared" si="86"/>
        <v>319.74750606719601</v>
      </c>
      <c r="J141" s="1080">
        <f t="shared" si="86"/>
        <v>310.74750606719601</v>
      </c>
      <c r="K141" s="1080">
        <f t="shared" si="86"/>
        <v>295.34750606719598</v>
      </c>
      <c r="L141" s="1080">
        <f t="shared" si="86"/>
        <v>222.34750606719598</v>
      </c>
      <c r="M141" s="1080">
        <f t="shared" si="86"/>
        <v>216.34750606719598</v>
      </c>
      <c r="N141" s="1080">
        <f t="shared" si="86"/>
        <v>224.74750606719601</v>
      </c>
      <c r="O141" s="1080">
        <f t="shared" si="86"/>
        <v>262.81778894464657</v>
      </c>
      <c r="P141" s="1080">
        <f t="shared" si="86"/>
        <v>250.9895645861443</v>
      </c>
      <c r="Q141" s="1080">
        <f t="shared" si="86"/>
        <v>248.02968752829321</v>
      </c>
      <c r="R141" s="1080">
        <f t="shared" si="86"/>
        <v>204.06151670556642</v>
      </c>
      <c r="S141" s="1080">
        <f t="shared" si="86"/>
        <v>210.87851444697449</v>
      </c>
      <c r="T141" s="1080">
        <f t="shared" si="86"/>
        <v>215.52468223728516</v>
      </c>
      <c r="U141" s="1080">
        <f t="shared" si="86"/>
        <v>218.92110052721543</v>
      </c>
      <c r="V141" s="1080">
        <f t="shared" si="86"/>
        <v>221.39405618027183</v>
      </c>
      <c r="W141" s="1080">
        <f t="shared" si="86"/>
        <v>224.12498285689009</v>
      </c>
      <c r="X141" s="1080">
        <f t="shared" si="86"/>
        <v>226.80126039057933</v>
      </c>
      <c r="Y141" s="1080">
        <f t="shared" si="86"/>
        <v>229.26350298465968</v>
      </c>
      <c r="Z141" s="1080">
        <f t="shared" si="86"/>
        <v>231.84900675852583</v>
      </c>
      <c r="AA141" s="1080">
        <f t="shared" si="86"/>
        <v>234.29538656040069</v>
      </c>
      <c r="AB141" s="1080">
        <f t="shared" si="86"/>
        <v>233.68309903599501</v>
      </c>
      <c r="AC141" s="1080">
        <f t="shared" si="86"/>
        <v>233.06934714299621</v>
      </c>
      <c r="AD141" s="1080">
        <f t="shared" si="86"/>
        <v>232.45812932754217</v>
      </c>
      <c r="AE141" s="1080">
        <f t="shared" si="86"/>
        <v>231.84537631751527</v>
      </c>
      <c r="AF141" s="1080">
        <f t="shared" si="86"/>
        <v>231.23281670041797</v>
      </c>
      <c r="AG141" s="1080">
        <f t="shared" si="86"/>
        <v>230.6184053259675</v>
      </c>
      <c r="AH141" s="1080">
        <f t="shared" si="86"/>
        <v>230.00615910975191</v>
      </c>
      <c r="AI141" s="1080">
        <f t="shared" si="86"/>
        <v>229.39245194111524</v>
      </c>
      <c r="AJ141" s="1080">
        <f t="shared" si="86"/>
        <v>228.78060244774554</v>
      </c>
      <c r="AK141" s="1080">
        <f t="shared" si="86"/>
        <v>228.16814920076058</v>
      </c>
      <c r="AL141" s="1080">
        <f t="shared" si="86"/>
        <v>227.55569696242478</v>
      </c>
      <c r="AM141" s="1080">
        <f t="shared" si="86"/>
        <v>226.94956536243927</v>
      </c>
      <c r="AN141" s="1080">
        <f t="shared" si="86"/>
        <v>226.34344524736241</v>
      </c>
      <c r="AO141" s="1080">
        <f t="shared" si="86"/>
        <v>225.73733663187852</v>
      </c>
      <c r="AP141" s="1080">
        <f t="shared" si="86"/>
        <v>225.13123953069049</v>
      </c>
      <c r="AQ141" s="1080">
        <f t="shared" si="86"/>
        <v>224.52515395852012</v>
      </c>
      <c r="AR141" s="1080">
        <f t="shared" si="86"/>
        <v>223.91907993010796</v>
      </c>
      <c r="AS141" s="1080">
        <f t="shared" si="86"/>
        <v>223.31301746021353</v>
      </c>
      <c r="AT141" s="1080">
        <f t="shared" si="86"/>
        <v>222.70696656361508</v>
      </c>
      <c r="AU141" s="1080">
        <f t="shared" si="86"/>
        <v>222.10092725510987</v>
      </c>
      <c r="AV141" s="602"/>
      <c r="AW141" s="602"/>
      <c r="AX141" s="602"/>
      <c r="AY141" s="602"/>
      <c r="AZ141" s="602"/>
      <c r="BA141" s="602"/>
    </row>
    <row r="142" spans="2:53">
      <c r="B142" s="602"/>
      <c r="C142" s="602"/>
      <c r="D142" s="1077"/>
      <c r="E142" s="1077" t="s">
        <v>759</v>
      </c>
      <c r="F142" s="1046" t="str">
        <f>F140</f>
        <v>MKr19</v>
      </c>
      <c r="G142" s="1080">
        <f t="shared" ref="G142:N142" si="87">G139</f>
        <v>68.2</v>
      </c>
      <c r="H142" s="1080">
        <f t="shared" si="87"/>
        <v>102</v>
      </c>
      <c r="I142" s="1080">
        <f t="shared" si="87"/>
        <v>96.2</v>
      </c>
      <c r="J142" s="1080">
        <f t="shared" si="87"/>
        <v>91.7</v>
      </c>
      <c r="K142" s="1080">
        <f t="shared" si="87"/>
        <v>84</v>
      </c>
      <c r="L142" s="1080">
        <f t="shared" si="87"/>
        <v>47.5</v>
      </c>
      <c r="M142" s="1080">
        <f t="shared" si="87"/>
        <v>44.5</v>
      </c>
      <c r="N142" s="1080">
        <f t="shared" si="87"/>
        <v>48.7</v>
      </c>
      <c r="O142" s="1080">
        <f>O139</f>
        <v>67.735141438725293</v>
      </c>
      <c r="P142" s="1080">
        <f t="shared" ref="P142:AU142" si="88">P139</f>
        <v>61.821029259474152</v>
      </c>
      <c r="Q142" s="1080">
        <f t="shared" si="88"/>
        <v>60.341090730548601</v>
      </c>
      <c r="R142" s="1080">
        <f t="shared" si="88"/>
        <v>38.35700531918522</v>
      </c>
      <c r="S142" s="1080">
        <f t="shared" si="88"/>
        <v>41.765504189889249</v>
      </c>
      <c r="T142" s="1080">
        <f t="shared" si="88"/>
        <v>44.088588085044584</v>
      </c>
      <c r="U142" s="1080">
        <f t="shared" si="88"/>
        <v>45.786797230009718</v>
      </c>
      <c r="V142" s="1080">
        <f t="shared" si="88"/>
        <v>47.023275056537912</v>
      </c>
      <c r="W142" s="1080">
        <f t="shared" si="88"/>
        <v>48.388738394847046</v>
      </c>
      <c r="X142" s="1080">
        <f t="shared" si="88"/>
        <v>49.726877161691675</v>
      </c>
      <c r="Y142" s="1080">
        <f t="shared" si="88"/>
        <v>50.957998458731836</v>
      </c>
      <c r="Z142" s="1080">
        <f t="shared" si="88"/>
        <v>52.250750345664912</v>
      </c>
      <c r="AA142" s="1080">
        <f t="shared" si="88"/>
        <v>53.473940246602353</v>
      </c>
      <c r="AB142" s="1080">
        <f t="shared" si="88"/>
        <v>53.16779648439951</v>
      </c>
      <c r="AC142" s="1080">
        <f t="shared" si="88"/>
        <v>52.860920537900107</v>
      </c>
      <c r="AD142" s="1080">
        <f t="shared" si="88"/>
        <v>52.55531163017308</v>
      </c>
      <c r="AE142" s="1080">
        <f t="shared" si="88"/>
        <v>52.248935125159633</v>
      </c>
      <c r="AF142" s="1080">
        <f t="shared" si="88"/>
        <v>51.942655316610988</v>
      </c>
      <c r="AG142" s="1080">
        <f t="shared" si="88"/>
        <v>51.635449629385747</v>
      </c>
      <c r="AH142" s="1080">
        <f t="shared" si="88"/>
        <v>51.329326521277956</v>
      </c>
      <c r="AI142" s="1080">
        <f t="shared" si="88"/>
        <v>51.022472936959623</v>
      </c>
      <c r="AJ142" s="1080">
        <f t="shared" si="88"/>
        <v>50.716548190274779</v>
      </c>
      <c r="AK142" s="1080">
        <f t="shared" si="88"/>
        <v>50.410321566782294</v>
      </c>
      <c r="AL142" s="1080">
        <f t="shared" si="88"/>
        <v>50.104095447614391</v>
      </c>
      <c r="AM142" s="1080">
        <f t="shared" si="88"/>
        <v>49.801029647621633</v>
      </c>
      <c r="AN142" s="1080">
        <f t="shared" si="88"/>
        <v>49.497969590083216</v>
      </c>
      <c r="AO142" s="1080">
        <f t="shared" si="88"/>
        <v>49.19491528234127</v>
      </c>
      <c r="AP142" s="1080">
        <f t="shared" si="88"/>
        <v>48.89186673174725</v>
      </c>
      <c r="AQ142" s="1080">
        <f t="shared" si="88"/>
        <v>48.588823945662064</v>
      </c>
      <c r="AR142" s="1080">
        <f t="shared" si="88"/>
        <v>48.285786931455988</v>
      </c>
      <c r="AS142" s="1080">
        <f t="shared" si="88"/>
        <v>47.982755696508768</v>
      </c>
      <c r="AT142" s="1080">
        <f t="shared" si="88"/>
        <v>47.679730248209545</v>
      </c>
      <c r="AU142" s="1080">
        <f t="shared" si="88"/>
        <v>47.376710593956936</v>
      </c>
      <c r="AV142" s="602"/>
      <c r="AW142" s="602"/>
      <c r="AX142" s="602"/>
      <c r="AY142" s="602"/>
      <c r="AZ142" s="602"/>
      <c r="BA142" s="602"/>
    </row>
    <row r="143" spans="2:53">
      <c r="B143" s="602"/>
      <c r="C143" s="602"/>
      <c r="D143" s="1077"/>
      <c r="E143" s="1077" t="s">
        <v>41</v>
      </c>
      <c r="F143" s="1079" t="s">
        <v>1619</v>
      </c>
      <c r="G143" s="1080">
        <f>G225</f>
        <v>44.4</v>
      </c>
      <c r="H143" s="1080">
        <f t="shared" ref="H143:N143" si="89">H225</f>
        <v>46.1</v>
      </c>
      <c r="I143" s="1080">
        <f t="shared" si="89"/>
        <v>55.1</v>
      </c>
      <c r="J143" s="1080">
        <f t="shared" si="89"/>
        <v>54.2</v>
      </c>
      <c r="K143" s="1080">
        <f t="shared" si="89"/>
        <v>45.7</v>
      </c>
      <c r="L143" s="1080">
        <f t="shared" si="89"/>
        <v>44</v>
      </c>
      <c r="M143" s="1080">
        <f t="shared" si="89"/>
        <v>36.799999999999997</v>
      </c>
      <c r="N143" s="1080">
        <f t="shared" si="89"/>
        <v>36.9</v>
      </c>
      <c r="O143" s="1081">
        <f>VLOOKUP(O$121,$C$286:$O$318,3)</f>
        <v>53.422183381850253</v>
      </c>
      <c r="P143" s="1081">
        <f t="shared" ref="P143:AU143" si="90">VLOOKUP(P$121,$C$286:$O$318,3)</f>
        <v>34.261011240620462</v>
      </c>
      <c r="Q143" s="1081">
        <f t="shared" si="90"/>
        <v>33.397849986482257</v>
      </c>
      <c r="R143" s="1081">
        <f t="shared" si="90"/>
        <v>31.525290025438199</v>
      </c>
      <c r="S143" s="1081">
        <f t="shared" si="90"/>
        <v>32.762548621541896</v>
      </c>
      <c r="T143" s="1081">
        <f t="shared" si="90"/>
        <v>33.367688312875465</v>
      </c>
      <c r="U143" s="1081">
        <f t="shared" si="90"/>
        <v>33.567123920362071</v>
      </c>
      <c r="V143" s="1081">
        <f t="shared" si="90"/>
        <v>33.506083462913665</v>
      </c>
      <c r="W143" s="1081">
        <f t="shared" si="90"/>
        <v>33.467639204304064</v>
      </c>
      <c r="X143" s="1081">
        <f t="shared" si="90"/>
        <v>33.442947086231669</v>
      </c>
      <c r="Y143" s="1081">
        <f t="shared" si="90"/>
        <v>33.42179959045346</v>
      </c>
      <c r="Z143" s="1081">
        <f t="shared" si="90"/>
        <v>33.414220248022303</v>
      </c>
      <c r="AA143" s="1081">
        <f t="shared" si="90"/>
        <v>33.412152610409883</v>
      </c>
      <c r="AB143" s="1081">
        <f t="shared" si="90"/>
        <v>33.458238338148384</v>
      </c>
      <c r="AC143" s="1081">
        <f t="shared" si="90"/>
        <v>33.504324065886884</v>
      </c>
      <c r="AD143" s="1081">
        <f t="shared" si="90"/>
        <v>33.550409793625377</v>
      </c>
      <c r="AE143" s="1081">
        <f t="shared" si="90"/>
        <v>33.59649552136387</v>
      </c>
      <c r="AF143" s="1081">
        <f t="shared" si="90"/>
        <v>33.642581249102378</v>
      </c>
      <c r="AG143" s="1081">
        <f t="shared" si="90"/>
        <v>33.688666976840878</v>
      </c>
      <c r="AH143" s="1081">
        <f t="shared" si="90"/>
        <v>33.734752704579364</v>
      </c>
      <c r="AI143" s="1081">
        <f t="shared" si="90"/>
        <v>33.780838432317864</v>
      </c>
      <c r="AJ143" s="1081">
        <f t="shared" si="90"/>
        <v>33.82692416005635</v>
      </c>
      <c r="AK143" s="1081">
        <f t="shared" si="90"/>
        <v>33.873009887794851</v>
      </c>
      <c r="AL143" s="1081">
        <f t="shared" si="90"/>
        <v>33.919095615533351</v>
      </c>
      <c r="AM143" s="1081">
        <f t="shared" si="90"/>
        <v>33.965181343271844</v>
      </c>
      <c r="AN143" s="1081">
        <f t="shared" si="90"/>
        <v>34.011267071010337</v>
      </c>
      <c r="AO143" s="1081">
        <f t="shared" si="90"/>
        <v>34.057352798748838</v>
      </c>
      <c r="AP143" s="1081">
        <f t="shared" si="90"/>
        <v>34.103438526487338</v>
      </c>
      <c r="AQ143" s="1081">
        <f t="shared" si="90"/>
        <v>34.149524254225838</v>
      </c>
      <c r="AR143" s="1081">
        <f t="shared" si="90"/>
        <v>34.195609981964324</v>
      </c>
      <c r="AS143" s="1081">
        <f t="shared" si="90"/>
        <v>34.241695709702832</v>
      </c>
      <c r="AT143" s="1081">
        <f t="shared" si="90"/>
        <v>34.287781437441318</v>
      </c>
      <c r="AU143" s="1081">
        <f t="shared" si="90"/>
        <v>34.333867165179825</v>
      </c>
      <c r="AV143" s="602"/>
      <c r="AW143" s="602"/>
      <c r="AX143" s="602"/>
      <c r="AY143" s="602"/>
      <c r="AZ143" s="602"/>
      <c r="BA143" s="602"/>
    </row>
    <row r="144" spans="2:53">
      <c r="B144" s="602"/>
      <c r="C144" s="602"/>
      <c r="D144" s="1077"/>
      <c r="E144" s="1077" t="s">
        <v>582</v>
      </c>
      <c r="F144" s="1046" t="str">
        <f>F143</f>
        <v>MKr19</v>
      </c>
      <c r="G144" s="1080">
        <f>G143*$E$181</f>
        <v>133.19999999999999</v>
      </c>
      <c r="H144" s="1080">
        <f t="shared" ref="H144:AU144" si="91">H143*$E$181</f>
        <v>138.30000000000001</v>
      </c>
      <c r="I144" s="1080">
        <f t="shared" si="91"/>
        <v>165.3</v>
      </c>
      <c r="J144" s="1080">
        <f t="shared" si="91"/>
        <v>162.60000000000002</v>
      </c>
      <c r="K144" s="1080">
        <f t="shared" si="91"/>
        <v>137.10000000000002</v>
      </c>
      <c r="L144" s="1080">
        <f t="shared" si="91"/>
        <v>132</v>
      </c>
      <c r="M144" s="1080">
        <f t="shared" si="91"/>
        <v>110.39999999999999</v>
      </c>
      <c r="N144" s="1080">
        <f t="shared" si="91"/>
        <v>110.69999999999999</v>
      </c>
      <c r="O144" s="1080">
        <f>O143*$E$181</f>
        <v>160.26655014555075</v>
      </c>
      <c r="P144" s="1080">
        <f t="shared" si="91"/>
        <v>102.78303372186139</v>
      </c>
      <c r="Q144" s="1080">
        <f t="shared" si="91"/>
        <v>100.19354995944677</v>
      </c>
      <c r="R144" s="1080">
        <f t="shared" si="91"/>
        <v>94.575870076314601</v>
      </c>
      <c r="S144" s="1080">
        <f t="shared" si="91"/>
        <v>98.287645864625688</v>
      </c>
      <c r="T144" s="1080">
        <f t="shared" si="91"/>
        <v>100.1030649386264</v>
      </c>
      <c r="U144" s="1080">
        <f t="shared" si="91"/>
        <v>100.70137176108622</v>
      </c>
      <c r="V144" s="1080">
        <f t="shared" si="91"/>
        <v>100.518250388741</v>
      </c>
      <c r="W144" s="1080">
        <f t="shared" si="91"/>
        <v>100.40291761291219</v>
      </c>
      <c r="X144" s="1080">
        <f t="shared" si="91"/>
        <v>100.32884125869501</v>
      </c>
      <c r="Y144" s="1080">
        <f t="shared" si="91"/>
        <v>100.26539877136038</v>
      </c>
      <c r="Z144" s="1080">
        <f t="shared" si="91"/>
        <v>100.24266074406691</v>
      </c>
      <c r="AA144" s="1080">
        <f t="shared" si="91"/>
        <v>100.23645783122964</v>
      </c>
      <c r="AB144" s="1080">
        <f t="shared" si="91"/>
        <v>100.37471501444514</v>
      </c>
      <c r="AC144" s="1080">
        <f t="shared" si="91"/>
        <v>100.51297219766064</v>
      </c>
      <c r="AD144" s="1080">
        <f t="shared" si="91"/>
        <v>100.65122938087613</v>
      </c>
      <c r="AE144" s="1080">
        <f t="shared" si="91"/>
        <v>100.78948656409162</v>
      </c>
      <c r="AF144" s="1080">
        <f t="shared" si="91"/>
        <v>100.92774374730713</v>
      </c>
      <c r="AG144" s="1080">
        <f t="shared" si="91"/>
        <v>101.06600093052263</v>
      </c>
      <c r="AH144" s="1080">
        <f t="shared" si="91"/>
        <v>101.20425811373809</v>
      </c>
      <c r="AI144" s="1080">
        <f t="shared" si="91"/>
        <v>101.34251529695359</v>
      </c>
      <c r="AJ144" s="1080">
        <f t="shared" si="91"/>
        <v>101.48077248016905</v>
      </c>
      <c r="AK144" s="1080">
        <f t="shared" si="91"/>
        <v>101.61902966338455</v>
      </c>
      <c r="AL144" s="1080">
        <f t="shared" si="91"/>
        <v>101.75728684660005</v>
      </c>
      <c r="AM144" s="1080">
        <f t="shared" si="91"/>
        <v>101.89554402981554</v>
      </c>
      <c r="AN144" s="1080">
        <f t="shared" si="91"/>
        <v>102.03380121303101</v>
      </c>
      <c r="AO144" s="1080">
        <f t="shared" si="91"/>
        <v>102.17205839624651</v>
      </c>
      <c r="AP144" s="1080">
        <f t="shared" si="91"/>
        <v>102.31031557946201</v>
      </c>
      <c r="AQ144" s="1080">
        <f t="shared" si="91"/>
        <v>102.44857276267751</v>
      </c>
      <c r="AR144" s="1080">
        <f t="shared" si="91"/>
        <v>102.58682994589297</v>
      </c>
      <c r="AS144" s="1080">
        <f t="shared" si="91"/>
        <v>102.72508712910849</v>
      </c>
      <c r="AT144" s="1080">
        <f t="shared" si="91"/>
        <v>102.86334431232396</v>
      </c>
      <c r="AU144" s="1080">
        <f t="shared" si="91"/>
        <v>103.00160149553948</v>
      </c>
      <c r="AV144" s="602"/>
      <c r="AW144" s="602"/>
      <c r="AX144" s="602"/>
      <c r="AY144" s="602"/>
      <c r="AZ144" s="602"/>
      <c r="BA144" s="602"/>
    </row>
    <row r="145" spans="2:53">
      <c r="B145" s="602"/>
      <c r="C145" s="602"/>
      <c r="D145" s="1077"/>
      <c r="E145" s="1077" t="s">
        <v>584</v>
      </c>
      <c r="F145" s="1046" t="str">
        <f>F144</f>
        <v>MKr19</v>
      </c>
      <c r="G145" s="1080">
        <f>G144*1.1</f>
        <v>146.52000000000001</v>
      </c>
      <c r="H145" s="1080">
        <f t="shared" ref="H145:AU145" si="92">H144+$E$184</f>
        <v>201.973753033598</v>
      </c>
      <c r="I145" s="1080">
        <f t="shared" si="92"/>
        <v>228.973753033598</v>
      </c>
      <c r="J145" s="1080">
        <f t="shared" si="92"/>
        <v>226.27375303359801</v>
      </c>
      <c r="K145" s="1080">
        <f t="shared" si="92"/>
        <v>200.77375303359801</v>
      </c>
      <c r="L145" s="1080">
        <f t="shared" si="92"/>
        <v>195.67375303359799</v>
      </c>
      <c r="M145" s="1080">
        <f t="shared" si="92"/>
        <v>174.073753033598</v>
      </c>
      <c r="N145" s="1080">
        <f t="shared" si="92"/>
        <v>174.37375303359798</v>
      </c>
      <c r="O145" s="1080">
        <f>O144+$E$184</f>
        <v>223.94030317914874</v>
      </c>
      <c r="P145" s="1080">
        <f t="shared" si="92"/>
        <v>166.45678675545938</v>
      </c>
      <c r="Q145" s="1080">
        <f t="shared" si="92"/>
        <v>163.86730299304477</v>
      </c>
      <c r="R145" s="1080">
        <f t="shared" si="92"/>
        <v>158.24962310991259</v>
      </c>
      <c r="S145" s="1080">
        <f t="shared" si="92"/>
        <v>161.96139889822368</v>
      </c>
      <c r="T145" s="1080">
        <f t="shared" si="92"/>
        <v>163.77681797222439</v>
      </c>
      <c r="U145" s="1080">
        <f t="shared" si="92"/>
        <v>164.37512479468421</v>
      </c>
      <c r="V145" s="1080">
        <f t="shared" si="92"/>
        <v>164.19200342233898</v>
      </c>
      <c r="W145" s="1080">
        <f t="shared" si="92"/>
        <v>164.07667064651019</v>
      </c>
      <c r="X145" s="1080">
        <f t="shared" si="92"/>
        <v>164.002594292293</v>
      </c>
      <c r="Y145" s="1080">
        <f t="shared" si="92"/>
        <v>163.93915180495839</v>
      </c>
      <c r="Z145" s="1080">
        <f t="shared" si="92"/>
        <v>163.9164137776649</v>
      </c>
      <c r="AA145" s="1080">
        <f t="shared" si="92"/>
        <v>163.91021086482763</v>
      </c>
      <c r="AB145" s="1080">
        <f t="shared" si="92"/>
        <v>164.04846804804313</v>
      </c>
      <c r="AC145" s="1080">
        <f t="shared" si="92"/>
        <v>164.18672523125863</v>
      </c>
      <c r="AD145" s="1080">
        <f t="shared" si="92"/>
        <v>164.32498241447414</v>
      </c>
      <c r="AE145" s="1080">
        <f t="shared" si="92"/>
        <v>164.46323959768961</v>
      </c>
      <c r="AF145" s="1080">
        <f t="shared" si="92"/>
        <v>164.60149678090514</v>
      </c>
      <c r="AG145" s="1080">
        <f t="shared" si="92"/>
        <v>164.73975396412064</v>
      </c>
      <c r="AH145" s="1080">
        <f t="shared" si="92"/>
        <v>164.87801114733608</v>
      </c>
      <c r="AI145" s="1080">
        <f t="shared" si="92"/>
        <v>165.01626833055158</v>
      </c>
      <c r="AJ145" s="1080">
        <f t="shared" si="92"/>
        <v>165.15452551376706</v>
      </c>
      <c r="AK145" s="1080">
        <f t="shared" si="92"/>
        <v>165.29278269698256</v>
      </c>
      <c r="AL145" s="1080">
        <f t="shared" si="92"/>
        <v>165.43103988019806</v>
      </c>
      <c r="AM145" s="1080">
        <f t="shared" si="92"/>
        <v>165.56929706341353</v>
      </c>
      <c r="AN145" s="1080">
        <f t="shared" si="92"/>
        <v>165.707554246629</v>
      </c>
      <c r="AO145" s="1080">
        <f t="shared" si="92"/>
        <v>165.8458114298445</v>
      </c>
      <c r="AP145" s="1080">
        <f t="shared" si="92"/>
        <v>165.98406861306</v>
      </c>
      <c r="AQ145" s="1080">
        <f t="shared" si="92"/>
        <v>166.1223257962755</v>
      </c>
      <c r="AR145" s="1080">
        <f t="shared" si="92"/>
        <v>166.26058297949098</v>
      </c>
      <c r="AS145" s="1080">
        <f t="shared" si="92"/>
        <v>166.39884016270648</v>
      </c>
      <c r="AT145" s="1080">
        <f t="shared" si="92"/>
        <v>166.53709734592195</v>
      </c>
      <c r="AU145" s="1080">
        <f t="shared" si="92"/>
        <v>166.67535452913748</v>
      </c>
      <c r="AV145" s="602"/>
      <c r="AW145" s="602"/>
      <c r="AX145" s="602"/>
      <c r="AY145" s="602"/>
      <c r="AZ145" s="602"/>
      <c r="BA145" s="602"/>
    </row>
    <row r="146" spans="2:53">
      <c r="B146" s="602"/>
      <c r="C146" s="602"/>
      <c r="D146" s="1077"/>
      <c r="E146" s="1077" t="s">
        <v>765</v>
      </c>
      <c r="F146" s="1046" t="str">
        <f>F145</f>
        <v>MKr19</v>
      </c>
      <c r="G146" s="1080">
        <f>G145*2</f>
        <v>293.04000000000002</v>
      </c>
      <c r="H146" s="1080">
        <f t="shared" ref="H146:AU147" si="93">H145*2</f>
        <v>403.947506067196</v>
      </c>
      <c r="I146" s="1080">
        <f t="shared" si="93"/>
        <v>457.947506067196</v>
      </c>
      <c r="J146" s="1080">
        <f t="shared" si="93"/>
        <v>452.54750606719603</v>
      </c>
      <c r="K146" s="1080">
        <f t="shared" si="93"/>
        <v>401.54750606719603</v>
      </c>
      <c r="L146" s="1080">
        <f t="shared" si="93"/>
        <v>391.34750606719598</v>
      </c>
      <c r="M146" s="1080">
        <f t="shared" si="93"/>
        <v>348.14750606719599</v>
      </c>
      <c r="N146" s="1080">
        <f t="shared" si="93"/>
        <v>348.74750606719596</v>
      </c>
      <c r="O146" s="1080">
        <f t="shared" si="93"/>
        <v>447.88060635829748</v>
      </c>
      <c r="P146" s="1080">
        <f t="shared" si="93"/>
        <v>332.91357351091875</v>
      </c>
      <c r="Q146" s="1080">
        <f t="shared" si="93"/>
        <v>327.73460598608955</v>
      </c>
      <c r="R146" s="1080">
        <f t="shared" si="93"/>
        <v>316.49924621982518</v>
      </c>
      <c r="S146" s="1080">
        <f t="shared" si="93"/>
        <v>323.92279779644736</v>
      </c>
      <c r="T146" s="1080">
        <f t="shared" si="93"/>
        <v>327.55363594444879</v>
      </c>
      <c r="U146" s="1080">
        <f t="shared" si="93"/>
        <v>328.75024958936842</v>
      </c>
      <c r="V146" s="1080">
        <f t="shared" si="93"/>
        <v>328.38400684467797</v>
      </c>
      <c r="W146" s="1080">
        <f t="shared" si="93"/>
        <v>328.15334129302039</v>
      </c>
      <c r="X146" s="1080">
        <f t="shared" si="93"/>
        <v>328.00518858458599</v>
      </c>
      <c r="Y146" s="1080">
        <f t="shared" si="93"/>
        <v>327.87830360991677</v>
      </c>
      <c r="Z146" s="1080">
        <f t="shared" si="93"/>
        <v>327.8328275553298</v>
      </c>
      <c r="AA146" s="1080">
        <f t="shared" si="93"/>
        <v>327.82042172965527</v>
      </c>
      <c r="AB146" s="1080">
        <f t="shared" si="93"/>
        <v>328.09693609608627</v>
      </c>
      <c r="AC146" s="1080">
        <f t="shared" si="93"/>
        <v>328.37345046251727</v>
      </c>
      <c r="AD146" s="1080">
        <f t="shared" si="93"/>
        <v>328.64996482894827</v>
      </c>
      <c r="AE146" s="1080">
        <f t="shared" si="93"/>
        <v>328.92647919537922</v>
      </c>
      <c r="AF146" s="1080">
        <f t="shared" si="93"/>
        <v>329.20299356181027</v>
      </c>
      <c r="AG146" s="1080">
        <f t="shared" si="93"/>
        <v>329.47950792824128</v>
      </c>
      <c r="AH146" s="1080">
        <f t="shared" si="93"/>
        <v>329.75602229467216</v>
      </c>
      <c r="AI146" s="1080">
        <f t="shared" si="93"/>
        <v>330.03253666110317</v>
      </c>
      <c r="AJ146" s="1080">
        <f t="shared" si="93"/>
        <v>330.30905102753411</v>
      </c>
      <c r="AK146" s="1080">
        <f t="shared" si="93"/>
        <v>330.58556539396511</v>
      </c>
      <c r="AL146" s="1080">
        <f t="shared" si="93"/>
        <v>330.86207976039611</v>
      </c>
      <c r="AM146" s="1080">
        <f t="shared" si="93"/>
        <v>331.13859412682706</v>
      </c>
      <c r="AN146" s="1080">
        <f t="shared" si="93"/>
        <v>331.415108493258</v>
      </c>
      <c r="AO146" s="1080">
        <f t="shared" si="93"/>
        <v>331.69162285968901</v>
      </c>
      <c r="AP146" s="1080">
        <f t="shared" si="93"/>
        <v>331.96813722612001</v>
      </c>
      <c r="AQ146" s="1080">
        <f t="shared" si="93"/>
        <v>332.24465159255101</v>
      </c>
      <c r="AR146" s="1080">
        <f t="shared" si="93"/>
        <v>332.52116595898195</v>
      </c>
      <c r="AS146" s="1080">
        <f t="shared" si="93"/>
        <v>332.79768032541295</v>
      </c>
      <c r="AT146" s="1080">
        <f t="shared" si="93"/>
        <v>333.0741946918439</v>
      </c>
      <c r="AU146" s="1080">
        <f t="shared" si="93"/>
        <v>333.35070905827496</v>
      </c>
      <c r="AV146" s="602"/>
      <c r="AW146" s="602"/>
      <c r="AX146" s="602"/>
      <c r="AY146" s="602"/>
      <c r="AZ146" s="602"/>
      <c r="BA146" s="602"/>
    </row>
    <row r="147" spans="2:53">
      <c r="B147" s="602"/>
      <c r="C147" s="602"/>
      <c r="D147" s="1077"/>
      <c r="E147" s="1077" t="s">
        <v>755</v>
      </c>
      <c r="F147" s="1046" t="s">
        <v>206</v>
      </c>
      <c r="G147" s="1080">
        <f>G146*2</f>
        <v>586.08000000000004</v>
      </c>
      <c r="H147" s="1080">
        <f>H146*2</f>
        <v>807.895012134392</v>
      </c>
      <c r="I147" s="1080">
        <f t="shared" si="93"/>
        <v>915.895012134392</v>
      </c>
      <c r="J147" s="1080">
        <f t="shared" si="93"/>
        <v>905.09501213439205</v>
      </c>
      <c r="K147" s="1080">
        <f t="shared" si="93"/>
        <v>803.09501213439205</v>
      </c>
      <c r="L147" s="1080">
        <f t="shared" si="93"/>
        <v>782.69501213439196</v>
      </c>
      <c r="M147" s="1080">
        <f t="shared" si="93"/>
        <v>696.29501213439198</v>
      </c>
      <c r="N147" s="1080">
        <f t="shared" si="93"/>
        <v>697.49501213439191</v>
      </c>
      <c r="O147" s="1080">
        <f t="shared" si="93"/>
        <v>895.76121271659497</v>
      </c>
      <c r="P147" s="1080">
        <f t="shared" si="93"/>
        <v>665.8271470218375</v>
      </c>
      <c r="Q147" s="1080">
        <f t="shared" si="93"/>
        <v>655.4692119721791</v>
      </c>
      <c r="R147" s="1080">
        <f t="shared" si="93"/>
        <v>632.99849243965036</v>
      </c>
      <c r="S147" s="1080">
        <f t="shared" si="93"/>
        <v>647.84559559289471</v>
      </c>
      <c r="T147" s="1080">
        <f t="shared" si="93"/>
        <v>655.10727188889757</v>
      </c>
      <c r="U147" s="1080">
        <f t="shared" si="93"/>
        <v>657.50049917873685</v>
      </c>
      <c r="V147" s="1080">
        <f t="shared" si="93"/>
        <v>656.76801368935594</v>
      </c>
      <c r="W147" s="1080">
        <f t="shared" si="93"/>
        <v>656.30668258604078</v>
      </c>
      <c r="X147" s="1080">
        <f t="shared" si="93"/>
        <v>656.01037716917199</v>
      </c>
      <c r="Y147" s="1080">
        <f t="shared" si="93"/>
        <v>655.75660721983354</v>
      </c>
      <c r="Z147" s="1080">
        <f t="shared" si="93"/>
        <v>655.6656551106596</v>
      </c>
      <c r="AA147" s="1080">
        <f t="shared" si="93"/>
        <v>655.64084345931053</v>
      </c>
      <c r="AB147" s="1080">
        <f t="shared" si="93"/>
        <v>656.19387219217253</v>
      </c>
      <c r="AC147" s="1080">
        <f t="shared" si="93"/>
        <v>656.74690092503454</v>
      </c>
      <c r="AD147" s="1080">
        <f t="shared" si="93"/>
        <v>657.29992965789654</v>
      </c>
      <c r="AE147" s="1080">
        <f t="shared" si="93"/>
        <v>657.85295839075843</v>
      </c>
      <c r="AF147" s="1080">
        <f t="shared" si="93"/>
        <v>658.40598712362055</v>
      </c>
      <c r="AG147" s="1080">
        <f t="shared" si="93"/>
        <v>658.95901585648255</v>
      </c>
      <c r="AH147" s="1080">
        <f t="shared" si="93"/>
        <v>659.51204458934433</v>
      </c>
      <c r="AI147" s="1080">
        <f t="shared" si="93"/>
        <v>660.06507332220633</v>
      </c>
      <c r="AJ147" s="1080">
        <f t="shared" si="93"/>
        <v>660.61810205506822</v>
      </c>
      <c r="AK147" s="1080">
        <f t="shared" si="93"/>
        <v>661.17113078793022</v>
      </c>
      <c r="AL147" s="1080">
        <f t="shared" si="93"/>
        <v>661.72415952079223</v>
      </c>
      <c r="AM147" s="1080">
        <f t="shared" si="93"/>
        <v>662.27718825365412</v>
      </c>
      <c r="AN147" s="1080">
        <f t="shared" si="93"/>
        <v>662.83021698651601</v>
      </c>
      <c r="AO147" s="1080">
        <f t="shared" si="93"/>
        <v>663.38324571937801</v>
      </c>
      <c r="AP147" s="1080">
        <f t="shared" si="93"/>
        <v>663.93627445224001</v>
      </c>
      <c r="AQ147" s="1080">
        <f t="shared" si="93"/>
        <v>664.48930318510202</v>
      </c>
      <c r="AR147" s="1080">
        <f t="shared" si="93"/>
        <v>665.04233191796391</v>
      </c>
      <c r="AS147" s="1080">
        <f t="shared" si="93"/>
        <v>665.59536065082591</v>
      </c>
      <c r="AT147" s="1080">
        <f t="shared" si="93"/>
        <v>666.1483893836878</v>
      </c>
      <c r="AU147" s="1080">
        <f t="shared" si="93"/>
        <v>666.70141811654992</v>
      </c>
      <c r="AV147" s="602"/>
      <c r="AW147" s="602"/>
      <c r="AX147" s="602"/>
      <c r="AY147" s="602"/>
      <c r="AZ147" s="602"/>
      <c r="BA147" s="602"/>
    </row>
    <row r="148" spans="2:53">
      <c r="B148" s="602"/>
      <c r="C148" s="602"/>
      <c r="D148" s="1077"/>
      <c r="E148" s="1077" t="s">
        <v>757</v>
      </c>
      <c r="F148" s="1046" t="s">
        <v>206</v>
      </c>
      <c r="G148" s="1080">
        <f>G147</f>
        <v>586.08000000000004</v>
      </c>
      <c r="H148" s="1080">
        <f t="shared" ref="H148:AU148" si="94">H147</f>
        <v>807.895012134392</v>
      </c>
      <c r="I148" s="1080">
        <f t="shared" si="94"/>
        <v>915.895012134392</v>
      </c>
      <c r="J148" s="1080">
        <f t="shared" si="94"/>
        <v>905.09501213439205</v>
      </c>
      <c r="K148" s="1080">
        <f t="shared" si="94"/>
        <v>803.09501213439205</v>
      </c>
      <c r="L148" s="1080">
        <f t="shared" si="94"/>
        <v>782.69501213439196</v>
      </c>
      <c r="M148" s="1080">
        <f t="shared" si="94"/>
        <v>696.29501213439198</v>
      </c>
      <c r="N148" s="1080">
        <f t="shared" si="94"/>
        <v>697.49501213439191</v>
      </c>
      <c r="O148" s="1080">
        <f t="shared" si="94"/>
        <v>895.76121271659497</v>
      </c>
      <c r="P148" s="1080">
        <f t="shared" si="94"/>
        <v>665.8271470218375</v>
      </c>
      <c r="Q148" s="1080">
        <f t="shared" si="94"/>
        <v>655.4692119721791</v>
      </c>
      <c r="R148" s="1080">
        <f t="shared" si="94"/>
        <v>632.99849243965036</v>
      </c>
      <c r="S148" s="1080">
        <f t="shared" si="94"/>
        <v>647.84559559289471</v>
      </c>
      <c r="T148" s="1080">
        <f t="shared" si="94"/>
        <v>655.10727188889757</v>
      </c>
      <c r="U148" s="1080">
        <f t="shared" si="94"/>
        <v>657.50049917873685</v>
      </c>
      <c r="V148" s="1080">
        <f t="shared" si="94"/>
        <v>656.76801368935594</v>
      </c>
      <c r="W148" s="1080">
        <f t="shared" si="94"/>
        <v>656.30668258604078</v>
      </c>
      <c r="X148" s="1080">
        <f t="shared" si="94"/>
        <v>656.01037716917199</v>
      </c>
      <c r="Y148" s="1080">
        <f t="shared" si="94"/>
        <v>655.75660721983354</v>
      </c>
      <c r="Z148" s="1080">
        <f t="shared" si="94"/>
        <v>655.6656551106596</v>
      </c>
      <c r="AA148" s="1080">
        <f t="shared" si="94"/>
        <v>655.64084345931053</v>
      </c>
      <c r="AB148" s="1080">
        <f t="shared" si="94"/>
        <v>656.19387219217253</v>
      </c>
      <c r="AC148" s="1080">
        <f t="shared" si="94"/>
        <v>656.74690092503454</v>
      </c>
      <c r="AD148" s="1080">
        <f t="shared" si="94"/>
        <v>657.29992965789654</v>
      </c>
      <c r="AE148" s="1080">
        <f t="shared" si="94"/>
        <v>657.85295839075843</v>
      </c>
      <c r="AF148" s="1080">
        <f t="shared" si="94"/>
        <v>658.40598712362055</v>
      </c>
      <c r="AG148" s="1080">
        <f t="shared" si="94"/>
        <v>658.95901585648255</v>
      </c>
      <c r="AH148" s="1080">
        <f t="shared" si="94"/>
        <v>659.51204458934433</v>
      </c>
      <c r="AI148" s="1080">
        <f t="shared" si="94"/>
        <v>660.06507332220633</v>
      </c>
      <c r="AJ148" s="1080">
        <f t="shared" si="94"/>
        <v>660.61810205506822</v>
      </c>
      <c r="AK148" s="1080">
        <f t="shared" si="94"/>
        <v>661.17113078793022</v>
      </c>
      <c r="AL148" s="1080">
        <f t="shared" si="94"/>
        <v>661.72415952079223</v>
      </c>
      <c r="AM148" s="1080">
        <f t="shared" si="94"/>
        <v>662.27718825365412</v>
      </c>
      <c r="AN148" s="1080">
        <f t="shared" si="94"/>
        <v>662.83021698651601</v>
      </c>
      <c r="AO148" s="1080">
        <f t="shared" si="94"/>
        <v>663.38324571937801</v>
      </c>
      <c r="AP148" s="1080">
        <f t="shared" si="94"/>
        <v>663.93627445224001</v>
      </c>
      <c r="AQ148" s="1080">
        <f t="shared" si="94"/>
        <v>664.48930318510202</v>
      </c>
      <c r="AR148" s="1080">
        <f t="shared" si="94"/>
        <v>665.04233191796391</v>
      </c>
      <c r="AS148" s="1080">
        <f t="shared" si="94"/>
        <v>665.59536065082591</v>
      </c>
      <c r="AT148" s="1080">
        <f t="shared" si="94"/>
        <v>666.1483893836878</v>
      </c>
      <c r="AU148" s="1080">
        <f t="shared" si="94"/>
        <v>666.70141811654992</v>
      </c>
      <c r="AV148" s="602"/>
      <c r="AW148" s="602"/>
      <c r="AX148" s="602"/>
      <c r="AY148" s="602"/>
      <c r="AZ148" s="602"/>
      <c r="BA148" s="602"/>
    </row>
    <row r="149" spans="2:53">
      <c r="B149" s="602"/>
      <c r="C149" s="602"/>
      <c r="D149" s="1077"/>
      <c r="E149" s="1077" t="s">
        <v>192</v>
      </c>
      <c r="F149" s="1046" t="str">
        <f>F144</f>
        <v>MKr19</v>
      </c>
      <c r="G149" s="1080">
        <f>G144</f>
        <v>133.19999999999999</v>
      </c>
      <c r="H149" s="1080">
        <f t="shared" ref="H149:AU149" si="95">H144</f>
        <v>138.30000000000001</v>
      </c>
      <c r="I149" s="1080">
        <f t="shared" si="95"/>
        <v>165.3</v>
      </c>
      <c r="J149" s="1080">
        <f t="shared" si="95"/>
        <v>162.60000000000002</v>
      </c>
      <c r="K149" s="1080">
        <f t="shared" si="95"/>
        <v>137.10000000000002</v>
      </c>
      <c r="L149" s="1080">
        <f t="shared" si="95"/>
        <v>132</v>
      </c>
      <c r="M149" s="1080">
        <f t="shared" si="95"/>
        <v>110.39999999999999</v>
      </c>
      <c r="N149" s="1080">
        <f t="shared" si="95"/>
        <v>110.69999999999999</v>
      </c>
      <c r="O149" s="1080">
        <f t="shared" si="95"/>
        <v>160.26655014555075</v>
      </c>
      <c r="P149" s="1080">
        <f t="shared" si="95"/>
        <v>102.78303372186139</v>
      </c>
      <c r="Q149" s="1080">
        <f t="shared" si="95"/>
        <v>100.19354995944677</v>
      </c>
      <c r="R149" s="1080">
        <f t="shared" si="95"/>
        <v>94.575870076314601</v>
      </c>
      <c r="S149" s="1080">
        <f t="shared" si="95"/>
        <v>98.287645864625688</v>
      </c>
      <c r="T149" s="1080">
        <f t="shared" si="95"/>
        <v>100.1030649386264</v>
      </c>
      <c r="U149" s="1080">
        <f t="shared" si="95"/>
        <v>100.70137176108622</v>
      </c>
      <c r="V149" s="1080">
        <f t="shared" si="95"/>
        <v>100.518250388741</v>
      </c>
      <c r="W149" s="1080">
        <f t="shared" si="95"/>
        <v>100.40291761291219</v>
      </c>
      <c r="X149" s="1080">
        <f t="shared" si="95"/>
        <v>100.32884125869501</v>
      </c>
      <c r="Y149" s="1080">
        <f t="shared" si="95"/>
        <v>100.26539877136038</v>
      </c>
      <c r="Z149" s="1080">
        <f t="shared" si="95"/>
        <v>100.24266074406691</v>
      </c>
      <c r="AA149" s="1080">
        <f t="shared" si="95"/>
        <v>100.23645783122964</v>
      </c>
      <c r="AB149" s="1080">
        <f t="shared" si="95"/>
        <v>100.37471501444514</v>
      </c>
      <c r="AC149" s="1080">
        <f t="shared" si="95"/>
        <v>100.51297219766064</v>
      </c>
      <c r="AD149" s="1080">
        <f t="shared" si="95"/>
        <v>100.65122938087613</v>
      </c>
      <c r="AE149" s="1080">
        <f t="shared" si="95"/>
        <v>100.78948656409162</v>
      </c>
      <c r="AF149" s="1080">
        <f t="shared" si="95"/>
        <v>100.92774374730713</v>
      </c>
      <c r="AG149" s="1080">
        <f t="shared" si="95"/>
        <v>101.06600093052263</v>
      </c>
      <c r="AH149" s="1080">
        <f t="shared" si="95"/>
        <v>101.20425811373809</v>
      </c>
      <c r="AI149" s="1080">
        <f t="shared" si="95"/>
        <v>101.34251529695359</v>
      </c>
      <c r="AJ149" s="1080">
        <f t="shared" si="95"/>
        <v>101.48077248016905</v>
      </c>
      <c r="AK149" s="1080">
        <f t="shared" si="95"/>
        <v>101.61902966338455</v>
      </c>
      <c r="AL149" s="1080">
        <f t="shared" si="95"/>
        <v>101.75728684660005</v>
      </c>
      <c r="AM149" s="1080">
        <f t="shared" si="95"/>
        <v>101.89554402981554</v>
      </c>
      <c r="AN149" s="1080">
        <f t="shared" si="95"/>
        <v>102.03380121303101</v>
      </c>
      <c r="AO149" s="1080">
        <f t="shared" si="95"/>
        <v>102.17205839624651</v>
      </c>
      <c r="AP149" s="1080">
        <f t="shared" si="95"/>
        <v>102.31031557946201</v>
      </c>
      <c r="AQ149" s="1080">
        <f t="shared" si="95"/>
        <v>102.44857276267751</v>
      </c>
      <c r="AR149" s="1080">
        <f t="shared" si="95"/>
        <v>102.58682994589297</v>
      </c>
      <c r="AS149" s="1080">
        <f t="shared" si="95"/>
        <v>102.72508712910849</v>
      </c>
      <c r="AT149" s="1080">
        <f t="shared" si="95"/>
        <v>102.86334431232396</v>
      </c>
      <c r="AU149" s="1080">
        <f t="shared" si="95"/>
        <v>103.00160149553948</v>
      </c>
      <c r="AV149" s="602"/>
      <c r="AW149" s="602"/>
      <c r="AX149" s="602"/>
      <c r="AY149" s="602"/>
      <c r="AZ149" s="602"/>
      <c r="BA149" s="602"/>
    </row>
    <row r="150" spans="2:53">
      <c r="B150" s="602"/>
      <c r="C150" s="602"/>
      <c r="D150" s="1077"/>
      <c r="E150" s="1077" t="s">
        <v>736</v>
      </c>
      <c r="F150" s="1046" t="str">
        <f>F145</f>
        <v>MKr19</v>
      </c>
      <c r="G150" s="1080">
        <f t="shared" ref="G150:AU150" si="96">G143</f>
        <v>44.4</v>
      </c>
      <c r="H150" s="1080">
        <f t="shared" si="96"/>
        <v>46.1</v>
      </c>
      <c r="I150" s="1080">
        <f t="shared" si="96"/>
        <v>55.1</v>
      </c>
      <c r="J150" s="1080">
        <f t="shared" si="96"/>
        <v>54.2</v>
      </c>
      <c r="K150" s="1080">
        <f t="shared" si="96"/>
        <v>45.7</v>
      </c>
      <c r="L150" s="1080">
        <f t="shared" si="96"/>
        <v>44</v>
      </c>
      <c r="M150" s="1080">
        <f t="shared" si="96"/>
        <v>36.799999999999997</v>
      </c>
      <c r="N150" s="1080">
        <f t="shared" si="96"/>
        <v>36.9</v>
      </c>
      <c r="O150" s="1080">
        <f>O143</f>
        <v>53.422183381850253</v>
      </c>
      <c r="P150" s="1080">
        <f t="shared" si="96"/>
        <v>34.261011240620462</v>
      </c>
      <c r="Q150" s="1080">
        <f t="shared" si="96"/>
        <v>33.397849986482257</v>
      </c>
      <c r="R150" s="1080">
        <f t="shared" si="96"/>
        <v>31.525290025438199</v>
      </c>
      <c r="S150" s="1080">
        <f t="shared" si="96"/>
        <v>32.762548621541896</v>
      </c>
      <c r="T150" s="1080">
        <f t="shared" si="96"/>
        <v>33.367688312875465</v>
      </c>
      <c r="U150" s="1080">
        <f t="shared" si="96"/>
        <v>33.567123920362071</v>
      </c>
      <c r="V150" s="1080">
        <f t="shared" si="96"/>
        <v>33.506083462913665</v>
      </c>
      <c r="W150" s="1080">
        <f t="shared" si="96"/>
        <v>33.467639204304064</v>
      </c>
      <c r="X150" s="1080">
        <f t="shared" si="96"/>
        <v>33.442947086231669</v>
      </c>
      <c r="Y150" s="1080">
        <f t="shared" si="96"/>
        <v>33.42179959045346</v>
      </c>
      <c r="Z150" s="1080">
        <f t="shared" si="96"/>
        <v>33.414220248022303</v>
      </c>
      <c r="AA150" s="1080">
        <f t="shared" si="96"/>
        <v>33.412152610409883</v>
      </c>
      <c r="AB150" s="1080">
        <f t="shared" si="96"/>
        <v>33.458238338148384</v>
      </c>
      <c r="AC150" s="1080">
        <f t="shared" si="96"/>
        <v>33.504324065886884</v>
      </c>
      <c r="AD150" s="1080">
        <f t="shared" si="96"/>
        <v>33.550409793625377</v>
      </c>
      <c r="AE150" s="1080">
        <f t="shared" si="96"/>
        <v>33.59649552136387</v>
      </c>
      <c r="AF150" s="1080">
        <f t="shared" si="96"/>
        <v>33.642581249102378</v>
      </c>
      <c r="AG150" s="1080">
        <f t="shared" si="96"/>
        <v>33.688666976840878</v>
      </c>
      <c r="AH150" s="1080">
        <f t="shared" si="96"/>
        <v>33.734752704579364</v>
      </c>
      <c r="AI150" s="1080">
        <f t="shared" si="96"/>
        <v>33.780838432317864</v>
      </c>
      <c r="AJ150" s="1080">
        <f t="shared" si="96"/>
        <v>33.82692416005635</v>
      </c>
      <c r="AK150" s="1080">
        <f t="shared" si="96"/>
        <v>33.873009887794851</v>
      </c>
      <c r="AL150" s="1080">
        <f t="shared" si="96"/>
        <v>33.919095615533351</v>
      </c>
      <c r="AM150" s="1080">
        <f t="shared" si="96"/>
        <v>33.965181343271844</v>
      </c>
      <c r="AN150" s="1080">
        <f t="shared" si="96"/>
        <v>34.011267071010337</v>
      </c>
      <c r="AO150" s="1080">
        <f t="shared" si="96"/>
        <v>34.057352798748838</v>
      </c>
      <c r="AP150" s="1080">
        <f t="shared" si="96"/>
        <v>34.103438526487338</v>
      </c>
      <c r="AQ150" s="1080">
        <f t="shared" si="96"/>
        <v>34.149524254225838</v>
      </c>
      <c r="AR150" s="1080">
        <f t="shared" si="96"/>
        <v>34.195609981964324</v>
      </c>
      <c r="AS150" s="1080">
        <f t="shared" si="96"/>
        <v>34.241695709702832</v>
      </c>
      <c r="AT150" s="1080">
        <f t="shared" si="96"/>
        <v>34.287781437441318</v>
      </c>
      <c r="AU150" s="1080">
        <f t="shared" si="96"/>
        <v>34.333867165179825</v>
      </c>
      <c r="AV150" s="602"/>
      <c r="AW150" s="602"/>
      <c r="AX150" s="602"/>
      <c r="AY150" s="602"/>
      <c r="AZ150" s="602"/>
      <c r="BA150" s="602"/>
    </row>
    <row r="151" spans="2:53">
      <c r="B151" s="602"/>
      <c r="C151" s="602"/>
      <c r="D151" s="1077"/>
      <c r="E151" s="1077" t="s">
        <v>73</v>
      </c>
      <c r="F151" s="1079" t="s">
        <v>1619</v>
      </c>
      <c r="G151" s="565">
        <f>G233</f>
        <v>46</v>
      </c>
      <c r="H151" s="565">
        <f t="shared" ref="H151:N151" si="97">H233</f>
        <v>46</v>
      </c>
      <c r="I151" s="565">
        <f t="shared" si="97"/>
        <v>46</v>
      </c>
      <c r="J151" s="565">
        <f t="shared" si="97"/>
        <v>45.7</v>
      </c>
      <c r="K151" s="565">
        <f t="shared" si="97"/>
        <v>45.3</v>
      </c>
      <c r="L151" s="565">
        <f t="shared" si="97"/>
        <v>44.9</v>
      </c>
      <c r="M151" s="565">
        <f t="shared" si="97"/>
        <v>45.4</v>
      </c>
      <c r="N151" s="565">
        <f t="shared" si="97"/>
        <v>45.9</v>
      </c>
      <c r="O151" s="1081">
        <f>VLOOKUP(O$121,$C$286:$O$318,12)</f>
        <v>45.179472202489855</v>
      </c>
      <c r="P151" s="1081">
        <f t="shared" ref="P151:AU151" si="98">VLOOKUP(P$121,$C$286:$O$318,12)</f>
        <v>45.117600562980392</v>
      </c>
      <c r="Q151" s="1081">
        <f t="shared" si="98"/>
        <v>45.248389703133633</v>
      </c>
      <c r="R151" s="1081">
        <f t="shared" si="98"/>
        <v>45.190250127598674</v>
      </c>
      <c r="S151" s="1081">
        <f t="shared" si="98"/>
        <v>45.392121473736516</v>
      </c>
      <c r="T151" s="1081">
        <f t="shared" si="98"/>
        <v>45.644433925671841</v>
      </c>
      <c r="U151" s="1081">
        <f t="shared" si="98"/>
        <v>45.923015098100862</v>
      </c>
      <c r="V151" s="1081">
        <f t="shared" si="98"/>
        <v>46.207001444406053</v>
      </c>
      <c r="W151" s="1081">
        <f t="shared" si="98"/>
        <v>46.419730980267232</v>
      </c>
      <c r="X151" s="1081">
        <f t="shared" si="98"/>
        <v>46.631059323825987</v>
      </c>
      <c r="Y151" s="1081">
        <f t="shared" si="98"/>
        <v>46.839924523073165</v>
      </c>
      <c r="Z151" s="1081">
        <f t="shared" si="98"/>
        <v>47.054043906757286</v>
      </c>
      <c r="AA151" s="1081">
        <f t="shared" si="98"/>
        <v>47.263106384197172</v>
      </c>
      <c r="AB151" s="1081">
        <f t="shared" si="98"/>
        <v>47.363169268373781</v>
      </c>
      <c r="AC151" s="1081">
        <f t="shared" si="98"/>
        <v>47.463048827686151</v>
      </c>
      <c r="AD151" s="1081">
        <f t="shared" si="98"/>
        <v>47.562746231205452</v>
      </c>
      <c r="AE151" s="1081">
        <f t="shared" si="98"/>
        <v>47.662262629564232</v>
      </c>
      <c r="AF151" s="1081">
        <f t="shared" si="98"/>
        <v>47.761599155151828</v>
      </c>
      <c r="AG151" s="1081">
        <f t="shared" si="98"/>
        <v>47.861557709026719</v>
      </c>
      <c r="AH151" s="1081">
        <f t="shared" si="98"/>
        <v>47.961224086497161</v>
      </c>
      <c r="AI151" s="1081">
        <f t="shared" si="98"/>
        <v>48.06060022028862</v>
      </c>
      <c r="AJ151" s="1081">
        <f t="shared" si="98"/>
        <v>48.159688016832391</v>
      </c>
      <c r="AK151" s="1081">
        <f t="shared" si="98"/>
        <v>48.258489356547372</v>
      </c>
      <c r="AL151" s="1081">
        <f t="shared" si="98"/>
        <v>48.37762671431922</v>
      </c>
      <c r="AM151" s="1081">
        <f t="shared" si="98"/>
        <v>48.496315696545963</v>
      </c>
      <c r="AN151" s="1081">
        <f t="shared" si="98"/>
        <v>48.614559135690349</v>
      </c>
      <c r="AO151" s="1081">
        <f t="shared" si="98"/>
        <v>48.73235982855357</v>
      </c>
      <c r="AP151" s="1081">
        <f t="shared" si="98"/>
        <v>48.849720536660548</v>
      </c>
      <c r="AQ151" s="1081">
        <f t="shared" si="98"/>
        <v>49.024574818868821</v>
      </c>
      <c r="AR151" s="1081">
        <f t="shared" si="98"/>
        <v>49.198719487894593</v>
      </c>
      <c r="AS151" s="1081">
        <f t="shared" si="98"/>
        <v>49.372158440659689</v>
      </c>
      <c r="AT151" s="1081">
        <f t="shared" si="98"/>
        <v>49.544895527221009</v>
      </c>
      <c r="AU151" s="1081">
        <f t="shared" si="98"/>
        <v>49.716934551280723</v>
      </c>
      <c r="AV151" s="602"/>
      <c r="AW151" s="602"/>
      <c r="AX151" s="602"/>
      <c r="AY151" s="602"/>
      <c r="AZ151" s="602"/>
      <c r="BA151" s="602"/>
    </row>
    <row r="152" spans="2:53">
      <c r="B152" s="602"/>
      <c r="C152" s="602"/>
      <c r="D152" s="1077"/>
      <c r="E152" s="1077" t="s">
        <v>72</v>
      </c>
      <c r="F152" s="1079" t="s">
        <v>1619</v>
      </c>
      <c r="G152" s="565">
        <f>G242</f>
        <v>73.7</v>
      </c>
      <c r="H152" s="565">
        <f t="shared" ref="H152:N152" si="99">H242</f>
        <v>73.7</v>
      </c>
      <c r="I152" s="565">
        <f t="shared" si="99"/>
        <v>73.7</v>
      </c>
      <c r="J152" s="565">
        <f t="shared" si="99"/>
        <v>72.7</v>
      </c>
      <c r="K152" s="565">
        <f t="shared" si="99"/>
        <v>71.8</v>
      </c>
      <c r="L152" s="565">
        <f t="shared" si="99"/>
        <v>70.8</v>
      </c>
      <c r="M152" s="565">
        <f t="shared" si="99"/>
        <v>71.2</v>
      </c>
      <c r="N152" s="565">
        <f t="shared" si="99"/>
        <v>71.599999999999994</v>
      </c>
      <c r="O152" s="1081">
        <f>VLOOKUP(O$121,$C$286:$O$318,10)</f>
        <v>69.494890781791952</v>
      </c>
      <c r="P152" s="1081">
        <f t="shared" ref="P152:AU152" si="100">VLOOKUP(P$121,$C$286:$O$318,10)</f>
        <v>69.433019142282461</v>
      </c>
      <c r="Q152" s="1081">
        <f t="shared" si="100"/>
        <v>59.910194122791161</v>
      </c>
      <c r="R152" s="1081">
        <f t="shared" si="100"/>
        <v>62.854344413402906</v>
      </c>
      <c r="S152" s="1081">
        <f t="shared" si="100"/>
        <v>63.172513966646889</v>
      </c>
      <c r="T152" s="1081">
        <f t="shared" si="100"/>
        <v>62.478874618815077</v>
      </c>
      <c r="U152" s="1081">
        <f t="shared" si="100"/>
        <v>62.142339464339834</v>
      </c>
      <c r="V152" s="1081">
        <f t="shared" si="100"/>
        <v>61.840436911371611</v>
      </c>
      <c r="W152" s="1081">
        <f t="shared" si="100"/>
        <v>61.559038676176264</v>
      </c>
      <c r="X152" s="1081">
        <f t="shared" si="100"/>
        <v>61.304552221855602</v>
      </c>
      <c r="Y152" s="1081">
        <f t="shared" si="100"/>
        <v>61.075127920444082</v>
      </c>
      <c r="Z152" s="1081">
        <f t="shared" si="100"/>
        <v>60.879811326662022</v>
      </c>
      <c r="AA152" s="1081">
        <f t="shared" si="100"/>
        <v>60.705878120268423</v>
      </c>
      <c r="AB152" s="1081">
        <f t="shared" si="100"/>
        <v>60.70433047636952</v>
      </c>
      <c r="AC152" s="1081">
        <f t="shared" si="100"/>
        <v>60.702548817291905</v>
      </c>
      <c r="AD152" s="1081">
        <f t="shared" si="100"/>
        <v>60.700536499539886</v>
      </c>
      <c r="AE152" s="1081">
        <f t="shared" si="100"/>
        <v>60.698296822060883</v>
      </c>
      <c r="AF152" s="1081">
        <f t="shared" si="100"/>
        <v>60.695833026853684</v>
      </c>
      <c r="AG152" s="1081">
        <f t="shared" si="100"/>
        <v>60.689945389690699</v>
      </c>
      <c r="AH152" s="1081">
        <f t="shared" si="100"/>
        <v>60.683892039969457</v>
      </c>
      <c r="AI152" s="1081">
        <f t="shared" si="100"/>
        <v>60.677675969854107</v>
      </c>
      <c r="AJ152" s="1081">
        <f t="shared" si="100"/>
        <v>60.671300113152753</v>
      </c>
      <c r="AK152" s="1081">
        <f t="shared" si="100"/>
        <v>60.664767346129707</v>
      </c>
      <c r="AL152" s="1081">
        <f t="shared" si="100"/>
        <v>60.675957923099851</v>
      </c>
      <c r="AM152" s="1081">
        <f t="shared" si="100"/>
        <v>60.68702193291076</v>
      </c>
      <c r="AN152" s="1081">
        <f t="shared" si="100"/>
        <v>60.697960969252613</v>
      </c>
      <c r="AO152" s="1081">
        <f t="shared" si="100"/>
        <v>60.70877659234629</v>
      </c>
      <c r="AP152" s="1081">
        <f t="shared" si="100"/>
        <v>60.719470329291362</v>
      </c>
      <c r="AQ152" s="1081">
        <f t="shared" si="100"/>
        <v>60.774302670903623</v>
      </c>
      <c r="AR152" s="1081">
        <f t="shared" si="100"/>
        <v>60.828784329157571</v>
      </c>
      <c r="AS152" s="1081">
        <f t="shared" si="100"/>
        <v>60.882916997101603</v>
      </c>
      <c r="AT152" s="1081">
        <f t="shared" si="100"/>
        <v>60.936702331670006</v>
      </c>
      <c r="AU152" s="1081">
        <f t="shared" si="100"/>
        <v>60.990141954059872</v>
      </c>
      <c r="AV152" s="602"/>
      <c r="AW152" s="602"/>
      <c r="AX152" s="602"/>
      <c r="AY152" s="602"/>
      <c r="AZ152" s="602"/>
      <c r="BA152" s="602"/>
    </row>
    <row r="153" spans="2:53">
      <c r="B153" s="602"/>
      <c r="C153" s="602"/>
      <c r="D153" s="1077"/>
      <c r="E153" s="1077" t="s">
        <v>43</v>
      </c>
      <c r="F153" s="1079" t="s">
        <v>1619</v>
      </c>
      <c r="G153" s="1080">
        <f>G245</f>
        <v>41.5</v>
      </c>
      <c r="H153" s="1080">
        <f t="shared" ref="H153:N153" si="101">H245</f>
        <v>41.5</v>
      </c>
      <c r="I153" s="1080">
        <f t="shared" si="101"/>
        <v>41.5</v>
      </c>
      <c r="J153" s="1080">
        <f t="shared" si="101"/>
        <v>41.2</v>
      </c>
      <c r="K153" s="1080">
        <f t="shared" si="101"/>
        <v>40.799999999999997</v>
      </c>
      <c r="L153" s="1080">
        <f t="shared" si="101"/>
        <v>40.5</v>
      </c>
      <c r="M153" s="1080">
        <f t="shared" si="101"/>
        <v>40.9</v>
      </c>
      <c r="N153" s="1080">
        <f t="shared" si="101"/>
        <v>41.4</v>
      </c>
      <c r="O153" s="1081">
        <f>VLOOKUP(O$121,$C$286:$O$318,13)</f>
        <v>41.634898055339931</v>
      </c>
      <c r="P153" s="1081">
        <f t="shared" ref="P153:AU153" si="102">VLOOKUP(P$121,$C$286:$O$318,13)</f>
        <v>41.634898055339931</v>
      </c>
      <c r="Q153" s="1081">
        <f t="shared" si="102"/>
        <v>41.962449107096752</v>
      </c>
      <c r="R153" s="1081">
        <f t="shared" si="102"/>
        <v>42.37591413450582</v>
      </c>
      <c r="S153" s="1081">
        <f t="shared" si="102"/>
        <v>42.791201303703261</v>
      </c>
      <c r="T153" s="1081">
        <f t="shared" si="102"/>
        <v>43.208184541451871</v>
      </c>
      <c r="U153" s="1081">
        <f t="shared" si="102"/>
        <v>43.626739530646304</v>
      </c>
      <c r="V153" s="1081">
        <f t="shared" si="102"/>
        <v>44.046743692103149</v>
      </c>
      <c r="W153" s="1081">
        <f t="shared" si="102"/>
        <v>44.303492323512977</v>
      </c>
      <c r="X153" s="1081">
        <f t="shared" si="102"/>
        <v>44.56044844066794</v>
      </c>
      <c r="Y153" s="1081">
        <f t="shared" si="102"/>
        <v>44.817607952103295</v>
      </c>
      <c r="Z153" s="1081">
        <f t="shared" si="102"/>
        <v>45.074966809344929</v>
      </c>
      <c r="AA153" s="1081">
        <f t="shared" si="102"/>
        <v>45.332521006394593</v>
      </c>
      <c r="AB153" s="1081">
        <f t="shared" si="102"/>
        <v>45.549544275390517</v>
      </c>
      <c r="AC153" s="1081">
        <f t="shared" si="102"/>
        <v>45.766845997017583</v>
      </c>
      <c r="AD153" s="1081">
        <f t="shared" si="102"/>
        <v>45.93621057509371</v>
      </c>
      <c r="AE153" s="1081">
        <f t="shared" si="102"/>
        <v>46.091987325464736</v>
      </c>
      <c r="AF153" s="1081">
        <f t="shared" si="102"/>
        <v>46.247727566987081</v>
      </c>
      <c r="AG153" s="1081">
        <f t="shared" si="102"/>
        <v>46.390503884981669</v>
      </c>
      <c r="AH153" s="1081">
        <f t="shared" si="102"/>
        <v>46.533237561648519</v>
      </c>
      <c r="AI153" s="1081">
        <f t="shared" si="102"/>
        <v>46.675927978934773</v>
      </c>
      <c r="AJ153" s="1081">
        <f t="shared" si="102"/>
        <v>46.818574524689666</v>
      </c>
      <c r="AK153" s="1081">
        <f t="shared" si="102"/>
        <v>46.961176592602918</v>
      </c>
      <c r="AL153" s="1081">
        <f t="shared" si="102"/>
        <v>46.961176592602918</v>
      </c>
      <c r="AM153" s="1081">
        <f t="shared" si="102"/>
        <v>46.961176592602918</v>
      </c>
      <c r="AN153" s="1081">
        <f t="shared" si="102"/>
        <v>46.961176592602918</v>
      </c>
      <c r="AO153" s="1081">
        <f t="shared" si="102"/>
        <v>46.961176592602918</v>
      </c>
      <c r="AP153" s="1081">
        <f t="shared" si="102"/>
        <v>46.961176592602918</v>
      </c>
      <c r="AQ153" s="1081">
        <f t="shared" si="102"/>
        <v>46.961176592602918</v>
      </c>
      <c r="AR153" s="1081">
        <f t="shared" si="102"/>
        <v>46.961176592602918</v>
      </c>
      <c r="AS153" s="1081">
        <f t="shared" si="102"/>
        <v>46.961176592602918</v>
      </c>
      <c r="AT153" s="1081">
        <f t="shared" si="102"/>
        <v>46.961176592602918</v>
      </c>
      <c r="AU153" s="1081">
        <f t="shared" si="102"/>
        <v>46.961176592602918</v>
      </c>
      <c r="AV153" s="602"/>
      <c r="AW153" s="602"/>
      <c r="AX153" s="602"/>
      <c r="AY153" s="602"/>
      <c r="AZ153" s="602"/>
      <c r="BA153" s="602"/>
    </row>
    <row r="154" spans="2:53">
      <c r="B154" s="602"/>
      <c r="C154" s="602"/>
      <c r="D154" s="1077" t="s">
        <v>844</v>
      </c>
      <c r="E154" s="1077" t="s">
        <v>726</v>
      </c>
      <c r="F154" s="1046" t="s">
        <v>206</v>
      </c>
      <c r="G154" s="1080">
        <f>G153</f>
        <v>41.5</v>
      </c>
      <c r="H154" s="1080">
        <f t="shared" ref="H154:AU154" si="103">H153</f>
        <v>41.5</v>
      </c>
      <c r="I154" s="1080">
        <f t="shared" si="103"/>
        <v>41.5</v>
      </c>
      <c r="J154" s="1080">
        <f t="shared" si="103"/>
        <v>41.2</v>
      </c>
      <c r="K154" s="1080">
        <f t="shared" si="103"/>
        <v>40.799999999999997</v>
      </c>
      <c r="L154" s="1080">
        <f t="shared" si="103"/>
        <v>40.5</v>
      </c>
      <c r="M154" s="1080">
        <f t="shared" si="103"/>
        <v>40.9</v>
      </c>
      <c r="N154" s="1080">
        <f t="shared" si="103"/>
        <v>41.4</v>
      </c>
      <c r="O154" s="1080">
        <f t="shared" si="103"/>
        <v>41.634898055339931</v>
      </c>
      <c r="P154" s="1080">
        <f t="shared" si="103"/>
        <v>41.634898055339931</v>
      </c>
      <c r="Q154" s="1080">
        <f t="shared" si="103"/>
        <v>41.962449107096752</v>
      </c>
      <c r="R154" s="1080">
        <f t="shared" si="103"/>
        <v>42.37591413450582</v>
      </c>
      <c r="S154" s="1080">
        <f t="shared" si="103"/>
        <v>42.791201303703261</v>
      </c>
      <c r="T154" s="1080">
        <f t="shared" si="103"/>
        <v>43.208184541451871</v>
      </c>
      <c r="U154" s="1080">
        <f t="shared" si="103"/>
        <v>43.626739530646304</v>
      </c>
      <c r="V154" s="1080">
        <f t="shared" si="103"/>
        <v>44.046743692103149</v>
      </c>
      <c r="W154" s="1080">
        <f t="shared" si="103"/>
        <v>44.303492323512977</v>
      </c>
      <c r="X154" s="1080">
        <f t="shared" si="103"/>
        <v>44.56044844066794</v>
      </c>
      <c r="Y154" s="1080">
        <f t="shared" si="103"/>
        <v>44.817607952103295</v>
      </c>
      <c r="Z154" s="1080">
        <f t="shared" si="103"/>
        <v>45.074966809344929</v>
      </c>
      <c r="AA154" s="1080">
        <f t="shared" si="103"/>
        <v>45.332521006394593</v>
      </c>
      <c r="AB154" s="1080">
        <f t="shared" si="103"/>
        <v>45.549544275390517</v>
      </c>
      <c r="AC154" s="1080">
        <f t="shared" si="103"/>
        <v>45.766845997017583</v>
      </c>
      <c r="AD154" s="1080">
        <f t="shared" si="103"/>
        <v>45.93621057509371</v>
      </c>
      <c r="AE154" s="1080">
        <f t="shared" si="103"/>
        <v>46.091987325464736</v>
      </c>
      <c r="AF154" s="1080">
        <f t="shared" si="103"/>
        <v>46.247727566987081</v>
      </c>
      <c r="AG154" s="1080">
        <f t="shared" si="103"/>
        <v>46.390503884981669</v>
      </c>
      <c r="AH154" s="1080">
        <f t="shared" si="103"/>
        <v>46.533237561648519</v>
      </c>
      <c r="AI154" s="1080">
        <f t="shared" si="103"/>
        <v>46.675927978934773</v>
      </c>
      <c r="AJ154" s="1080">
        <f t="shared" si="103"/>
        <v>46.818574524689666</v>
      </c>
      <c r="AK154" s="1080">
        <f t="shared" si="103"/>
        <v>46.961176592602918</v>
      </c>
      <c r="AL154" s="1080">
        <f t="shared" si="103"/>
        <v>46.961176592602918</v>
      </c>
      <c r="AM154" s="1080">
        <f t="shared" si="103"/>
        <v>46.961176592602918</v>
      </c>
      <c r="AN154" s="1080">
        <f t="shared" si="103"/>
        <v>46.961176592602918</v>
      </c>
      <c r="AO154" s="1080">
        <f t="shared" si="103"/>
        <v>46.961176592602918</v>
      </c>
      <c r="AP154" s="1080">
        <f t="shared" si="103"/>
        <v>46.961176592602918</v>
      </c>
      <c r="AQ154" s="1080">
        <f t="shared" si="103"/>
        <v>46.961176592602918</v>
      </c>
      <c r="AR154" s="1080">
        <f t="shared" si="103"/>
        <v>46.961176592602918</v>
      </c>
      <c r="AS154" s="1080">
        <f t="shared" si="103"/>
        <v>46.961176592602918</v>
      </c>
      <c r="AT154" s="1080">
        <f t="shared" si="103"/>
        <v>46.961176592602918</v>
      </c>
      <c r="AU154" s="1080">
        <f t="shared" si="103"/>
        <v>46.961176592602918</v>
      </c>
      <c r="AV154" s="602"/>
      <c r="AW154" s="602"/>
      <c r="AX154" s="602"/>
      <c r="AY154" s="602"/>
      <c r="AZ154" s="602"/>
      <c r="BA154" s="602"/>
    </row>
    <row r="155" spans="2:53">
      <c r="B155" s="602"/>
      <c r="C155" s="602"/>
      <c r="D155" s="1077"/>
      <c r="E155" s="1077" t="s">
        <v>347</v>
      </c>
      <c r="F155" s="1046" t="s">
        <v>206</v>
      </c>
      <c r="G155" s="1080">
        <f t="shared" ref="G155:AU159" si="104">$E204</f>
        <v>72.400000000000006</v>
      </c>
      <c r="H155" s="1080">
        <f t="shared" si="104"/>
        <v>72.400000000000006</v>
      </c>
      <c r="I155" s="1080">
        <f t="shared" si="104"/>
        <v>72.400000000000006</v>
      </c>
      <c r="J155" s="1080">
        <f t="shared" si="104"/>
        <v>72.400000000000006</v>
      </c>
      <c r="K155" s="1080">
        <f t="shared" si="104"/>
        <v>72.400000000000006</v>
      </c>
      <c r="L155" s="1080">
        <f t="shared" si="104"/>
        <v>72.400000000000006</v>
      </c>
      <c r="M155" s="1080">
        <f t="shared" si="104"/>
        <v>72.400000000000006</v>
      </c>
      <c r="N155" s="1080">
        <f t="shared" si="104"/>
        <v>72.400000000000006</v>
      </c>
      <c r="O155" s="1080">
        <f t="shared" si="104"/>
        <v>72.400000000000006</v>
      </c>
      <c r="P155" s="1080">
        <f t="shared" si="104"/>
        <v>72.400000000000006</v>
      </c>
      <c r="Q155" s="1080">
        <f t="shared" si="104"/>
        <v>72.400000000000006</v>
      </c>
      <c r="R155" s="1080">
        <f t="shared" si="104"/>
        <v>72.400000000000006</v>
      </c>
      <c r="S155" s="1080">
        <f t="shared" si="104"/>
        <v>72.400000000000006</v>
      </c>
      <c r="T155" s="1080">
        <f t="shared" si="104"/>
        <v>72.400000000000006</v>
      </c>
      <c r="U155" s="1080">
        <f t="shared" si="104"/>
        <v>72.400000000000006</v>
      </c>
      <c r="V155" s="1080">
        <f t="shared" si="104"/>
        <v>72.400000000000006</v>
      </c>
      <c r="W155" s="1080">
        <f t="shared" si="104"/>
        <v>72.400000000000006</v>
      </c>
      <c r="X155" s="1080">
        <f t="shared" si="104"/>
        <v>72.400000000000006</v>
      </c>
      <c r="Y155" s="1080">
        <f t="shared" si="104"/>
        <v>72.400000000000006</v>
      </c>
      <c r="Z155" s="1080">
        <f t="shared" si="104"/>
        <v>72.400000000000006</v>
      </c>
      <c r="AA155" s="1080">
        <f t="shared" si="104"/>
        <v>72.400000000000006</v>
      </c>
      <c r="AB155" s="1080">
        <f t="shared" si="104"/>
        <v>72.400000000000006</v>
      </c>
      <c r="AC155" s="1080">
        <f t="shared" si="104"/>
        <v>72.400000000000006</v>
      </c>
      <c r="AD155" s="1080">
        <f t="shared" si="104"/>
        <v>72.400000000000006</v>
      </c>
      <c r="AE155" s="1080">
        <f t="shared" si="104"/>
        <v>72.400000000000006</v>
      </c>
      <c r="AF155" s="1080">
        <f t="shared" si="104"/>
        <v>72.400000000000006</v>
      </c>
      <c r="AG155" s="1080">
        <f t="shared" si="104"/>
        <v>72.400000000000006</v>
      </c>
      <c r="AH155" s="1080">
        <f t="shared" si="104"/>
        <v>72.400000000000006</v>
      </c>
      <c r="AI155" s="1080">
        <f t="shared" si="104"/>
        <v>72.400000000000006</v>
      </c>
      <c r="AJ155" s="1080">
        <f t="shared" si="104"/>
        <v>72.400000000000006</v>
      </c>
      <c r="AK155" s="1080">
        <f t="shared" si="104"/>
        <v>72.400000000000006</v>
      </c>
      <c r="AL155" s="1080">
        <f t="shared" si="104"/>
        <v>72.400000000000006</v>
      </c>
      <c r="AM155" s="1080">
        <f t="shared" si="104"/>
        <v>72.400000000000006</v>
      </c>
      <c r="AN155" s="1080">
        <f t="shared" si="104"/>
        <v>72.400000000000006</v>
      </c>
      <c r="AO155" s="1080">
        <f t="shared" si="104"/>
        <v>72.400000000000006</v>
      </c>
      <c r="AP155" s="1080">
        <f t="shared" si="104"/>
        <v>72.400000000000006</v>
      </c>
      <c r="AQ155" s="1080">
        <f t="shared" si="104"/>
        <v>72.400000000000006</v>
      </c>
      <c r="AR155" s="1080">
        <f t="shared" si="104"/>
        <v>72.400000000000006</v>
      </c>
      <c r="AS155" s="1080">
        <f t="shared" si="104"/>
        <v>72.400000000000006</v>
      </c>
      <c r="AT155" s="1080">
        <f t="shared" si="104"/>
        <v>72.400000000000006</v>
      </c>
      <c r="AU155" s="1080">
        <f t="shared" si="104"/>
        <v>72.400000000000006</v>
      </c>
      <c r="AV155" s="602"/>
      <c r="AW155" s="602"/>
      <c r="AX155" s="602"/>
      <c r="AY155" s="602"/>
      <c r="AZ155" s="602"/>
      <c r="BA155" s="602"/>
    </row>
    <row r="156" spans="2:53">
      <c r="B156" s="602"/>
      <c r="C156" s="602"/>
      <c r="D156" s="1077"/>
      <c r="E156" s="1077" t="s">
        <v>349</v>
      </c>
      <c r="F156" s="1046" t="s">
        <v>206</v>
      </c>
      <c r="G156" s="1080">
        <f t="shared" si="104"/>
        <v>101.7</v>
      </c>
      <c r="H156" s="1080">
        <f t="shared" si="104"/>
        <v>101.7</v>
      </c>
      <c r="I156" s="1080">
        <f t="shared" si="104"/>
        <v>101.7</v>
      </c>
      <c r="J156" s="1080">
        <f t="shared" si="104"/>
        <v>101.7</v>
      </c>
      <c r="K156" s="1080">
        <f t="shared" si="104"/>
        <v>101.7</v>
      </c>
      <c r="L156" s="1080">
        <f t="shared" si="104"/>
        <v>101.7</v>
      </c>
      <c r="M156" s="1080">
        <f t="shared" si="104"/>
        <v>101.7</v>
      </c>
      <c r="N156" s="1080">
        <f t="shared" si="104"/>
        <v>101.7</v>
      </c>
      <c r="O156" s="1080">
        <f t="shared" si="104"/>
        <v>101.7</v>
      </c>
      <c r="P156" s="1080">
        <f t="shared" si="104"/>
        <v>101.7</v>
      </c>
      <c r="Q156" s="1080">
        <f t="shared" si="104"/>
        <v>101.7</v>
      </c>
      <c r="R156" s="1080">
        <f t="shared" si="104"/>
        <v>101.7</v>
      </c>
      <c r="S156" s="1080">
        <f t="shared" si="104"/>
        <v>101.7</v>
      </c>
      <c r="T156" s="1080">
        <f t="shared" si="104"/>
        <v>101.7</v>
      </c>
      <c r="U156" s="1080">
        <f t="shared" si="104"/>
        <v>101.7</v>
      </c>
      <c r="V156" s="1080">
        <f t="shared" si="104"/>
        <v>101.7</v>
      </c>
      <c r="W156" s="1080">
        <f t="shared" si="104"/>
        <v>101.7</v>
      </c>
      <c r="X156" s="1080">
        <f t="shared" si="104"/>
        <v>101.7</v>
      </c>
      <c r="Y156" s="1080">
        <f t="shared" si="104"/>
        <v>101.7</v>
      </c>
      <c r="Z156" s="1080">
        <f t="shared" si="104"/>
        <v>101.7</v>
      </c>
      <c r="AA156" s="1080">
        <f t="shared" si="104"/>
        <v>101.7</v>
      </c>
      <c r="AB156" s="1080">
        <f t="shared" si="104"/>
        <v>101.7</v>
      </c>
      <c r="AC156" s="1080">
        <f t="shared" si="104"/>
        <v>101.7</v>
      </c>
      <c r="AD156" s="1080">
        <f t="shared" si="104"/>
        <v>101.7</v>
      </c>
      <c r="AE156" s="1080">
        <f t="shared" si="104"/>
        <v>101.7</v>
      </c>
      <c r="AF156" s="1080">
        <f t="shared" si="104"/>
        <v>101.7</v>
      </c>
      <c r="AG156" s="1080">
        <f t="shared" si="104"/>
        <v>101.7</v>
      </c>
      <c r="AH156" s="1080">
        <f t="shared" si="104"/>
        <v>101.7</v>
      </c>
      <c r="AI156" s="1080">
        <f t="shared" si="104"/>
        <v>101.7</v>
      </c>
      <c r="AJ156" s="1080">
        <f t="shared" si="104"/>
        <v>101.7</v>
      </c>
      <c r="AK156" s="1080">
        <f t="shared" si="104"/>
        <v>101.7</v>
      </c>
      <c r="AL156" s="1080">
        <f t="shared" si="104"/>
        <v>101.7</v>
      </c>
      <c r="AM156" s="1080">
        <f t="shared" si="104"/>
        <v>101.7</v>
      </c>
      <c r="AN156" s="1080">
        <f t="shared" si="104"/>
        <v>101.7</v>
      </c>
      <c r="AO156" s="1080">
        <f t="shared" si="104"/>
        <v>101.7</v>
      </c>
      <c r="AP156" s="1080">
        <f t="shared" si="104"/>
        <v>101.7</v>
      </c>
      <c r="AQ156" s="1080">
        <f t="shared" si="104"/>
        <v>101.7</v>
      </c>
      <c r="AR156" s="1080">
        <f t="shared" si="104"/>
        <v>101.7</v>
      </c>
      <c r="AS156" s="1080">
        <f t="shared" si="104"/>
        <v>101.7</v>
      </c>
      <c r="AT156" s="1080">
        <f t="shared" si="104"/>
        <v>101.7</v>
      </c>
      <c r="AU156" s="1080">
        <f t="shared" si="104"/>
        <v>101.7</v>
      </c>
      <c r="AV156" s="602"/>
      <c r="AW156" s="602"/>
      <c r="AX156" s="602"/>
      <c r="AY156" s="602"/>
      <c r="AZ156" s="602"/>
      <c r="BA156" s="602"/>
    </row>
    <row r="157" spans="2:53">
      <c r="B157" s="602"/>
      <c r="C157" s="602"/>
      <c r="D157" s="1077"/>
      <c r="E157" s="1077" t="s">
        <v>359</v>
      </c>
      <c r="F157" s="1046" t="s">
        <v>206</v>
      </c>
      <c r="G157" s="1080">
        <f t="shared" si="104"/>
        <v>10.6</v>
      </c>
      <c r="H157" s="1080">
        <f t="shared" si="104"/>
        <v>10.6</v>
      </c>
      <c r="I157" s="1080">
        <f t="shared" si="104"/>
        <v>10.6</v>
      </c>
      <c r="J157" s="1080">
        <f t="shared" si="104"/>
        <v>10.6</v>
      </c>
      <c r="K157" s="1080">
        <f t="shared" si="104"/>
        <v>10.6</v>
      </c>
      <c r="L157" s="1080">
        <f t="shared" si="104"/>
        <v>10.6</v>
      </c>
      <c r="M157" s="1080">
        <f t="shared" si="104"/>
        <v>10.6</v>
      </c>
      <c r="N157" s="1080">
        <f t="shared" si="104"/>
        <v>10.6</v>
      </c>
      <c r="O157" s="1080">
        <f t="shared" si="104"/>
        <v>10.6</v>
      </c>
      <c r="P157" s="1080">
        <f t="shared" si="104"/>
        <v>10.6</v>
      </c>
      <c r="Q157" s="1080">
        <f t="shared" si="104"/>
        <v>10.6</v>
      </c>
      <c r="R157" s="1080">
        <f t="shared" si="104"/>
        <v>10.6</v>
      </c>
      <c r="S157" s="1080">
        <f t="shared" si="104"/>
        <v>10.6</v>
      </c>
      <c r="T157" s="1080">
        <f t="shared" si="104"/>
        <v>10.6</v>
      </c>
      <c r="U157" s="1080">
        <f t="shared" si="104"/>
        <v>10.6</v>
      </c>
      <c r="V157" s="1080">
        <f t="shared" si="104"/>
        <v>10.6</v>
      </c>
      <c r="W157" s="1080">
        <f t="shared" si="104"/>
        <v>10.6</v>
      </c>
      <c r="X157" s="1080">
        <f t="shared" si="104"/>
        <v>10.6</v>
      </c>
      <c r="Y157" s="1080">
        <f t="shared" si="104"/>
        <v>10.6</v>
      </c>
      <c r="Z157" s="1080">
        <f t="shared" si="104"/>
        <v>10.6</v>
      </c>
      <c r="AA157" s="1080">
        <f t="shared" si="104"/>
        <v>10.6</v>
      </c>
      <c r="AB157" s="1080">
        <f t="shared" si="104"/>
        <v>10.6</v>
      </c>
      <c r="AC157" s="1080">
        <f t="shared" si="104"/>
        <v>10.6</v>
      </c>
      <c r="AD157" s="1080">
        <f t="shared" si="104"/>
        <v>10.6</v>
      </c>
      <c r="AE157" s="1080">
        <f t="shared" si="104"/>
        <v>10.6</v>
      </c>
      <c r="AF157" s="1080">
        <f t="shared" si="104"/>
        <v>10.6</v>
      </c>
      <c r="AG157" s="1080">
        <f t="shared" si="104"/>
        <v>10.6</v>
      </c>
      <c r="AH157" s="1080">
        <f t="shared" si="104"/>
        <v>10.6</v>
      </c>
      <c r="AI157" s="1080">
        <f t="shared" si="104"/>
        <v>10.6</v>
      </c>
      <c r="AJ157" s="1080">
        <f t="shared" si="104"/>
        <v>10.6</v>
      </c>
      <c r="AK157" s="1080">
        <f t="shared" si="104"/>
        <v>10.6</v>
      </c>
      <c r="AL157" s="1080">
        <f t="shared" si="104"/>
        <v>10.6</v>
      </c>
      <c r="AM157" s="1080">
        <f t="shared" si="104"/>
        <v>10.6</v>
      </c>
      <c r="AN157" s="1080">
        <f t="shared" si="104"/>
        <v>10.6</v>
      </c>
      <c r="AO157" s="1080">
        <f t="shared" si="104"/>
        <v>10.6</v>
      </c>
      <c r="AP157" s="1080">
        <f t="shared" si="104"/>
        <v>10.6</v>
      </c>
      <c r="AQ157" s="1080">
        <f t="shared" si="104"/>
        <v>10.6</v>
      </c>
      <c r="AR157" s="1080">
        <f t="shared" si="104"/>
        <v>10.6</v>
      </c>
      <c r="AS157" s="1080">
        <f t="shared" si="104"/>
        <v>10.6</v>
      </c>
      <c r="AT157" s="1080">
        <f t="shared" si="104"/>
        <v>10.6</v>
      </c>
      <c r="AU157" s="1080">
        <f t="shared" si="104"/>
        <v>10.6</v>
      </c>
      <c r="AV157" s="602"/>
      <c r="AW157" s="602"/>
      <c r="AX157" s="602"/>
      <c r="AY157" s="602"/>
      <c r="AZ157" s="602"/>
      <c r="BA157" s="602"/>
    </row>
    <row r="158" spans="2:53">
      <c r="B158" s="602"/>
      <c r="C158" s="602"/>
      <c r="D158" s="1077"/>
      <c r="E158" s="1077" t="s">
        <v>351</v>
      </c>
      <c r="F158" s="1046" t="s">
        <v>206</v>
      </c>
      <c r="G158" s="1080">
        <f>$E207</f>
        <v>207.6</v>
      </c>
      <c r="H158" s="1080">
        <f t="shared" si="104"/>
        <v>207.6</v>
      </c>
      <c r="I158" s="1080">
        <f t="shared" si="104"/>
        <v>207.6</v>
      </c>
      <c r="J158" s="1080">
        <f t="shared" si="104"/>
        <v>207.6</v>
      </c>
      <c r="K158" s="1080">
        <f t="shared" si="104"/>
        <v>207.6</v>
      </c>
      <c r="L158" s="1080">
        <f t="shared" si="104"/>
        <v>207.6</v>
      </c>
      <c r="M158" s="1080">
        <f t="shared" si="104"/>
        <v>207.6</v>
      </c>
      <c r="N158" s="1080">
        <f t="shared" si="104"/>
        <v>207.6</v>
      </c>
      <c r="O158" s="1080">
        <f t="shared" si="104"/>
        <v>207.6</v>
      </c>
      <c r="P158" s="1080">
        <f t="shared" si="104"/>
        <v>207.6</v>
      </c>
      <c r="Q158" s="1080">
        <f t="shared" si="104"/>
        <v>207.6</v>
      </c>
      <c r="R158" s="1080">
        <f t="shared" si="104"/>
        <v>207.6</v>
      </c>
      <c r="S158" s="1080">
        <f t="shared" si="104"/>
        <v>207.6</v>
      </c>
      <c r="T158" s="1080">
        <f t="shared" si="104"/>
        <v>207.6</v>
      </c>
      <c r="U158" s="1080">
        <f t="shared" si="104"/>
        <v>207.6</v>
      </c>
      <c r="V158" s="1080">
        <f t="shared" si="104"/>
        <v>207.6</v>
      </c>
      <c r="W158" s="1080">
        <f t="shared" si="104"/>
        <v>207.6</v>
      </c>
      <c r="X158" s="1080">
        <f t="shared" si="104"/>
        <v>207.6</v>
      </c>
      <c r="Y158" s="1080">
        <f t="shared" si="104"/>
        <v>207.6</v>
      </c>
      <c r="Z158" s="1080">
        <f t="shared" si="104"/>
        <v>207.6</v>
      </c>
      <c r="AA158" s="1080">
        <f t="shared" si="104"/>
        <v>207.6</v>
      </c>
      <c r="AB158" s="1080">
        <f t="shared" si="104"/>
        <v>207.6</v>
      </c>
      <c r="AC158" s="1080">
        <f t="shared" si="104"/>
        <v>207.6</v>
      </c>
      <c r="AD158" s="1080">
        <f t="shared" si="104"/>
        <v>207.6</v>
      </c>
      <c r="AE158" s="1080">
        <f t="shared" si="104"/>
        <v>207.6</v>
      </c>
      <c r="AF158" s="1080">
        <f t="shared" si="104"/>
        <v>207.6</v>
      </c>
      <c r="AG158" s="1080">
        <f t="shared" si="104"/>
        <v>207.6</v>
      </c>
      <c r="AH158" s="1080">
        <f t="shared" si="104"/>
        <v>207.6</v>
      </c>
      <c r="AI158" s="1080">
        <f t="shared" si="104"/>
        <v>207.6</v>
      </c>
      <c r="AJ158" s="1080">
        <f t="shared" si="104"/>
        <v>207.6</v>
      </c>
      <c r="AK158" s="1080">
        <f t="shared" si="104"/>
        <v>207.6</v>
      </c>
      <c r="AL158" s="1080">
        <f t="shared" si="104"/>
        <v>207.6</v>
      </c>
      <c r="AM158" s="1080">
        <f t="shared" si="104"/>
        <v>207.6</v>
      </c>
      <c r="AN158" s="1080">
        <f t="shared" si="104"/>
        <v>207.6</v>
      </c>
      <c r="AO158" s="1080">
        <f t="shared" si="104"/>
        <v>207.6</v>
      </c>
      <c r="AP158" s="1080">
        <f t="shared" si="104"/>
        <v>207.6</v>
      </c>
      <c r="AQ158" s="1080">
        <f t="shared" si="104"/>
        <v>207.6</v>
      </c>
      <c r="AR158" s="1080">
        <f t="shared" si="104"/>
        <v>207.6</v>
      </c>
      <c r="AS158" s="1080">
        <f t="shared" si="104"/>
        <v>207.6</v>
      </c>
      <c r="AT158" s="1080">
        <f t="shared" si="104"/>
        <v>207.6</v>
      </c>
      <c r="AU158" s="1080">
        <f t="shared" si="104"/>
        <v>207.6</v>
      </c>
      <c r="AV158" s="602"/>
      <c r="AW158" s="602"/>
      <c r="AX158" s="602"/>
      <c r="AY158" s="602"/>
      <c r="AZ158" s="602"/>
      <c r="BA158" s="602"/>
    </row>
    <row r="159" spans="2:53">
      <c r="B159" s="602"/>
      <c r="C159" s="602"/>
      <c r="D159" s="1077"/>
      <c r="E159" s="1077" t="s">
        <v>352</v>
      </c>
      <c r="F159" s="1046" t="s">
        <v>206</v>
      </c>
      <c r="G159" s="1080">
        <f>$E208</f>
        <v>207.6</v>
      </c>
      <c r="H159" s="1080">
        <f t="shared" si="104"/>
        <v>207.6</v>
      </c>
      <c r="I159" s="1080">
        <f t="shared" si="104"/>
        <v>207.6</v>
      </c>
      <c r="J159" s="1080">
        <f t="shared" si="104"/>
        <v>207.6</v>
      </c>
      <c r="K159" s="1080">
        <f t="shared" si="104"/>
        <v>207.6</v>
      </c>
      <c r="L159" s="1080">
        <f t="shared" si="104"/>
        <v>207.6</v>
      </c>
      <c r="M159" s="1080">
        <f t="shared" si="104"/>
        <v>207.6</v>
      </c>
      <c r="N159" s="1080">
        <f t="shared" si="104"/>
        <v>207.6</v>
      </c>
      <c r="O159" s="1080">
        <f t="shared" si="104"/>
        <v>207.6</v>
      </c>
      <c r="P159" s="1080">
        <f t="shared" si="104"/>
        <v>207.6</v>
      </c>
      <c r="Q159" s="1080">
        <f t="shared" si="104"/>
        <v>207.6</v>
      </c>
      <c r="R159" s="1080">
        <f t="shared" si="104"/>
        <v>207.6</v>
      </c>
      <c r="S159" s="1080">
        <f t="shared" si="104"/>
        <v>207.6</v>
      </c>
      <c r="T159" s="1080">
        <f t="shared" si="104"/>
        <v>207.6</v>
      </c>
      <c r="U159" s="1080">
        <f t="shared" si="104"/>
        <v>207.6</v>
      </c>
      <c r="V159" s="1080">
        <f t="shared" si="104"/>
        <v>207.6</v>
      </c>
      <c r="W159" s="1080">
        <f t="shared" si="104"/>
        <v>207.6</v>
      </c>
      <c r="X159" s="1080">
        <f t="shared" si="104"/>
        <v>207.6</v>
      </c>
      <c r="Y159" s="1080">
        <f t="shared" si="104"/>
        <v>207.6</v>
      </c>
      <c r="Z159" s="1080">
        <f t="shared" si="104"/>
        <v>207.6</v>
      </c>
      <c r="AA159" s="1080">
        <f t="shared" si="104"/>
        <v>207.6</v>
      </c>
      <c r="AB159" s="1080">
        <f t="shared" si="104"/>
        <v>207.6</v>
      </c>
      <c r="AC159" s="1080">
        <f t="shared" si="104"/>
        <v>207.6</v>
      </c>
      <c r="AD159" s="1080">
        <f t="shared" si="104"/>
        <v>207.6</v>
      </c>
      <c r="AE159" s="1080">
        <f t="shared" si="104"/>
        <v>207.6</v>
      </c>
      <c r="AF159" s="1080">
        <f t="shared" si="104"/>
        <v>207.6</v>
      </c>
      <c r="AG159" s="1080">
        <f t="shared" si="104"/>
        <v>207.6</v>
      </c>
      <c r="AH159" s="1080">
        <f t="shared" si="104"/>
        <v>207.6</v>
      </c>
      <c r="AI159" s="1080">
        <f t="shared" si="104"/>
        <v>207.6</v>
      </c>
      <c r="AJ159" s="1080">
        <f t="shared" si="104"/>
        <v>207.6</v>
      </c>
      <c r="AK159" s="1080">
        <f t="shared" si="104"/>
        <v>207.6</v>
      </c>
      <c r="AL159" s="1080">
        <f t="shared" si="104"/>
        <v>207.6</v>
      </c>
      <c r="AM159" s="1080">
        <f t="shared" si="104"/>
        <v>207.6</v>
      </c>
      <c r="AN159" s="1080">
        <f t="shared" si="104"/>
        <v>207.6</v>
      </c>
      <c r="AO159" s="1080">
        <f t="shared" si="104"/>
        <v>207.6</v>
      </c>
      <c r="AP159" s="1080">
        <f t="shared" si="104"/>
        <v>207.6</v>
      </c>
      <c r="AQ159" s="1080">
        <f t="shared" si="104"/>
        <v>207.6</v>
      </c>
      <c r="AR159" s="1080">
        <f t="shared" si="104"/>
        <v>207.6</v>
      </c>
      <c r="AS159" s="1080">
        <f t="shared" si="104"/>
        <v>207.6</v>
      </c>
      <c r="AT159" s="1080">
        <f t="shared" si="104"/>
        <v>207.6</v>
      </c>
      <c r="AU159" s="1080">
        <f t="shared" si="104"/>
        <v>207.6</v>
      </c>
      <c r="AV159" s="602"/>
      <c r="AW159" s="602"/>
      <c r="AX159" s="602"/>
      <c r="AY159" s="602"/>
      <c r="AZ159" s="602"/>
      <c r="BA159" s="602"/>
    </row>
    <row r="160" spans="2:53">
      <c r="B160" s="602"/>
      <c r="C160" s="602"/>
      <c r="D160" s="1077"/>
      <c r="E160" s="1077" t="s">
        <v>771</v>
      </c>
      <c r="F160" s="1046" t="s">
        <v>206</v>
      </c>
      <c r="G160" s="1080">
        <f>G159*2</f>
        <v>415.2</v>
      </c>
      <c r="H160" s="1080">
        <f t="shared" ref="H160:AU160" si="105">H159*2</f>
        <v>415.2</v>
      </c>
      <c r="I160" s="1080">
        <f t="shared" si="105"/>
        <v>415.2</v>
      </c>
      <c r="J160" s="1080">
        <f t="shared" si="105"/>
        <v>415.2</v>
      </c>
      <c r="K160" s="1080">
        <f t="shared" si="105"/>
        <v>415.2</v>
      </c>
      <c r="L160" s="1080">
        <f t="shared" si="105"/>
        <v>415.2</v>
      </c>
      <c r="M160" s="1080">
        <f t="shared" si="105"/>
        <v>415.2</v>
      </c>
      <c r="N160" s="1080">
        <f t="shared" si="105"/>
        <v>415.2</v>
      </c>
      <c r="O160" s="1080">
        <f t="shared" si="105"/>
        <v>415.2</v>
      </c>
      <c r="P160" s="1080">
        <f t="shared" si="105"/>
        <v>415.2</v>
      </c>
      <c r="Q160" s="1080">
        <f t="shared" si="105"/>
        <v>415.2</v>
      </c>
      <c r="R160" s="1080">
        <f t="shared" si="105"/>
        <v>415.2</v>
      </c>
      <c r="S160" s="1080">
        <f t="shared" si="105"/>
        <v>415.2</v>
      </c>
      <c r="T160" s="1080">
        <f t="shared" si="105"/>
        <v>415.2</v>
      </c>
      <c r="U160" s="1080">
        <f t="shared" si="105"/>
        <v>415.2</v>
      </c>
      <c r="V160" s="1080">
        <f t="shared" si="105"/>
        <v>415.2</v>
      </c>
      <c r="W160" s="1080">
        <f t="shared" si="105"/>
        <v>415.2</v>
      </c>
      <c r="X160" s="1080">
        <f t="shared" si="105"/>
        <v>415.2</v>
      </c>
      <c r="Y160" s="1080">
        <f t="shared" si="105"/>
        <v>415.2</v>
      </c>
      <c r="Z160" s="1080">
        <f t="shared" si="105"/>
        <v>415.2</v>
      </c>
      <c r="AA160" s="1080">
        <f t="shared" si="105"/>
        <v>415.2</v>
      </c>
      <c r="AB160" s="1080">
        <f t="shared" si="105"/>
        <v>415.2</v>
      </c>
      <c r="AC160" s="1080">
        <f t="shared" si="105"/>
        <v>415.2</v>
      </c>
      <c r="AD160" s="1080">
        <f t="shared" si="105"/>
        <v>415.2</v>
      </c>
      <c r="AE160" s="1080">
        <f t="shared" si="105"/>
        <v>415.2</v>
      </c>
      <c r="AF160" s="1080">
        <f t="shared" si="105"/>
        <v>415.2</v>
      </c>
      <c r="AG160" s="1080">
        <f t="shared" si="105"/>
        <v>415.2</v>
      </c>
      <c r="AH160" s="1080">
        <f t="shared" si="105"/>
        <v>415.2</v>
      </c>
      <c r="AI160" s="1080">
        <f t="shared" si="105"/>
        <v>415.2</v>
      </c>
      <c r="AJ160" s="1080">
        <f t="shared" si="105"/>
        <v>415.2</v>
      </c>
      <c r="AK160" s="1080">
        <f t="shared" si="105"/>
        <v>415.2</v>
      </c>
      <c r="AL160" s="1080">
        <f t="shared" si="105"/>
        <v>415.2</v>
      </c>
      <c r="AM160" s="1080">
        <f t="shared" si="105"/>
        <v>415.2</v>
      </c>
      <c r="AN160" s="1080">
        <f t="shared" si="105"/>
        <v>415.2</v>
      </c>
      <c r="AO160" s="1080">
        <f t="shared" si="105"/>
        <v>415.2</v>
      </c>
      <c r="AP160" s="1080">
        <f t="shared" si="105"/>
        <v>415.2</v>
      </c>
      <c r="AQ160" s="1080">
        <f t="shared" si="105"/>
        <v>415.2</v>
      </c>
      <c r="AR160" s="1080">
        <f t="shared" si="105"/>
        <v>415.2</v>
      </c>
      <c r="AS160" s="1080">
        <f t="shared" si="105"/>
        <v>415.2</v>
      </c>
      <c r="AT160" s="1080">
        <f t="shared" si="105"/>
        <v>415.2</v>
      </c>
      <c r="AU160" s="1080">
        <f t="shared" si="105"/>
        <v>415.2</v>
      </c>
      <c r="AV160" s="602"/>
      <c r="AW160" s="602"/>
      <c r="AX160" s="602"/>
      <c r="AY160" s="602"/>
      <c r="AZ160" s="602"/>
      <c r="BA160" s="602"/>
    </row>
    <row r="161" spans="2:53">
      <c r="B161" s="602"/>
      <c r="C161" s="602"/>
      <c r="D161" s="1077"/>
      <c r="E161" s="1077" t="s">
        <v>357</v>
      </c>
      <c r="F161" s="1046" t="s">
        <v>206</v>
      </c>
      <c r="G161" s="1080">
        <f>$E209</f>
        <v>10</v>
      </c>
      <c r="H161" s="1080">
        <f t="shared" ref="H161:AU164" si="106">$E209</f>
        <v>10</v>
      </c>
      <c r="I161" s="1080">
        <f t="shared" si="106"/>
        <v>10</v>
      </c>
      <c r="J161" s="1080">
        <f t="shared" si="106"/>
        <v>10</v>
      </c>
      <c r="K161" s="1080">
        <f t="shared" si="106"/>
        <v>10</v>
      </c>
      <c r="L161" s="1080">
        <f t="shared" si="106"/>
        <v>10</v>
      </c>
      <c r="M161" s="1080">
        <f t="shared" si="106"/>
        <v>10</v>
      </c>
      <c r="N161" s="1080">
        <f t="shared" si="106"/>
        <v>10</v>
      </c>
      <c r="O161" s="1080">
        <f t="shared" si="106"/>
        <v>10</v>
      </c>
      <c r="P161" s="1080">
        <f t="shared" si="106"/>
        <v>10</v>
      </c>
      <c r="Q161" s="1080">
        <f t="shared" si="106"/>
        <v>10</v>
      </c>
      <c r="R161" s="1080">
        <f t="shared" si="106"/>
        <v>10</v>
      </c>
      <c r="S161" s="1080">
        <f t="shared" si="106"/>
        <v>10</v>
      </c>
      <c r="T161" s="1080">
        <f t="shared" si="106"/>
        <v>10</v>
      </c>
      <c r="U161" s="1080">
        <f t="shared" si="106"/>
        <v>10</v>
      </c>
      <c r="V161" s="1080">
        <f t="shared" si="106"/>
        <v>10</v>
      </c>
      <c r="W161" s="1080">
        <f t="shared" si="106"/>
        <v>10</v>
      </c>
      <c r="X161" s="1080">
        <f t="shared" si="106"/>
        <v>10</v>
      </c>
      <c r="Y161" s="1080">
        <f t="shared" si="106"/>
        <v>10</v>
      </c>
      <c r="Z161" s="1080">
        <f t="shared" si="106"/>
        <v>10</v>
      </c>
      <c r="AA161" s="1080">
        <f t="shared" si="106"/>
        <v>10</v>
      </c>
      <c r="AB161" s="1080">
        <f t="shared" si="106"/>
        <v>10</v>
      </c>
      <c r="AC161" s="1080">
        <f t="shared" si="106"/>
        <v>10</v>
      </c>
      <c r="AD161" s="1080">
        <f t="shared" si="106"/>
        <v>10</v>
      </c>
      <c r="AE161" s="1080">
        <f t="shared" si="106"/>
        <v>10</v>
      </c>
      <c r="AF161" s="1080">
        <f t="shared" si="106"/>
        <v>10</v>
      </c>
      <c r="AG161" s="1080">
        <f t="shared" si="106"/>
        <v>10</v>
      </c>
      <c r="AH161" s="1080">
        <f t="shared" si="106"/>
        <v>10</v>
      </c>
      <c r="AI161" s="1080">
        <f t="shared" si="106"/>
        <v>10</v>
      </c>
      <c r="AJ161" s="1080">
        <f t="shared" si="106"/>
        <v>10</v>
      </c>
      <c r="AK161" s="1080">
        <f t="shared" si="106"/>
        <v>10</v>
      </c>
      <c r="AL161" s="1080">
        <f t="shared" si="106"/>
        <v>10</v>
      </c>
      <c r="AM161" s="1080">
        <f t="shared" si="106"/>
        <v>10</v>
      </c>
      <c r="AN161" s="1080">
        <f t="shared" si="106"/>
        <v>10</v>
      </c>
      <c r="AO161" s="1080">
        <f t="shared" si="106"/>
        <v>10</v>
      </c>
      <c r="AP161" s="1080">
        <f t="shared" si="106"/>
        <v>10</v>
      </c>
      <c r="AQ161" s="1080">
        <f t="shared" si="106"/>
        <v>10</v>
      </c>
      <c r="AR161" s="1080">
        <f t="shared" si="106"/>
        <v>10</v>
      </c>
      <c r="AS161" s="1080">
        <f t="shared" si="106"/>
        <v>10</v>
      </c>
      <c r="AT161" s="1080">
        <f t="shared" si="106"/>
        <v>10</v>
      </c>
      <c r="AU161" s="1080">
        <f t="shared" si="106"/>
        <v>10</v>
      </c>
      <c r="AV161" s="602"/>
      <c r="AW161" s="602"/>
      <c r="AX161" s="602"/>
      <c r="AY161" s="602"/>
      <c r="AZ161" s="602"/>
      <c r="BA161" s="602"/>
    </row>
    <row r="162" spans="2:53">
      <c r="B162" s="602"/>
      <c r="C162" s="602"/>
      <c r="D162" s="1077"/>
      <c r="E162" s="1077" t="s">
        <v>363</v>
      </c>
      <c r="F162" s="1046" t="s">
        <v>206</v>
      </c>
      <c r="G162" s="1080">
        <f>$E210</f>
        <v>10</v>
      </c>
      <c r="H162" s="1080">
        <f t="shared" si="106"/>
        <v>10</v>
      </c>
      <c r="I162" s="1080">
        <f t="shared" si="106"/>
        <v>10</v>
      </c>
      <c r="J162" s="1080">
        <f t="shared" si="106"/>
        <v>10</v>
      </c>
      <c r="K162" s="1080">
        <f t="shared" si="106"/>
        <v>10</v>
      </c>
      <c r="L162" s="1080">
        <f t="shared" si="106"/>
        <v>10</v>
      </c>
      <c r="M162" s="1080">
        <f t="shared" si="106"/>
        <v>10</v>
      </c>
      <c r="N162" s="1080">
        <f t="shared" si="106"/>
        <v>10</v>
      </c>
      <c r="O162" s="1080">
        <f t="shared" si="106"/>
        <v>10</v>
      </c>
      <c r="P162" s="1080">
        <f t="shared" si="106"/>
        <v>10</v>
      </c>
      <c r="Q162" s="1080">
        <f t="shared" si="106"/>
        <v>10</v>
      </c>
      <c r="R162" s="1080">
        <f t="shared" si="106"/>
        <v>10</v>
      </c>
      <c r="S162" s="1080">
        <f t="shared" si="106"/>
        <v>10</v>
      </c>
      <c r="T162" s="1080">
        <f t="shared" si="106"/>
        <v>10</v>
      </c>
      <c r="U162" s="1080">
        <f t="shared" si="106"/>
        <v>10</v>
      </c>
      <c r="V162" s="1080">
        <f t="shared" si="106"/>
        <v>10</v>
      </c>
      <c r="W162" s="1080">
        <f t="shared" si="106"/>
        <v>10</v>
      </c>
      <c r="X162" s="1080">
        <f t="shared" si="106"/>
        <v>10</v>
      </c>
      <c r="Y162" s="1080">
        <f t="shared" si="106"/>
        <v>10</v>
      </c>
      <c r="Z162" s="1080">
        <f t="shared" si="106"/>
        <v>10</v>
      </c>
      <c r="AA162" s="1080">
        <f t="shared" si="106"/>
        <v>10</v>
      </c>
      <c r="AB162" s="1080">
        <f t="shared" si="106"/>
        <v>10</v>
      </c>
      <c r="AC162" s="1080">
        <f t="shared" si="106"/>
        <v>10</v>
      </c>
      <c r="AD162" s="1080">
        <f t="shared" si="106"/>
        <v>10</v>
      </c>
      <c r="AE162" s="1080">
        <f t="shared" si="106"/>
        <v>10</v>
      </c>
      <c r="AF162" s="1080">
        <f t="shared" si="106"/>
        <v>10</v>
      </c>
      <c r="AG162" s="1080">
        <f t="shared" si="106"/>
        <v>10</v>
      </c>
      <c r="AH162" s="1080">
        <f t="shared" si="106"/>
        <v>10</v>
      </c>
      <c r="AI162" s="1080">
        <f t="shared" si="106"/>
        <v>10</v>
      </c>
      <c r="AJ162" s="1080">
        <f t="shared" si="106"/>
        <v>10</v>
      </c>
      <c r="AK162" s="1080">
        <f t="shared" si="106"/>
        <v>10</v>
      </c>
      <c r="AL162" s="1080">
        <f t="shared" si="106"/>
        <v>10</v>
      </c>
      <c r="AM162" s="1080">
        <f t="shared" si="106"/>
        <v>10</v>
      </c>
      <c r="AN162" s="1080">
        <f t="shared" si="106"/>
        <v>10</v>
      </c>
      <c r="AO162" s="1080">
        <f t="shared" si="106"/>
        <v>10</v>
      </c>
      <c r="AP162" s="1080">
        <f t="shared" si="106"/>
        <v>10</v>
      </c>
      <c r="AQ162" s="1080">
        <f t="shared" si="106"/>
        <v>10</v>
      </c>
      <c r="AR162" s="1080">
        <f t="shared" si="106"/>
        <v>10</v>
      </c>
      <c r="AS162" s="1080">
        <f t="shared" si="106"/>
        <v>10</v>
      </c>
      <c r="AT162" s="1080">
        <f t="shared" si="106"/>
        <v>10</v>
      </c>
      <c r="AU162" s="1080">
        <f t="shared" si="106"/>
        <v>10</v>
      </c>
      <c r="AV162" s="602"/>
      <c r="AW162" s="602"/>
      <c r="AX162" s="602"/>
      <c r="AY162" s="602"/>
      <c r="AZ162" s="602"/>
      <c r="BA162" s="602"/>
    </row>
    <row r="163" spans="2:53">
      <c r="B163" s="602"/>
      <c r="C163" s="602"/>
      <c r="D163" s="1077"/>
      <c r="E163" s="1077" t="s">
        <v>365</v>
      </c>
      <c r="F163" s="1046" t="s">
        <v>206</v>
      </c>
      <c r="G163" s="1080">
        <f>$E211</f>
        <v>10</v>
      </c>
      <c r="H163" s="1080">
        <f t="shared" si="106"/>
        <v>10</v>
      </c>
      <c r="I163" s="1080">
        <f t="shared" si="106"/>
        <v>10</v>
      </c>
      <c r="J163" s="1080">
        <f t="shared" si="106"/>
        <v>10</v>
      </c>
      <c r="K163" s="1080">
        <f t="shared" si="106"/>
        <v>10</v>
      </c>
      <c r="L163" s="1080">
        <f t="shared" si="106"/>
        <v>10</v>
      </c>
      <c r="M163" s="1080">
        <f t="shared" si="106"/>
        <v>10</v>
      </c>
      <c r="N163" s="1080">
        <f t="shared" si="106"/>
        <v>10</v>
      </c>
      <c r="O163" s="1080">
        <f t="shared" si="106"/>
        <v>10</v>
      </c>
      <c r="P163" s="1080">
        <f t="shared" si="106"/>
        <v>10</v>
      </c>
      <c r="Q163" s="1080">
        <f t="shared" si="106"/>
        <v>10</v>
      </c>
      <c r="R163" s="1080">
        <f t="shared" si="106"/>
        <v>10</v>
      </c>
      <c r="S163" s="1080">
        <f t="shared" si="106"/>
        <v>10</v>
      </c>
      <c r="T163" s="1080">
        <f t="shared" si="106"/>
        <v>10</v>
      </c>
      <c r="U163" s="1080">
        <f t="shared" si="106"/>
        <v>10</v>
      </c>
      <c r="V163" s="1080">
        <f t="shared" si="106"/>
        <v>10</v>
      </c>
      <c r="W163" s="1080">
        <f t="shared" si="106"/>
        <v>10</v>
      </c>
      <c r="X163" s="1080">
        <f t="shared" si="106"/>
        <v>10</v>
      </c>
      <c r="Y163" s="1080">
        <f t="shared" si="106"/>
        <v>10</v>
      </c>
      <c r="Z163" s="1080">
        <f t="shared" si="106"/>
        <v>10</v>
      </c>
      <c r="AA163" s="1080">
        <f t="shared" si="106"/>
        <v>10</v>
      </c>
      <c r="AB163" s="1080">
        <f t="shared" si="106"/>
        <v>10</v>
      </c>
      <c r="AC163" s="1080">
        <f t="shared" si="106"/>
        <v>10</v>
      </c>
      <c r="AD163" s="1080">
        <f t="shared" si="106"/>
        <v>10</v>
      </c>
      <c r="AE163" s="1080">
        <f t="shared" si="106"/>
        <v>10</v>
      </c>
      <c r="AF163" s="1080">
        <f t="shared" si="106"/>
        <v>10</v>
      </c>
      <c r="AG163" s="1080">
        <f t="shared" si="106"/>
        <v>10</v>
      </c>
      <c r="AH163" s="1080">
        <f t="shared" si="106"/>
        <v>10</v>
      </c>
      <c r="AI163" s="1080">
        <f t="shared" si="106"/>
        <v>10</v>
      </c>
      <c r="AJ163" s="1080">
        <f t="shared" si="106"/>
        <v>10</v>
      </c>
      <c r="AK163" s="1080">
        <f t="shared" si="106"/>
        <v>10</v>
      </c>
      <c r="AL163" s="1080">
        <f t="shared" si="106"/>
        <v>10</v>
      </c>
      <c r="AM163" s="1080">
        <f t="shared" si="106"/>
        <v>10</v>
      </c>
      <c r="AN163" s="1080">
        <f t="shared" si="106"/>
        <v>10</v>
      </c>
      <c r="AO163" s="1080">
        <f t="shared" si="106"/>
        <v>10</v>
      </c>
      <c r="AP163" s="1080">
        <f t="shared" si="106"/>
        <v>10</v>
      </c>
      <c r="AQ163" s="1080">
        <f t="shared" si="106"/>
        <v>10</v>
      </c>
      <c r="AR163" s="1080">
        <f t="shared" si="106"/>
        <v>10</v>
      </c>
      <c r="AS163" s="1080">
        <f t="shared" si="106"/>
        <v>10</v>
      </c>
      <c r="AT163" s="1080">
        <f t="shared" si="106"/>
        <v>10</v>
      </c>
      <c r="AU163" s="1080">
        <f t="shared" si="106"/>
        <v>10</v>
      </c>
      <c r="AV163" s="602"/>
      <c r="AW163" s="602"/>
      <c r="AX163" s="602"/>
      <c r="AY163" s="602"/>
      <c r="AZ163" s="602"/>
      <c r="BA163" s="602"/>
    </row>
    <row r="164" spans="2:53">
      <c r="B164" s="602"/>
      <c r="C164" s="602"/>
      <c r="D164" s="1077"/>
      <c r="E164" s="1077" t="s">
        <v>361</v>
      </c>
      <c r="F164" s="1046" t="s">
        <v>206</v>
      </c>
      <c r="G164" s="1080">
        <f>$E212</f>
        <v>10</v>
      </c>
      <c r="H164" s="1080">
        <f t="shared" si="106"/>
        <v>10</v>
      </c>
      <c r="I164" s="1080">
        <f t="shared" si="106"/>
        <v>10</v>
      </c>
      <c r="J164" s="1080">
        <f t="shared" si="106"/>
        <v>10</v>
      </c>
      <c r="K164" s="1080">
        <f t="shared" si="106"/>
        <v>10</v>
      </c>
      <c r="L164" s="1080">
        <f t="shared" si="106"/>
        <v>10</v>
      </c>
      <c r="M164" s="1080">
        <f t="shared" si="106"/>
        <v>10</v>
      </c>
      <c r="N164" s="1080">
        <f t="shared" si="106"/>
        <v>10</v>
      </c>
      <c r="O164" s="1080">
        <f t="shared" si="106"/>
        <v>10</v>
      </c>
      <c r="P164" s="1080">
        <f t="shared" si="106"/>
        <v>10</v>
      </c>
      <c r="Q164" s="1080">
        <f t="shared" si="106"/>
        <v>10</v>
      </c>
      <c r="R164" s="1080">
        <f t="shared" si="106"/>
        <v>10</v>
      </c>
      <c r="S164" s="1080">
        <f t="shared" si="106"/>
        <v>10</v>
      </c>
      <c r="T164" s="1080">
        <f t="shared" si="106"/>
        <v>10</v>
      </c>
      <c r="U164" s="1080">
        <f t="shared" si="106"/>
        <v>10</v>
      </c>
      <c r="V164" s="1080">
        <f t="shared" si="106"/>
        <v>10</v>
      </c>
      <c r="W164" s="1080">
        <f t="shared" si="106"/>
        <v>10</v>
      </c>
      <c r="X164" s="1080">
        <f t="shared" si="106"/>
        <v>10</v>
      </c>
      <c r="Y164" s="1080">
        <f t="shared" si="106"/>
        <v>10</v>
      </c>
      <c r="Z164" s="1080">
        <f t="shared" si="106"/>
        <v>10</v>
      </c>
      <c r="AA164" s="1080">
        <f t="shared" si="106"/>
        <v>10</v>
      </c>
      <c r="AB164" s="1080">
        <f t="shared" si="106"/>
        <v>10</v>
      </c>
      <c r="AC164" s="1080">
        <f t="shared" si="106"/>
        <v>10</v>
      </c>
      <c r="AD164" s="1080">
        <f t="shared" si="106"/>
        <v>10</v>
      </c>
      <c r="AE164" s="1080">
        <f t="shared" si="106"/>
        <v>10</v>
      </c>
      <c r="AF164" s="1080">
        <f t="shared" si="106"/>
        <v>10</v>
      </c>
      <c r="AG164" s="1080">
        <f t="shared" si="106"/>
        <v>10</v>
      </c>
      <c r="AH164" s="1080">
        <f t="shared" si="106"/>
        <v>10</v>
      </c>
      <c r="AI164" s="1080">
        <f t="shared" si="106"/>
        <v>10</v>
      </c>
      <c r="AJ164" s="1080">
        <f t="shared" si="106"/>
        <v>10</v>
      </c>
      <c r="AK164" s="1080">
        <f t="shared" si="106"/>
        <v>10</v>
      </c>
      <c r="AL164" s="1080">
        <f t="shared" si="106"/>
        <v>10</v>
      </c>
      <c r="AM164" s="1080">
        <f t="shared" si="106"/>
        <v>10</v>
      </c>
      <c r="AN164" s="1080">
        <f t="shared" si="106"/>
        <v>10</v>
      </c>
      <c r="AO164" s="1080">
        <f t="shared" si="106"/>
        <v>10</v>
      </c>
      <c r="AP164" s="1080">
        <f t="shared" si="106"/>
        <v>10</v>
      </c>
      <c r="AQ164" s="1080">
        <f t="shared" si="106"/>
        <v>10</v>
      </c>
      <c r="AR164" s="1080">
        <f t="shared" si="106"/>
        <v>10</v>
      </c>
      <c r="AS164" s="1080">
        <f t="shared" si="106"/>
        <v>10</v>
      </c>
      <c r="AT164" s="1080">
        <f t="shared" si="106"/>
        <v>10</v>
      </c>
      <c r="AU164" s="1080">
        <f t="shared" si="106"/>
        <v>10</v>
      </c>
      <c r="AV164" s="602"/>
      <c r="AW164" s="602"/>
      <c r="AX164" s="602"/>
      <c r="AY164" s="602"/>
      <c r="AZ164" s="602"/>
      <c r="BA164" s="602"/>
    </row>
    <row r="165" spans="2:53">
      <c r="B165" s="602"/>
      <c r="C165" s="602"/>
      <c r="D165" s="1077"/>
      <c r="E165" s="1077" t="s">
        <v>42</v>
      </c>
      <c r="F165" s="1046" t="s">
        <v>206</v>
      </c>
      <c r="G165" s="1080">
        <f>$E$179</f>
        <v>0.1</v>
      </c>
      <c r="H165" s="1080">
        <f t="shared" ref="H165:AU165" si="107">$E$179</f>
        <v>0.1</v>
      </c>
      <c r="I165" s="1080">
        <f t="shared" si="107"/>
        <v>0.1</v>
      </c>
      <c r="J165" s="1080">
        <f t="shared" si="107"/>
        <v>0.1</v>
      </c>
      <c r="K165" s="1080">
        <f t="shared" si="107"/>
        <v>0.1</v>
      </c>
      <c r="L165" s="1080">
        <f t="shared" si="107"/>
        <v>0.1</v>
      </c>
      <c r="M165" s="1080">
        <f t="shared" si="107"/>
        <v>0.1</v>
      </c>
      <c r="N165" s="1080">
        <f t="shared" si="107"/>
        <v>0.1</v>
      </c>
      <c r="O165" s="1080">
        <f t="shared" si="107"/>
        <v>0.1</v>
      </c>
      <c r="P165" s="1080">
        <f t="shared" si="107"/>
        <v>0.1</v>
      </c>
      <c r="Q165" s="1080">
        <f t="shared" si="107"/>
        <v>0.1</v>
      </c>
      <c r="R165" s="1080">
        <f t="shared" si="107"/>
        <v>0.1</v>
      </c>
      <c r="S165" s="1080">
        <f t="shared" si="107"/>
        <v>0.1</v>
      </c>
      <c r="T165" s="1080">
        <f t="shared" si="107"/>
        <v>0.1</v>
      </c>
      <c r="U165" s="1080">
        <f t="shared" si="107"/>
        <v>0.1</v>
      </c>
      <c r="V165" s="1080">
        <f t="shared" si="107"/>
        <v>0.1</v>
      </c>
      <c r="W165" s="1080">
        <f t="shared" si="107"/>
        <v>0.1</v>
      </c>
      <c r="X165" s="1080">
        <f t="shared" si="107"/>
        <v>0.1</v>
      </c>
      <c r="Y165" s="1080">
        <f t="shared" si="107"/>
        <v>0.1</v>
      </c>
      <c r="Z165" s="1080">
        <f t="shared" si="107"/>
        <v>0.1</v>
      </c>
      <c r="AA165" s="1080">
        <f t="shared" si="107"/>
        <v>0.1</v>
      </c>
      <c r="AB165" s="1080">
        <f t="shared" si="107"/>
        <v>0.1</v>
      </c>
      <c r="AC165" s="1080">
        <f t="shared" si="107"/>
        <v>0.1</v>
      </c>
      <c r="AD165" s="1080">
        <f t="shared" si="107"/>
        <v>0.1</v>
      </c>
      <c r="AE165" s="1080">
        <f t="shared" si="107"/>
        <v>0.1</v>
      </c>
      <c r="AF165" s="1080">
        <f t="shared" si="107"/>
        <v>0.1</v>
      </c>
      <c r="AG165" s="1080">
        <f t="shared" si="107"/>
        <v>0.1</v>
      </c>
      <c r="AH165" s="1080">
        <f t="shared" si="107"/>
        <v>0.1</v>
      </c>
      <c r="AI165" s="1080">
        <f t="shared" si="107"/>
        <v>0.1</v>
      </c>
      <c r="AJ165" s="1080">
        <f t="shared" si="107"/>
        <v>0.1</v>
      </c>
      <c r="AK165" s="1080">
        <f t="shared" si="107"/>
        <v>0.1</v>
      </c>
      <c r="AL165" s="1080">
        <f t="shared" si="107"/>
        <v>0.1</v>
      </c>
      <c r="AM165" s="1080">
        <f t="shared" si="107"/>
        <v>0.1</v>
      </c>
      <c r="AN165" s="1080">
        <f t="shared" si="107"/>
        <v>0.1</v>
      </c>
      <c r="AO165" s="1080">
        <f t="shared" si="107"/>
        <v>0.1</v>
      </c>
      <c r="AP165" s="1080">
        <f t="shared" si="107"/>
        <v>0.1</v>
      </c>
      <c r="AQ165" s="1080">
        <f t="shared" si="107"/>
        <v>0.1</v>
      </c>
      <c r="AR165" s="1080">
        <f t="shared" si="107"/>
        <v>0.1</v>
      </c>
      <c r="AS165" s="1080">
        <f t="shared" si="107"/>
        <v>0.1</v>
      </c>
      <c r="AT165" s="1080">
        <f t="shared" si="107"/>
        <v>0.1</v>
      </c>
      <c r="AU165" s="1080">
        <f t="shared" si="107"/>
        <v>0.1</v>
      </c>
      <c r="AV165" s="602"/>
      <c r="AW165" s="602"/>
      <c r="AX165" s="602"/>
      <c r="AY165" s="602"/>
      <c r="AZ165" s="602"/>
      <c r="BA165" s="602"/>
    </row>
    <row r="166" spans="2:53">
      <c r="B166" s="602"/>
      <c r="C166" s="602"/>
      <c r="D166" s="1077" t="s">
        <v>842</v>
      </c>
      <c r="E166" s="1077" t="s">
        <v>75</v>
      </c>
      <c r="F166" s="1046" t="s">
        <v>206</v>
      </c>
      <c r="G166" s="1082">
        <f>G143*2</f>
        <v>88.8</v>
      </c>
      <c r="H166" s="1082">
        <f t="shared" ref="H166:AS166" si="108">H143*2</f>
        <v>92.2</v>
      </c>
      <c r="I166" s="1082">
        <f t="shared" si="108"/>
        <v>110.2</v>
      </c>
      <c r="J166" s="1082">
        <f t="shared" si="108"/>
        <v>108.4</v>
      </c>
      <c r="K166" s="1082">
        <f t="shared" si="108"/>
        <v>91.4</v>
      </c>
      <c r="L166" s="1082">
        <f t="shared" si="108"/>
        <v>88</v>
      </c>
      <c r="M166" s="1082">
        <f t="shared" si="108"/>
        <v>73.599999999999994</v>
      </c>
      <c r="N166" s="1082">
        <f t="shared" si="108"/>
        <v>73.8</v>
      </c>
      <c r="O166" s="1082">
        <f t="shared" si="108"/>
        <v>106.84436676370051</v>
      </c>
      <c r="P166" s="1082">
        <f t="shared" si="108"/>
        <v>68.522022481240924</v>
      </c>
      <c r="Q166" s="1082">
        <f t="shared" si="108"/>
        <v>66.795699972964513</v>
      </c>
      <c r="R166" s="1082">
        <f t="shared" si="108"/>
        <v>63.050580050876398</v>
      </c>
      <c r="S166" s="1082">
        <f t="shared" si="108"/>
        <v>65.525097243083792</v>
      </c>
      <c r="T166" s="1082">
        <f t="shared" si="108"/>
        <v>66.735376625750931</v>
      </c>
      <c r="U166" s="1082">
        <f t="shared" si="108"/>
        <v>67.134247840724143</v>
      </c>
      <c r="V166" s="1082">
        <f t="shared" si="108"/>
        <v>67.01216692582733</v>
      </c>
      <c r="W166" s="1082">
        <f t="shared" si="108"/>
        <v>66.935278408608127</v>
      </c>
      <c r="X166" s="1082">
        <f t="shared" si="108"/>
        <v>66.885894172463338</v>
      </c>
      <c r="Y166" s="1082">
        <f t="shared" si="108"/>
        <v>66.843599180906921</v>
      </c>
      <c r="Z166" s="1082">
        <f t="shared" si="108"/>
        <v>66.828440496044607</v>
      </c>
      <c r="AA166" s="1082">
        <f t="shared" si="108"/>
        <v>66.824305220819767</v>
      </c>
      <c r="AB166" s="1082">
        <f t="shared" si="108"/>
        <v>66.916476676296767</v>
      </c>
      <c r="AC166" s="1082">
        <f t="shared" si="108"/>
        <v>67.008648131773768</v>
      </c>
      <c r="AD166" s="1082">
        <f t="shared" si="108"/>
        <v>67.100819587250754</v>
      </c>
      <c r="AE166" s="1082">
        <f t="shared" si="108"/>
        <v>67.192991042727741</v>
      </c>
      <c r="AF166" s="1082">
        <f t="shared" si="108"/>
        <v>67.285162498204755</v>
      </c>
      <c r="AG166" s="1082">
        <f t="shared" si="108"/>
        <v>67.377333953681756</v>
      </c>
      <c r="AH166" s="1082">
        <f t="shared" si="108"/>
        <v>67.469505409158728</v>
      </c>
      <c r="AI166" s="1082">
        <f t="shared" si="108"/>
        <v>67.561676864635729</v>
      </c>
      <c r="AJ166" s="1082">
        <f t="shared" si="108"/>
        <v>67.653848320112701</v>
      </c>
      <c r="AK166" s="1082">
        <f t="shared" si="108"/>
        <v>67.746019775589701</v>
      </c>
      <c r="AL166" s="1082">
        <f t="shared" si="108"/>
        <v>67.838191231066702</v>
      </c>
      <c r="AM166" s="1082">
        <f t="shared" si="108"/>
        <v>67.930362686543688</v>
      </c>
      <c r="AN166" s="1082">
        <f t="shared" si="108"/>
        <v>68.022534142020675</v>
      </c>
      <c r="AO166" s="1082">
        <f t="shared" si="108"/>
        <v>68.114705597497675</v>
      </c>
      <c r="AP166" s="1082">
        <f t="shared" si="108"/>
        <v>68.206877052974676</v>
      </c>
      <c r="AQ166" s="1082">
        <f t="shared" si="108"/>
        <v>68.299048508451676</v>
      </c>
      <c r="AR166" s="1082">
        <f t="shared" si="108"/>
        <v>68.391219963928648</v>
      </c>
      <c r="AS166" s="1082">
        <f t="shared" si="108"/>
        <v>68.483391419405663</v>
      </c>
      <c r="AT166" s="1082">
        <f>AT143*2</f>
        <v>68.575562874882635</v>
      </c>
      <c r="AU166" s="1082">
        <f t="shared" ref="AU166" si="109">AU143*2</f>
        <v>68.66773433035965</v>
      </c>
      <c r="AV166" s="602"/>
      <c r="AW166" s="602"/>
      <c r="AX166" s="602"/>
      <c r="AY166" s="602"/>
      <c r="AZ166" s="602"/>
      <c r="BA166" s="602"/>
    </row>
    <row r="167" spans="2:53">
      <c r="B167" s="602"/>
      <c r="C167" s="602"/>
      <c r="D167" s="1077" t="s">
        <v>842</v>
      </c>
      <c r="E167" s="1077" t="s">
        <v>100</v>
      </c>
      <c r="F167" s="1046" t="s">
        <v>206</v>
      </c>
      <c r="G167" s="1082">
        <f>G143*2</f>
        <v>88.8</v>
      </c>
      <c r="H167" s="1082">
        <f t="shared" ref="H167:AS167" si="110">H143*2</f>
        <v>92.2</v>
      </c>
      <c r="I167" s="1082">
        <f t="shared" si="110"/>
        <v>110.2</v>
      </c>
      <c r="J167" s="1082">
        <f t="shared" si="110"/>
        <v>108.4</v>
      </c>
      <c r="K167" s="1082">
        <f t="shared" si="110"/>
        <v>91.4</v>
      </c>
      <c r="L167" s="1082">
        <f t="shared" si="110"/>
        <v>88</v>
      </c>
      <c r="M167" s="1082">
        <f t="shared" si="110"/>
        <v>73.599999999999994</v>
      </c>
      <c r="N167" s="1082">
        <f t="shared" si="110"/>
        <v>73.8</v>
      </c>
      <c r="O167" s="1082">
        <f t="shared" si="110"/>
        <v>106.84436676370051</v>
      </c>
      <c r="P167" s="1082">
        <f t="shared" si="110"/>
        <v>68.522022481240924</v>
      </c>
      <c r="Q167" s="1082">
        <f t="shared" si="110"/>
        <v>66.795699972964513</v>
      </c>
      <c r="R167" s="1082">
        <f t="shared" si="110"/>
        <v>63.050580050876398</v>
      </c>
      <c r="S167" s="1082">
        <f t="shared" si="110"/>
        <v>65.525097243083792</v>
      </c>
      <c r="T167" s="1082">
        <f t="shared" si="110"/>
        <v>66.735376625750931</v>
      </c>
      <c r="U167" s="1082">
        <f t="shared" si="110"/>
        <v>67.134247840724143</v>
      </c>
      <c r="V167" s="1082">
        <f t="shared" si="110"/>
        <v>67.01216692582733</v>
      </c>
      <c r="W167" s="1082">
        <f t="shared" si="110"/>
        <v>66.935278408608127</v>
      </c>
      <c r="X167" s="1082">
        <f t="shared" si="110"/>
        <v>66.885894172463338</v>
      </c>
      <c r="Y167" s="1082">
        <f t="shared" si="110"/>
        <v>66.843599180906921</v>
      </c>
      <c r="Z167" s="1082">
        <f t="shared" si="110"/>
        <v>66.828440496044607</v>
      </c>
      <c r="AA167" s="1082">
        <f t="shared" si="110"/>
        <v>66.824305220819767</v>
      </c>
      <c r="AB167" s="1082">
        <f t="shared" si="110"/>
        <v>66.916476676296767</v>
      </c>
      <c r="AC167" s="1082">
        <f t="shared" si="110"/>
        <v>67.008648131773768</v>
      </c>
      <c r="AD167" s="1082">
        <f t="shared" si="110"/>
        <v>67.100819587250754</v>
      </c>
      <c r="AE167" s="1082">
        <f t="shared" si="110"/>
        <v>67.192991042727741</v>
      </c>
      <c r="AF167" s="1082">
        <f t="shared" si="110"/>
        <v>67.285162498204755</v>
      </c>
      <c r="AG167" s="1082">
        <f t="shared" si="110"/>
        <v>67.377333953681756</v>
      </c>
      <c r="AH167" s="1082">
        <f t="shared" si="110"/>
        <v>67.469505409158728</v>
      </c>
      <c r="AI167" s="1082">
        <f t="shared" si="110"/>
        <v>67.561676864635729</v>
      </c>
      <c r="AJ167" s="1082">
        <f t="shared" si="110"/>
        <v>67.653848320112701</v>
      </c>
      <c r="AK167" s="1082">
        <f t="shared" si="110"/>
        <v>67.746019775589701</v>
      </c>
      <c r="AL167" s="1082">
        <f t="shared" si="110"/>
        <v>67.838191231066702</v>
      </c>
      <c r="AM167" s="1082">
        <f t="shared" si="110"/>
        <v>67.930362686543688</v>
      </c>
      <c r="AN167" s="1082">
        <f t="shared" si="110"/>
        <v>68.022534142020675</v>
      </c>
      <c r="AO167" s="1082">
        <f t="shared" si="110"/>
        <v>68.114705597497675</v>
      </c>
      <c r="AP167" s="1082">
        <f t="shared" si="110"/>
        <v>68.206877052974676</v>
      </c>
      <c r="AQ167" s="1082">
        <f t="shared" si="110"/>
        <v>68.299048508451676</v>
      </c>
      <c r="AR167" s="1082">
        <f t="shared" si="110"/>
        <v>68.391219963928648</v>
      </c>
      <c r="AS167" s="1082">
        <f t="shared" si="110"/>
        <v>68.483391419405663</v>
      </c>
      <c r="AT167" s="1082">
        <f>AT143*2</f>
        <v>68.575562874882635</v>
      </c>
      <c r="AU167" s="1082">
        <f t="shared" ref="AU167" si="111">AU143*2</f>
        <v>68.66773433035965</v>
      </c>
      <c r="AV167" s="602"/>
      <c r="AW167" s="602"/>
      <c r="AX167" s="602"/>
      <c r="AY167" s="602"/>
      <c r="AZ167" s="602"/>
      <c r="BA167" s="602"/>
    </row>
    <row r="168" spans="2:53">
      <c r="B168" s="602"/>
      <c r="C168" s="602"/>
      <c r="D168" s="1077" t="s">
        <v>843</v>
      </c>
      <c r="E168" s="1077" t="s">
        <v>694</v>
      </c>
      <c r="F168" s="1046" t="str">
        <f>F167</f>
        <v>MKr14</v>
      </c>
      <c r="G168" s="1082">
        <v>0.01</v>
      </c>
      <c r="H168" s="1082">
        <v>0.01</v>
      </c>
      <c r="I168" s="1082">
        <v>0.01</v>
      </c>
      <c r="J168" s="1082">
        <v>0.01</v>
      </c>
      <c r="K168" s="1082">
        <v>0.01</v>
      </c>
      <c r="L168" s="1082">
        <v>0.01</v>
      </c>
      <c r="M168" s="1082">
        <v>0.01</v>
      </c>
      <c r="N168" s="1082">
        <v>0.01</v>
      </c>
      <c r="O168" s="1082">
        <v>0.01</v>
      </c>
      <c r="P168" s="1082">
        <v>0.01</v>
      </c>
      <c r="Q168" s="1082">
        <v>0.01</v>
      </c>
      <c r="R168" s="1082">
        <v>0.01</v>
      </c>
      <c r="S168" s="1082">
        <v>0.01</v>
      </c>
      <c r="T168" s="1082">
        <v>0.01</v>
      </c>
      <c r="U168" s="1082">
        <v>0.01</v>
      </c>
      <c r="V168" s="1082">
        <v>0.01</v>
      </c>
      <c r="W168" s="1082">
        <v>0.01</v>
      </c>
      <c r="X168" s="1082">
        <v>0.01</v>
      </c>
      <c r="Y168" s="1082">
        <v>0.01</v>
      </c>
      <c r="Z168" s="1082">
        <v>0.01</v>
      </c>
      <c r="AA168" s="1082">
        <v>0.01</v>
      </c>
      <c r="AB168" s="1082">
        <v>0.01</v>
      </c>
      <c r="AC168" s="1082">
        <v>0.01</v>
      </c>
      <c r="AD168" s="1082">
        <v>0.01</v>
      </c>
      <c r="AE168" s="1082">
        <v>0.01</v>
      </c>
      <c r="AF168" s="1082">
        <v>0.01</v>
      </c>
      <c r="AG168" s="1082">
        <v>0.01</v>
      </c>
      <c r="AH168" s="1082">
        <v>0.01</v>
      </c>
      <c r="AI168" s="1082">
        <v>0.01</v>
      </c>
      <c r="AJ168" s="1082">
        <v>0.01</v>
      </c>
      <c r="AK168" s="1082">
        <v>0.01</v>
      </c>
      <c r="AL168" s="1082">
        <v>0.01</v>
      </c>
      <c r="AM168" s="1082">
        <v>0.01</v>
      </c>
      <c r="AN168" s="1082">
        <v>0.01</v>
      </c>
      <c r="AO168" s="1082">
        <v>0.01</v>
      </c>
      <c r="AP168" s="1082">
        <v>0.01</v>
      </c>
      <c r="AQ168" s="1082">
        <v>0.01</v>
      </c>
      <c r="AR168" s="1082">
        <v>0.01</v>
      </c>
      <c r="AS168" s="1082">
        <v>0.01</v>
      </c>
      <c r="AT168" s="1082">
        <v>0.01</v>
      </c>
      <c r="AU168" s="1082">
        <v>0.01</v>
      </c>
      <c r="AV168" s="602"/>
      <c r="AW168" s="602"/>
      <c r="AX168" s="602"/>
      <c r="AY168" s="602"/>
      <c r="AZ168" s="602"/>
      <c r="BA168" s="602"/>
    </row>
    <row r="169" spans="2:53">
      <c r="B169" s="602"/>
      <c r="C169" s="602"/>
      <c r="D169" s="1077" t="s">
        <v>845</v>
      </c>
      <c r="E169" s="1077" t="s">
        <v>746</v>
      </c>
      <c r="F169" s="1046" t="str">
        <f>F168</f>
        <v>MKr14</v>
      </c>
      <c r="G169" s="1082">
        <v>0.01</v>
      </c>
      <c r="H169" s="1082">
        <v>0.01</v>
      </c>
      <c r="I169" s="1082">
        <v>0.01</v>
      </c>
      <c r="J169" s="1082">
        <v>0.01</v>
      </c>
      <c r="K169" s="1082">
        <v>0.01</v>
      </c>
      <c r="L169" s="1082">
        <v>0.01</v>
      </c>
      <c r="M169" s="1082">
        <v>0.01</v>
      </c>
      <c r="N169" s="1082">
        <v>0.01</v>
      </c>
      <c r="O169" s="1082">
        <v>0.01</v>
      </c>
      <c r="P169" s="1082">
        <v>0.01</v>
      </c>
      <c r="Q169" s="1082">
        <v>0.01</v>
      </c>
      <c r="R169" s="1082">
        <v>0.01</v>
      </c>
      <c r="S169" s="1082">
        <v>0.01</v>
      </c>
      <c r="T169" s="1082">
        <v>0.01</v>
      </c>
      <c r="U169" s="1082">
        <v>0.01</v>
      </c>
      <c r="V169" s="1082">
        <v>0.01</v>
      </c>
      <c r="W169" s="1082">
        <v>0.01</v>
      </c>
      <c r="X169" s="1082">
        <v>0.01</v>
      </c>
      <c r="Y169" s="1082">
        <v>0.01</v>
      </c>
      <c r="Z169" s="1082">
        <v>0.01</v>
      </c>
      <c r="AA169" s="1082">
        <v>0.01</v>
      </c>
      <c r="AB169" s="1082">
        <v>0.01</v>
      </c>
      <c r="AC169" s="1082">
        <v>0.01</v>
      </c>
      <c r="AD169" s="1082">
        <v>0.01</v>
      </c>
      <c r="AE169" s="1082">
        <v>0.01</v>
      </c>
      <c r="AF169" s="1082">
        <v>0.01</v>
      </c>
      <c r="AG169" s="1082">
        <v>0.01</v>
      </c>
      <c r="AH169" s="1082">
        <v>0.01</v>
      </c>
      <c r="AI169" s="1082">
        <v>0.01</v>
      </c>
      <c r="AJ169" s="1082">
        <v>0.01</v>
      </c>
      <c r="AK169" s="1082">
        <v>0.01</v>
      </c>
      <c r="AL169" s="1082">
        <v>0.01</v>
      </c>
      <c r="AM169" s="1082">
        <v>0.01</v>
      </c>
      <c r="AN169" s="1082">
        <v>0.01</v>
      </c>
      <c r="AO169" s="1082">
        <v>0.01</v>
      </c>
      <c r="AP169" s="1082">
        <v>0.01</v>
      </c>
      <c r="AQ169" s="1082">
        <v>0.01</v>
      </c>
      <c r="AR169" s="1082">
        <v>0.01</v>
      </c>
      <c r="AS169" s="1082">
        <v>0.01</v>
      </c>
      <c r="AT169" s="1082">
        <v>0.01</v>
      </c>
      <c r="AU169" s="1082">
        <v>0.01</v>
      </c>
      <c r="AV169" s="602"/>
      <c r="AW169" s="602"/>
      <c r="AX169" s="602"/>
      <c r="AY169" s="602"/>
      <c r="AZ169" s="602"/>
      <c r="BA169" s="602"/>
    </row>
    <row r="170" spans="2:53">
      <c r="B170" s="602"/>
      <c r="C170" s="602"/>
      <c r="D170" s="1077" t="s">
        <v>846</v>
      </c>
      <c r="E170" s="1077" t="s">
        <v>722</v>
      </c>
      <c r="F170" s="1046" t="str">
        <f>F169</f>
        <v>MKr14</v>
      </c>
      <c r="G170" s="1080">
        <f t="shared" ref="G170:AU170" si="112">G151*0.25</f>
        <v>11.5</v>
      </c>
      <c r="H170" s="1080">
        <f t="shared" si="112"/>
        <v>11.5</v>
      </c>
      <c r="I170" s="1080">
        <f t="shared" si="112"/>
        <v>11.5</v>
      </c>
      <c r="J170" s="1080">
        <f t="shared" si="112"/>
        <v>11.425000000000001</v>
      </c>
      <c r="K170" s="1080">
        <f t="shared" si="112"/>
        <v>11.324999999999999</v>
      </c>
      <c r="L170" s="1080">
        <f t="shared" si="112"/>
        <v>11.225</v>
      </c>
      <c r="M170" s="1080">
        <f t="shared" si="112"/>
        <v>11.35</v>
      </c>
      <c r="N170" s="1080">
        <f t="shared" si="112"/>
        <v>11.475</v>
      </c>
      <c r="O170" s="1080">
        <f t="shared" si="112"/>
        <v>11.294868050622464</v>
      </c>
      <c r="P170" s="1080">
        <f t="shared" si="112"/>
        <v>11.279400140745098</v>
      </c>
      <c r="Q170" s="1080">
        <f t="shared" si="112"/>
        <v>11.312097425783408</v>
      </c>
      <c r="R170" s="1080">
        <f t="shared" si="112"/>
        <v>11.297562531899668</v>
      </c>
      <c r="S170" s="1080">
        <f t="shared" si="112"/>
        <v>11.348030368434129</v>
      </c>
      <c r="T170" s="1080">
        <f t="shared" si="112"/>
        <v>11.41110848141796</v>
      </c>
      <c r="U170" s="1080">
        <f t="shared" si="112"/>
        <v>11.480753774525216</v>
      </c>
      <c r="V170" s="1080">
        <f t="shared" si="112"/>
        <v>11.551750361101513</v>
      </c>
      <c r="W170" s="1080">
        <f t="shared" si="112"/>
        <v>11.604932745066808</v>
      </c>
      <c r="X170" s="1080">
        <f t="shared" si="112"/>
        <v>11.657764830956497</v>
      </c>
      <c r="Y170" s="1080">
        <f t="shared" si="112"/>
        <v>11.709981130768291</v>
      </c>
      <c r="Z170" s="1080">
        <f t="shared" si="112"/>
        <v>11.763510976689322</v>
      </c>
      <c r="AA170" s="1080">
        <f t="shared" si="112"/>
        <v>11.815776596049293</v>
      </c>
      <c r="AB170" s="1080">
        <f t="shared" si="112"/>
        <v>11.840792317093445</v>
      </c>
      <c r="AC170" s="1080">
        <f t="shared" si="112"/>
        <v>11.865762206921538</v>
      </c>
      <c r="AD170" s="1080">
        <f t="shared" si="112"/>
        <v>11.890686557801363</v>
      </c>
      <c r="AE170" s="1080">
        <f t="shared" si="112"/>
        <v>11.915565657391058</v>
      </c>
      <c r="AF170" s="1080">
        <f t="shared" si="112"/>
        <v>11.940399788787957</v>
      </c>
      <c r="AG170" s="1080">
        <f t="shared" si="112"/>
        <v>11.96538942725668</v>
      </c>
      <c r="AH170" s="1080">
        <f t="shared" si="112"/>
        <v>11.99030602162429</v>
      </c>
      <c r="AI170" s="1080">
        <f t="shared" si="112"/>
        <v>12.015150055072155</v>
      </c>
      <c r="AJ170" s="1080">
        <f t="shared" si="112"/>
        <v>12.039922004208098</v>
      </c>
      <c r="AK170" s="1080">
        <f t="shared" si="112"/>
        <v>12.064622339136843</v>
      </c>
      <c r="AL170" s="1080">
        <f t="shared" si="112"/>
        <v>12.094406678579805</v>
      </c>
      <c r="AM170" s="1080">
        <f t="shared" si="112"/>
        <v>12.124078924136491</v>
      </c>
      <c r="AN170" s="1080">
        <f t="shared" si="112"/>
        <v>12.153639783922587</v>
      </c>
      <c r="AO170" s="1080">
        <f t="shared" si="112"/>
        <v>12.183089957138392</v>
      </c>
      <c r="AP170" s="1080">
        <f t="shared" si="112"/>
        <v>12.212430134165137</v>
      </c>
      <c r="AQ170" s="1080">
        <f t="shared" si="112"/>
        <v>12.256143704717205</v>
      </c>
      <c r="AR170" s="1080">
        <f t="shared" si="112"/>
        <v>12.299679871973648</v>
      </c>
      <c r="AS170" s="1080">
        <f t="shared" si="112"/>
        <v>12.343039610164922</v>
      </c>
      <c r="AT170" s="1080">
        <f t="shared" si="112"/>
        <v>12.386223881805252</v>
      </c>
      <c r="AU170" s="1080">
        <f t="shared" si="112"/>
        <v>12.429233637820181</v>
      </c>
      <c r="AV170" s="602"/>
      <c r="AW170" s="602"/>
      <c r="AX170" s="602"/>
      <c r="AY170" s="602"/>
      <c r="AZ170" s="602"/>
      <c r="BA170" s="602"/>
    </row>
    <row r="171" spans="2:53">
      <c r="B171" s="602"/>
      <c r="C171" s="602"/>
      <c r="D171" s="1077" t="s">
        <v>869</v>
      </c>
      <c r="E171" s="1077" t="s">
        <v>779</v>
      </c>
      <c r="F171" s="1046" t="s">
        <v>868</v>
      </c>
      <c r="G171" s="1080">
        <f t="shared" ref="G171:AU171" si="113">G151</f>
        <v>46</v>
      </c>
      <c r="H171" s="1080">
        <f t="shared" si="113"/>
        <v>46</v>
      </c>
      <c r="I171" s="1080">
        <f t="shared" si="113"/>
        <v>46</v>
      </c>
      <c r="J171" s="1080">
        <f t="shared" si="113"/>
        <v>45.7</v>
      </c>
      <c r="K171" s="1080">
        <f t="shared" si="113"/>
        <v>45.3</v>
      </c>
      <c r="L171" s="1080">
        <f t="shared" si="113"/>
        <v>44.9</v>
      </c>
      <c r="M171" s="1080">
        <f t="shared" si="113"/>
        <v>45.4</v>
      </c>
      <c r="N171" s="1080">
        <f t="shared" si="113"/>
        <v>45.9</v>
      </c>
      <c r="O171" s="1080">
        <f t="shared" si="113"/>
        <v>45.179472202489855</v>
      </c>
      <c r="P171" s="1080">
        <f t="shared" si="113"/>
        <v>45.117600562980392</v>
      </c>
      <c r="Q171" s="1080">
        <f t="shared" si="113"/>
        <v>45.248389703133633</v>
      </c>
      <c r="R171" s="1080">
        <f t="shared" si="113"/>
        <v>45.190250127598674</v>
      </c>
      <c r="S171" s="1080">
        <f t="shared" si="113"/>
        <v>45.392121473736516</v>
      </c>
      <c r="T171" s="1080">
        <f t="shared" si="113"/>
        <v>45.644433925671841</v>
      </c>
      <c r="U171" s="1080">
        <f t="shared" si="113"/>
        <v>45.923015098100862</v>
      </c>
      <c r="V171" s="1080">
        <f t="shared" si="113"/>
        <v>46.207001444406053</v>
      </c>
      <c r="W171" s="1080">
        <f t="shared" si="113"/>
        <v>46.419730980267232</v>
      </c>
      <c r="X171" s="1080">
        <f t="shared" si="113"/>
        <v>46.631059323825987</v>
      </c>
      <c r="Y171" s="1080">
        <f t="shared" si="113"/>
        <v>46.839924523073165</v>
      </c>
      <c r="Z171" s="1080">
        <f t="shared" si="113"/>
        <v>47.054043906757286</v>
      </c>
      <c r="AA171" s="1080">
        <f t="shared" si="113"/>
        <v>47.263106384197172</v>
      </c>
      <c r="AB171" s="1080">
        <f t="shared" si="113"/>
        <v>47.363169268373781</v>
      </c>
      <c r="AC171" s="1080">
        <f t="shared" si="113"/>
        <v>47.463048827686151</v>
      </c>
      <c r="AD171" s="1080">
        <f t="shared" si="113"/>
        <v>47.562746231205452</v>
      </c>
      <c r="AE171" s="1080">
        <f t="shared" si="113"/>
        <v>47.662262629564232</v>
      </c>
      <c r="AF171" s="1080">
        <f t="shared" si="113"/>
        <v>47.761599155151828</v>
      </c>
      <c r="AG171" s="1080">
        <f t="shared" si="113"/>
        <v>47.861557709026719</v>
      </c>
      <c r="AH171" s="1080">
        <f t="shared" si="113"/>
        <v>47.961224086497161</v>
      </c>
      <c r="AI171" s="1080">
        <f t="shared" si="113"/>
        <v>48.06060022028862</v>
      </c>
      <c r="AJ171" s="1080">
        <f t="shared" si="113"/>
        <v>48.159688016832391</v>
      </c>
      <c r="AK171" s="1080">
        <f t="shared" si="113"/>
        <v>48.258489356547372</v>
      </c>
      <c r="AL171" s="1080">
        <f t="shared" si="113"/>
        <v>48.37762671431922</v>
      </c>
      <c r="AM171" s="1080">
        <f t="shared" si="113"/>
        <v>48.496315696545963</v>
      </c>
      <c r="AN171" s="1080">
        <f t="shared" si="113"/>
        <v>48.614559135690349</v>
      </c>
      <c r="AO171" s="1080">
        <f t="shared" si="113"/>
        <v>48.73235982855357</v>
      </c>
      <c r="AP171" s="1080">
        <f t="shared" si="113"/>
        <v>48.849720536660548</v>
      </c>
      <c r="AQ171" s="1080">
        <f t="shared" si="113"/>
        <v>49.024574818868821</v>
      </c>
      <c r="AR171" s="1080">
        <f t="shared" si="113"/>
        <v>49.198719487894593</v>
      </c>
      <c r="AS171" s="1080">
        <f t="shared" si="113"/>
        <v>49.372158440659689</v>
      </c>
      <c r="AT171" s="1080">
        <f t="shared" si="113"/>
        <v>49.544895527221009</v>
      </c>
      <c r="AU171" s="1080">
        <f t="shared" si="113"/>
        <v>49.716934551280723</v>
      </c>
      <c r="AV171" s="602"/>
      <c r="AW171" s="602"/>
      <c r="AX171" s="602"/>
      <c r="AY171" s="602"/>
      <c r="AZ171" s="602"/>
      <c r="BA171" s="602"/>
    </row>
    <row r="172" spans="2:53">
      <c r="B172" s="602"/>
      <c r="C172" s="602"/>
      <c r="D172" s="1077"/>
      <c r="E172" s="1077" t="s">
        <v>784</v>
      </c>
      <c r="F172" s="1046" t="s">
        <v>868</v>
      </c>
      <c r="G172" s="1080">
        <f t="shared" ref="G172:AU172" si="114">$E$197*G122</f>
        <v>11.55</v>
      </c>
      <c r="H172" s="1080">
        <f t="shared" si="114"/>
        <v>13.85</v>
      </c>
      <c r="I172" s="1080">
        <f t="shared" si="114"/>
        <v>11.95</v>
      </c>
      <c r="J172" s="1080">
        <f t="shared" si="114"/>
        <v>10.15</v>
      </c>
      <c r="K172" s="1080">
        <f t="shared" si="114"/>
        <v>8.6</v>
      </c>
      <c r="L172" s="1080">
        <f t="shared" si="114"/>
        <v>7.85</v>
      </c>
      <c r="M172" s="1080">
        <f t="shared" si="114"/>
        <v>6.1</v>
      </c>
      <c r="N172" s="1080">
        <f t="shared" si="114"/>
        <v>5.85</v>
      </c>
      <c r="O172" s="1080">
        <f t="shared" si="114"/>
        <v>11.467898064011884</v>
      </c>
      <c r="P172" s="1080">
        <f t="shared" si="114"/>
        <v>7.7663830030950765</v>
      </c>
      <c r="Q172" s="1080">
        <f t="shared" si="114"/>
        <v>6.4647759447939386</v>
      </c>
      <c r="R172" s="1080">
        <f t="shared" si="114"/>
        <v>6.5830294771624471</v>
      </c>
      <c r="S172" s="1080">
        <f t="shared" si="114"/>
        <v>6.8367367407151214</v>
      </c>
      <c r="T172" s="1080">
        <f t="shared" si="114"/>
        <v>7.0869633419431945</v>
      </c>
      <c r="U172" s="1080">
        <f t="shared" si="114"/>
        <v>7.3237003604902249</v>
      </c>
      <c r="V172" s="1080">
        <f t="shared" si="114"/>
        <v>7.2904494140519214</v>
      </c>
      <c r="W172" s="1080">
        <f t="shared" si="114"/>
        <v>7.2658292469417001</v>
      </c>
      <c r="X172" s="1080">
        <f t="shared" si="114"/>
        <v>7.2386152965441681</v>
      </c>
      <c r="Y172" s="1080">
        <f t="shared" si="114"/>
        <v>7.2065953240946836</v>
      </c>
      <c r="Z172" s="1080">
        <f t="shared" si="114"/>
        <v>7.1719818027432378</v>
      </c>
      <c r="AA172" s="1080">
        <f t="shared" si="114"/>
        <v>7.1332515760414905</v>
      </c>
      <c r="AB172" s="1080">
        <f t="shared" si="114"/>
        <v>7.1153465320667548</v>
      </c>
      <c r="AC172" s="1080">
        <f t="shared" si="114"/>
        <v>7.097518632127068</v>
      </c>
      <c r="AD172" s="1080">
        <f t="shared" si="114"/>
        <v>7.0795572350830023</v>
      </c>
      <c r="AE172" s="1080">
        <f t="shared" si="114"/>
        <v>7.0616767132396783</v>
      </c>
      <c r="AF172" s="1080">
        <f t="shared" si="114"/>
        <v>7.0437860033118742</v>
      </c>
      <c r="AG172" s="1080">
        <f t="shared" si="114"/>
        <v>7.0259928453493545</v>
      </c>
      <c r="AH172" s="1080">
        <f t="shared" si="114"/>
        <v>7.0080856252282011</v>
      </c>
      <c r="AI172" s="1080">
        <f t="shared" si="114"/>
        <v>6.990255369175598</v>
      </c>
      <c r="AJ172" s="1080">
        <f t="shared" si="114"/>
        <v>6.9723272493975728</v>
      </c>
      <c r="AK172" s="1080">
        <f t="shared" si="114"/>
        <v>6.9544309358125274</v>
      </c>
      <c r="AL172" s="1080">
        <f t="shared" si="114"/>
        <v>6.9365345690910853</v>
      </c>
      <c r="AM172" s="1080">
        <f t="shared" si="114"/>
        <v>6.9183052264039517</v>
      </c>
      <c r="AN172" s="1080">
        <f t="shared" si="114"/>
        <v>6.900075278683218</v>
      </c>
      <c r="AO172" s="1080">
        <f t="shared" si="114"/>
        <v>6.8818447251553092</v>
      </c>
      <c r="AP172" s="1080">
        <f t="shared" si="114"/>
        <v>6.8636135650456671</v>
      </c>
      <c r="AQ172" s="1080">
        <f t="shared" si="114"/>
        <v>6.8453817975787317</v>
      </c>
      <c r="AR172" s="1080">
        <f t="shared" si="114"/>
        <v>6.8271494219779587</v>
      </c>
      <c r="AS172" s="1080">
        <f t="shared" si="114"/>
        <v>6.808916437465812</v>
      </c>
      <c r="AT172" s="1080">
        <f t="shared" si="114"/>
        <v>6.7906828432637569</v>
      </c>
      <c r="AU172" s="1080">
        <f t="shared" si="114"/>
        <v>6.7724486385922678</v>
      </c>
      <c r="AV172" s="602"/>
      <c r="AW172" s="602"/>
      <c r="AX172" s="602"/>
      <c r="AY172" s="602"/>
      <c r="AZ172" s="602"/>
      <c r="BA172" s="602"/>
    </row>
    <row r="173" spans="2:53">
      <c r="B173" s="602"/>
      <c r="C173" s="602"/>
      <c r="D173" s="1077"/>
      <c r="E173" s="1077" t="s">
        <v>788</v>
      </c>
      <c r="F173" s="1046" t="s">
        <v>868</v>
      </c>
      <c r="G173" s="1080">
        <f>$E$199</f>
        <v>4.1805555555555554</v>
      </c>
      <c r="H173" s="1080">
        <f t="shared" ref="H173:AU173" si="115">$E$199</f>
        <v>4.1805555555555554</v>
      </c>
      <c r="I173" s="1080">
        <f t="shared" si="115"/>
        <v>4.1805555555555554</v>
      </c>
      <c r="J173" s="1080">
        <f t="shared" si="115"/>
        <v>4.1805555555555554</v>
      </c>
      <c r="K173" s="1080">
        <f t="shared" si="115"/>
        <v>4.1805555555555554</v>
      </c>
      <c r="L173" s="1080">
        <f t="shared" si="115"/>
        <v>4.1805555555555554</v>
      </c>
      <c r="M173" s="1080">
        <f t="shared" si="115"/>
        <v>4.1805555555555554</v>
      </c>
      <c r="N173" s="1080">
        <f t="shared" si="115"/>
        <v>4.1805555555555554</v>
      </c>
      <c r="O173" s="1080">
        <f t="shared" si="115"/>
        <v>4.1805555555555554</v>
      </c>
      <c r="P173" s="1080">
        <f t="shared" si="115"/>
        <v>4.1805555555555554</v>
      </c>
      <c r="Q173" s="1080">
        <f t="shared" si="115"/>
        <v>4.1805555555555554</v>
      </c>
      <c r="R173" s="1080">
        <f t="shared" si="115"/>
        <v>4.1805555555555554</v>
      </c>
      <c r="S173" s="1080">
        <f t="shared" si="115"/>
        <v>4.1805555555555554</v>
      </c>
      <c r="T173" s="1080">
        <f t="shared" si="115"/>
        <v>4.1805555555555554</v>
      </c>
      <c r="U173" s="1080">
        <f t="shared" si="115"/>
        <v>4.1805555555555554</v>
      </c>
      <c r="V173" s="1080">
        <f t="shared" si="115"/>
        <v>4.1805555555555554</v>
      </c>
      <c r="W173" s="1080">
        <f t="shared" si="115"/>
        <v>4.1805555555555554</v>
      </c>
      <c r="X173" s="1080">
        <f t="shared" si="115"/>
        <v>4.1805555555555554</v>
      </c>
      <c r="Y173" s="1080">
        <f t="shared" si="115"/>
        <v>4.1805555555555554</v>
      </c>
      <c r="Z173" s="1080">
        <f t="shared" si="115"/>
        <v>4.1805555555555554</v>
      </c>
      <c r="AA173" s="1080">
        <f t="shared" si="115"/>
        <v>4.1805555555555554</v>
      </c>
      <c r="AB173" s="1080">
        <f t="shared" si="115"/>
        <v>4.1805555555555554</v>
      </c>
      <c r="AC173" s="1080">
        <f t="shared" si="115"/>
        <v>4.1805555555555554</v>
      </c>
      <c r="AD173" s="1080">
        <f t="shared" si="115"/>
        <v>4.1805555555555554</v>
      </c>
      <c r="AE173" s="1080">
        <f t="shared" si="115"/>
        <v>4.1805555555555554</v>
      </c>
      <c r="AF173" s="1080">
        <f t="shared" si="115"/>
        <v>4.1805555555555554</v>
      </c>
      <c r="AG173" s="1080">
        <f t="shared" si="115"/>
        <v>4.1805555555555554</v>
      </c>
      <c r="AH173" s="1080">
        <f t="shared" si="115"/>
        <v>4.1805555555555554</v>
      </c>
      <c r="AI173" s="1080">
        <f t="shared" si="115"/>
        <v>4.1805555555555554</v>
      </c>
      <c r="AJ173" s="1080">
        <f t="shared" si="115"/>
        <v>4.1805555555555554</v>
      </c>
      <c r="AK173" s="1080">
        <f t="shared" si="115"/>
        <v>4.1805555555555554</v>
      </c>
      <c r="AL173" s="1080">
        <f t="shared" si="115"/>
        <v>4.1805555555555554</v>
      </c>
      <c r="AM173" s="1080">
        <f t="shared" si="115"/>
        <v>4.1805555555555554</v>
      </c>
      <c r="AN173" s="1080">
        <f t="shared" si="115"/>
        <v>4.1805555555555554</v>
      </c>
      <c r="AO173" s="1080">
        <f t="shared" si="115"/>
        <v>4.1805555555555554</v>
      </c>
      <c r="AP173" s="1080">
        <f t="shared" si="115"/>
        <v>4.1805555555555554</v>
      </c>
      <c r="AQ173" s="1080">
        <f t="shared" si="115"/>
        <v>4.1805555555555554</v>
      </c>
      <c r="AR173" s="1080">
        <f t="shared" si="115"/>
        <v>4.1805555555555554</v>
      </c>
      <c r="AS173" s="1080">
        <f t="shared" si="115"/>
        <v>4.1805555555555554</v>
      </c>
      <c r="AT173" s="1080">
        <f t="shared" si="115"/>
        <v>4.1805555555555554</v>
      </c>
      <c r="AU173" s="1080">
        <f t="shared" si="115"/>
        <v>4.1805555555555554</v>
      </c>
      <c r="AV173" s="602"/>
      <c r="AW173" s="602"/>
      <c r="AX173" s="602"/>
      <c r="AY173" s="602"/>
      <c r="AZ173" s="602"/>
      <c r="BA173" s="602"/>
    </row>
    <row r="174" spans="2:53">
      <c r="B174" s="602"/>
      <c r="C174" s="602"/>
      <c r="D174" s="1077" t="s">
        <v>870</v>
      </c>
      <c r="E174" s="1077" t="s">
        <v>790</v>
      </c>
      <c r="F174" s="1046" t="s">
        <v>868</v>
      </c>
      <c r="G174" s="1080">
        <f>$E$179</f>
        <v>0.1</v>
      </c>
      <c r="H174" s="1080">
        <f t="shared" ref="H174:AU174" si="116">$E$179</f>
        <v>0.1</v>
      </c>
      <c r="I174" s="1080">
        <f t="shared" si="116"/>
        <v>0.1</v>
      </c>
      <c r="J174" s="1080">
        <f t="shared" si="116"/>
        <v>0.1</v>
      </c>
      <c r="K174" s="1080">
        <f t="shared" si="116"/>
        <v>0.1</v>
      </c>
      <c r="L174" s="1080">
        <f t="shared" si="116"/>
        <v>0.1</v>
      </c>
      <c r="M174" s="1080">
        <f t="shared" si="116"/>
        <v>0.1</v>
      </c>
      <c r="N174" s="1080">
        <f t="shared" si="116"/>
        <v>0.1</v>
      </c>
      <c r="O174" s="1080">
        <f t="shared" si="116"/>
        <v>0.1</v>
      </c>
      <c r="P174" s="1080">
        <f t="shared" si="116"/>
        <v>0.1</v>
      </c>
      <c r="Q174" s="1080">
        <f t="shared" si="116"/>
        <v>0.1</v>
      </c>
      <c r="R174" s="1080">
        <f t="shared" si="116"/>
        <v>0.1</v>
      </c>
      <c r="S174" s="1080">
        <f t="shared" si="116"/>
        <v>0.1</v>
      </c>
      <c r="T174" s="1080">
        <f t="shared" si="116"/>
        <v>0.1</v>
      </c>
      <c r="U174" s="1080">
        <f t="shared" si="116"/>
        <v>0.1</v>
      </c>
      <c r="V174" s="1080">
        <f t="shared" si="116"/>
        <v>0.1</v>
      </c>
      <c r="W174" s="1080">
        <f t="shared" si="116"/>
        <v>0.1</v>
      </c>
      <c r="X174" s="1080">
        <f t="shared" si="116"/>
        <v>0.1</v>
      </c>
      <c r="Y174" s="1080">
        <f t="shared" si="116"/>
        <v>0.1</v>
      </c>
      <c r="Z174" s="1080">
        <f t="shared" si="116"/>
        <v>0.1</v>
      </c>
      <c r="AA174" s="1080">
        <f t="shared" si="116"/>
        <v>0.1</v>
      </c>
      <c r="AB174" s="1080">
        <f t="shared" si="116"/>
        <v>0.1</v>
      </c>
      <c r="AC174" s="1080">
        <f t="shared" si="116"/>
        <v>0.1</v>
      </c>
      <c r="AD174" s="1080">
        <f t="shared" si="116"/>
        <v>0.1</v>
      </c>
      <c r="AE174" s="1080">
        <f t="shared" si="116"/>
        <v>0.1</v>
      </c>
      <c r="AF174" s="1080">
        <f t="shared" si="116"/>
        <v>0.1</v>
      </c>
      <c r="AG174" s="1080">
        <f t="shared" si="116"/>
        <v>0.1</v>
      </c>
      <c r="AH174" s="1080">
        <f t="shared" si="116"/>
        <v>0.1</v>
      </c>
      <c r="AI174" s="1080">
        <f t="shared" si="116"/>
        <v>0.1</v>
      </c>
      <c r="AJ174" s="1080">
        <f t="shared" si="116"/>
        <v>0.1</v>
      </c>
      <c r="AK174" s="1080">
        <f t="shared" si="116"/>
        <v>0.1</v>
      </c>
      <c r="AL174" s="1080">
        <f t="shared" si="116"/>
        <v>0.1</v>
      </c>
      <c r="AM174" s="1080">
        <f t="shared" si="116"/>
        <v>0.1</v>
      </c>
      <c r="AN174" s="1080">
        <f t="shared" si="116"/>
        <v>0.1</v>
      </c>
      <c r="AO174" s="1080">
        <f t="shared" si="116"/>
        <v>0.1</v>
      </c>
      <c r="AP174" s="1080">
        <f t="shared" si="116"/>
        <v>0.1</v>
      </c>
      <c r="AQ174" s="1080">
        <f t="shared" si="116"/>
        <v>0.1</v>
      </c>
      <c r="AR174" s="1080">
        <f t="shared" si="116"/>
        <v>0.1</v>
      </c>
      <c r="AS174" s="1080">
        <f t="shared" si="116"/>
        <v>0.1</v>
      </c>
      <c r="AT174" s="1080">
        <f t="shared" si="116"/>
        <v>0.1</v>
      </c>
      <c r="AU174" s="1080">
        <f t="shared" si="116"/>
        <v>0.1</v>
      </c>
      <c r="AV174" s="602"/>
      <c r="AW174" s="602"/>
      <c r="AX174" s="602"/>
      <c r="AY174" s="602"/>
      <c r="AZ174" s="602"/>
      <c r="BA174" s="602"/>
    </row>
    <row r="175" spans="2:53">
      <c r="B175" s="602"/>
      <c r="C175" s="602"/>
      <c r="D175" s="1077"/>
      <c r="E175" s="1077" t="s">
        <v>1607</v>
      </c>
      <c r="F175" s="1046" t="s">
        <v>206</v>
      </c>
      <c r="G175" s="1080">
        <f>G164</f>
        <v>10</v>
      </c>
      <c r="H175" s="1080">
        <f t="shared" ref="H175:AU175" si="117">H164</f>
        <v>10</v>
      </c>
      <c r="I175" s="1080">
        <f t="shared" si="117"/>
        <v>10</v>
      </c>
      <c r="J175" s="1080">
        <f t="shared" si="117"/>
        <v>10</v>
      </c>
      <c r="K175" s="1080">
        <f t="shared" si="117"/>
        <v>10</v>
      </c>
      <c r="L175" s="1080">
        <f t="shared" si="117"/>
        <v>10</v>
      </c>
      <c r="M175" s="1080">
        <f t="shared" si="117"/>
        <v>10</v>
      </c>
      <c r="N175" s="1080">
        <f t="shared" si="117"/>
        <v>10</v>
      </c>
      <c r="O175" s="1080">
        <f t="shared" si="117"/>
        <v>10</v>
      </c>
      <c r="P175" s="1080">
        <f t="shared" si="117"/>
        <v>10</v>
      </c>
      <c r="Q175" s="1080">
        <f t="shared" si="117"/>
        <v>10</v>
      </c>
      <c r="R175" s="1080">
        <f t="shared" si="117"/>
        <v>10</v>
      </c>
      <c r="S175" s="1080">
        <f t="shared" si="117"/>
        <v>10</v>
      </c>
      <c r="T175" s="1080">
        <f t="shared" si="117"/>
        <v>10</v>
      </c>
      <c r="U175" s="1080">
        <f t="shared" si="117"/>
        <v>10</v>
      </c>
      <c r="V175" s="1080">
        <f t="shared" si="117"/>
        <v>10</v>
      </c>
      <c r="W175" s="1080">
        <f t="shared" si="117"/>
        <v>10</v>
      </c>
      <c r="X175" s="1080">
        <f t="shared" si="117"/>
        <v>10</v>
      </c>
      <c r="Y175" s="1080">
        <f t="shared" si="117"/>
        <v>10</v>
      </c>
      <c r="Z175" s="1080">
        <f t="shared" si="117"/>
        <v>10</v>
      </c>
      <c r="AA175" s="1080">
        <f t="shared" si="117"/>
        <v>10</v>
      </c>
      <c r="AB175" s="1080">
        <f t="shared" si="117"/>
        <v>10</v>
      </c>
      <c r="AC175" s="1080">
        <f t="shared" si="117"/>
        <v>10</v>
      </c>
      <c r="AD175" s="1080">
        <f t="shared" si="117"/>
        <v>10</v>
      </c>
      <c r="AE175" s="1080">
        <f t="shared" si="117"/>
        <v>10</v>
      </c>
      <c r="AF175" s="1080">
        <f t="shared" si="117"/>
        <v>10</v>
      </c>
      <c r="AG175" s="1080">
        <f t="shared" si="117"/>
        <v>10</v>
      </c>
      <c r="AH175" s="1080">
        <f t="shared" si="117"/>
        <v>10</v>
      </c>
      <c r="AI175" s="1080">
        <f t="shared" si="117"/>
        <v>10</v>
      </c>
      <c r="AJ175" s="1080">
        <f t="shared" si="117"/>
        <v>10</v>
      </c>
      <c r="AK175" s="1080">
        <f t="shared" si="117"/>
        <v>10</v>
      </c>
      <c r="AL175" s="1080">
        <f t="shared" si="117"/>
        <v>10</v>
      </c>
      <c r="AM175" s="1080">
        <f t="shared" si="117"/>
        <v>10</v>
      </c>
      <c r="AN175" s="1080">
        <f t="shared" si="117"/>
        <v>10</v>
      </c>
      <c r="AO175" s="1080">
        <f t="shared" si="117"/>
        <v>10</v>
      </c>
      <c r="AP175" s="1080">
        <f t="shared" si="117"/>
        <v>10</v>
      </c>
      <c r="AQ175" s="1080">
        <f t="shared" si="117"/>
        <v>10</v>
      </c>
      <c r="AR175" s="1080">
        <f t="shared" si="117"/>
        <v>10</v>
      </c>
      <c r="AS175" s="1080">
        <f t="shared" si="117"/>
        <v>10</v>
      </c>
      <c r="AT175" s="1080">
        <f t="shared" si="117"/>
        <v>10</v>
      </c>
      <c r="AU175" s="1080">
        <f t="shared" si="117"/>
        <v>10</v>
      </c>
      <c r="AV175" s="602"/>
      <c r="AW175" s="602"/>
      <c r="AX175" s="602"/>
      <c r="AY175" s="602"/>
      <c r="AZ175" s="602"/>
      <c r="BA175" s="602"/>
    </row>
    <row r="176" spans="2:53">
      <c r="B176" s="602"/>
      <c r="C176" s="602"/>
      <c r="D176" s="1077"/>
      <c r="E176" s="1077"/>
      <c r="F176" s="1046"/>
      <c r="G176" s="1077"/>
      <c r="H176" s="588"/>
      <c r="I176" s="602"/>
      <c r="J176" s="602"/>
      <c r="K176" s="602"/>
      <c r="L176" s="602"/>
      <c r="M176" s="602"/>
      <c r="N176" s="602"/>
      <c r="O176" s="602"/>
      <c r="P176" s="602"/>
      <c r="Q176" s="602"/>
      <c r="R176" s="602"/>
      <c r="S176" s="602"/>
      <c r="T176" s="602"/>
      <c r="U176" s="602"/>
      <c r="V176" s="602"/>
      <c r="W176" s="602"/>
      <c r="X176" s="602"/>
      <c r="Y176" s="602"/>
      <c r="Z176" s="602"/>
      <c r="AA176" s="602"/>
      <c r="AB176" s="602"/>
      <c r="AC176" s="602"/>
      <c r="AD176" s="602"/>
      <c r="AE176" s="602"/>
      <c r="AF176" s="602"/>
      <c r="AG176" s="602"/>
      <c r="AH176" s="602"/>
      <c r="AI176" s="602"/>
      <c r="AJ176" s="602"/>
      <c r="AK176" s="602"/>
      <c r="AL176" s="602"/>
      <c r="AM176" s="602"/>
      <c r="AN176" s="602"/>
      <c r="AO176" s="602"/>
      <c r="AP176" s="602"/>
      <c r="AQ176" s="602"/>
      <c r="AR176" s="602"/>
      <c r="AS176" s="602"/>
      <c r="AT176" s="602"/>
      <c r="AU176" s="602"/>
      <c r="AV176" s="602"/>
      <c r="AW176" s="602"/>
      <c r="AX176" s="602"/>
      <c r="AY176" s="602"/>
      <c r="AZ176" s="602"/>
      <c r="BA176" s="602"/>
    </row>
    <row r="177" spans="2:53" ht="13.8" thickBot="1">
      <c r="B177" s="602"/>
      <c r="C177" s="602"/>
      <c r="D177" s="1077"/>
      <c r="E177" s="1077"/>
      <c r="F177" s="1046"/>
      <c r="G177" s="1077"/>
      <c r="H177" s="588"/>
      <c r="I177" s="602"/>
      <c r="J177" s="602"/>
      <c r="K177" s="602"/>
      <c r="L177" s="602"/>
      <c r="M177" s="602"/>
      <c r="N177" s="602"/>
      <c r="O177" s="602"/>
      <c r="P177" s="602"/>
      <c r="Q177" s="602"/>
      <c r="R177" s="602"/>
      <c r="S177" s="602"/>
      <c r="T177" s="602"/>
      <c r="U177" s="602"/>
      <c r="V177" s="602"/>
      <c r="W177" s="602"/>
      <c r="X177" s="602"/>
      <c r="Y177" s="602"/>
      <c r="Z177" s="602"/>
      <c r="AA177" s="602"/>
      <c r="AB177" s="602"/>
      <c r="AC177" s="602"/>
      <c r="AD177" s="602"/>
      <c r="AE177" s="602"/>
      <c r="AF177" s="602"/>
      <c r="AG177" s="602"/>
      <c r="AH177" s="602"/>
      <c r="AI177" s="602"/>
      <c r="AJ177" s="602"/>
      <c r="AK177" s="602"/>
      <c r="AL177" s="602"/>
      <c r="AM177" s="602"/>
      <c r="AN177" s="602"/>
      <c r="AO177" s="602"/>
      <c r="AP177" s="602"/>
      <c r="AQ177" s="602"/>
      <c r="AR177" s="602"/>
      <c r="AS177" s="602"/>
      <c r="AT177" s="602"/>
      <c r="AU177" s="602"/>
      <c r="AV177" s="602"/>
      <c r="AW177" s="602"/>
      <c r="AX177" s="602"/>
      <c r="AY177" s="602"/>
      <c r="AZ177" s="602"/>
      <c r="BA177" s="602"/>
    </row>
    <row r="178" spans="2:53" ht="13.8" thickBot="1">
      <c r="B178" s="602"/>
      <c r="C178" s="220" t="s">
        <v>325</v>
      </c>
      <c r="D178" s="221" t="s">
        <v>318</v>
      </c>
      <c r="E178" s="221"/>
      <c r="F178" s="221" t="s">
        <v>328</v>
      </c>
      <c r="G178" s="221" t="s">
        <v>319</v>
      </c>
      <c r="H178" s="221" t="s">
        <v>429</v>
      </c>
      <c r="I178" s="222" t="s">
        <v>173</v>
      </c>
      <c r="J178" s="602"/>
      <c r="K178" s="602"/>
      <c r="L178" s="602"/>
      <c r="M178" s="602"/>
      <c r="N178" s="602"/>
      <c r="O178" s="602"/>
      <c r="P178" s="602"/>
      <c r="Q178" s="602"/>
      <c r="R178" s="602"/>
      <c r="S178" s="602"/>
      <c r="T178" s="602"/>
      <c r="U178" s="602"/>
      <c r="V178" s="602"/>
      <c r="W178" s="602"/>
      <c r="X178" s="602"/>
      <c r="Y178" s="602"/>
      <c r="Z178" s="602"/>
      <c r="AA178" s="602"/>
      <c r="AB178" s="602"/>
      <c r="AC178" s="602"/>
      <c r="AD178" s="602"/>
      <c r="AE178" s="602"/>
      <c r="AF178" s="602"/>
      <c r="AG178" s="602"/>
      <c r="AH178" s="602"/>
      <c r="AI178" s="602"/>
      <c r="AJ178" s="602"/>
      <c r="AK178" s="602"/>
      <c r="AL178" s="602"/>
      <c r="AM178" s="602"/>
      <c r="AN178" s="602"/>
      <c r="AO178" s="602"/>
      <c r="AP178" s="602"/>
      <c r="AQ178" s="602"/>
      <c r="AR178" s="602"/>
      <c r="AS178" s="602"/>
      <c r="AT178" s="602"/>
      <c r="AU178" s="602"/>
      <c r="AV178" s="602"/>
      <c r="AW178" s="602"/>
      <c r="AX178" s="602"/>
      <c r="AY178" s="602"/>
      <c r="AZ178" s="602"/>
      <c r="BA178" s="602"/>
    </row>
    <row r="179" spans="2:53">
      <c r="B179" s="602"/>
      <c r="C179" s="219" t="s">
        <v>329</v>
      </c>
      <c r="D179" s="602" t="s">
        <v>330</v>
      </c>
      <c r="E179" s="602">
        <v>0.1</v>
      </c>
      <c r="F179" s="602" t="s">
        <v>322</v>
      </c>
      <c r="G179" s="602" t="s">
        <v>331</v>
      </c>
      <c r="H179" s="602"/>
      <c r="I179" s="210"/>
      <c r="J179" s="602"/>
      <c r="K179" s="602"/>
      <c r="L179" s="602"/>
      <c r="M179" s="602"/>
      <c r="N179" s="602"/>
      <c r="O179" s="602"/>
      <c r="P179" s="602"/>
      <c r="Q179" s="602"/>
      <c r="R179" s="602"/>
      <c r="S179" s="602"/>
      <c r="T179" s="602"/>
      <c r="U179" s="602"/>
      <c r="V179" s="602"/>
      <c r="W179" s="602"/>
      <c r="X179" s="602"/>
      <c r="Y179" s="602"/>
      <c r="Z179" s="602"/>
      <c r="AA179" s="602"/>
      <c r="AB179" s="602"/>
      <c r="AC179" s="602"/>
      <c r="AD179" s="602"/>
      <c r="AE179" s="602"/>
      <c r="AF179" s="602"/>
      <c r="AG179" s="602"/>
      <c r="AH179" s="602"/>
      <c r="AI179" s="602"/>
      <c r="AJ179" s="602"/>
      <c r="AK179" s="602"/>
      <c r="AL179" s="602"/>
      <c r="AM179" s="602"/>
      <c r="AN179" s="602"/>
      <c r="AO179" s="602"/>
      <c r="AP179" s="602"/>
      <c r="AQ179" s="602"/>
      <c r="AR179" s="602"/>
      <c r="AS179" s="602"/>
      <c r="AT179" s="602"/>
      <c r="AU179" s="602"/>
      <c r="AV179" s="602"/>
      <c r="AW179" s="602"/>
      <c r="AX179" s="602"/>
      <c r="AY179" s="602"/>
      <c r="AZ179" s="602"/>
      <c r="BA179" s="602"/>
    </row>
    <row r="180" spans="2:53">
      <c r="B180" s="602"/>
      <c r="C180" s="219" t="s">
        <v>312</v>
      </c>
      <c r="D180" s="602" t="s">
        <v>1616</v>
      </c>
      <c r="E180" s="957">
        <v>3</v>
      </c>
      <c r="F180" s="602" t="s">
        <v>323</v>
      </c>
      <c r="G180" s="602" t="s">
        <v>320</v>
      </c>
      <c r="H180" s="602"/>
      <c r="I180" s="210"/>
      <c r="J180" s="602"/>
      <c r="K180" s="602"/>
      <c r="L180" s="602"/>
      <c r="M180" s="602"/>
      <c r="N180" s="602"/>
      <c r="O180" s="602"/>
      <c r="P180" s="602"/>
      <c r="Q180" s="602"/>
      <c r="R180" s="602"/>
      <c r="S180" s="602"/>
      <c r="T180" s="602"/>
      <c r="U180" s="602"/>
      <c r="V180" s="602"/>
      <c r="W180" s="602"/>
      <c r="X180" s="602"/>
      <c r="Y180" s="602"/>
      <c r="Z180" s="602"/>
      <c r="AA180" s="602"/>
      <c r="AB180" s="602"/>
      <c r="AC180" s="602"/>
      <c r="AD180" s="602"/>
      <c r="AE180" s="602"/>
      <c r="AF180" s="602"/>
      <c r="AG180" s="602"/>
      <c r="AH180" s="602"/>
      <c r="AI180" s="602"/>
      <c r="AJ180" s="602"/>
      <c r="AK180" s="602"/>
      <c r="AL180" s="602"/>
      <c r="AM180" s="602"/>
      <c r="AN180" s="602"/>
      <c r="AO180" s="602"/>
      <c r="AP180" s="602"/>
      <c r="AQ180" s="602"/>
      <c r="AR180" s="602"/>
      <c r="AS180" s="602"/>
      <c r="AT180" s="602"/>
      <c r="AU180" s="602"/>
      <c r="AV180" s="602"/>
      <c r="AW180" s="602"/>
      <c r="AX180" s="602"/>
      <c r="AY180" s="602"/>
      <c r="AZ180" s="602"/>
      <c r="BA180" s="602"/>
    </row>
    <row r="181" spans="2:53">
      <c r="B181" s="602"/>
      <c r="C181" s="219" t="s">
        <v>313</v>
      </c>
      <c r="D181" s="602" t="s">
        <v>1617</v>
      </c>
      <c r="E181" s="602">
        <v>3</v>
      </c>
      <c r="F181" s="602" t="s">
        <v>323</v>
      </c>
      <c r="G181" s="602" t="s">
        <v>320</v>
      </c>
      <c r="H181" s="602"/>
      <c r="I181" s="210"/>
      <c r="J181" s="602"/>
      <c r="K181" s="602"/>
      <c r="L181" s="602"/>
      <c r="M181" s="602"/>
      <c r="N181" s="602"/>
      <c r="O181" s="602"/>
      <c r="P181" s="602"/>
      <c r="Q181" s="602"/>
      <c r="R181" s="602"/>
      <c r="S181" s="602"/>
      <c r="T181" s="602"/>
      <c r="U181" s="602"/>
      <c r="V181" s="602"/>
      <c r="W181" s="602"/>
      <c r="X181" s="602"/>
      <c r="Y181" s="602"/>
      <c r="Z181" s="602"/>
      <c r="AA181" s="602"/>
      <c r="AB181" s="602"/>
      <c r="AC181" s="602"/>
      <c r="AD181" s="602"/>
      <c r="AE181" s="602"/>
      <c r="AF181" s="602"/>
      <c r="AG181" s="602"/>
      <c r="AH181" s="602"/>
      <c r="AI181" s="602"/>
      <c r="AJ181" s="602"/>
      <c r="AK181" s="602"/>
      <c r="AL181" s="602"/>
      <c r="AM181" s="602"/>
      <c r="AN181" s="602"/>
      <c r="AO181" s="602"/>
      <c r="AP181" s="602"/>
      <c r="AQ181" s="602"/>
      <c r="AR181" s="602"/>
      <c r="AS181" s="602"/>
      <c r="AT181" s="602"/>
      <c r="AU181" s="602"/>
      <c r="AV181" s="602"/>
      <c r="AW181" s="602"/>
      <c r="AX181" s="602"/>
      <c r="AY181" s="602"/>
      <c r="AZ181" s="602"/>
      <c r="BA181" s="602"/>
    </row>
    <row r="182" spans="2:53">
      <c r="B182" s="602"/>
      <c r="C182" s="219" t="s">
        <v>317</v>
      </c>
      <c r="D182" s="602" t="s">
        <v>1617</v>
      </c>
      <c r="E182" s="602">
        <v>3</v>
      </c>
      <c r="F182" s="602" t="s">
        <v>323</v>
      </c>
      <c r="G182" s="588" t="s">
        <v>320</v>
      </c>
      <c r="H182" s="588"/>
      <c r="I182" s="210"/>
      <c r="J182" s="602"/>
      <c r="K182" s="602"/>
      <c r="L182" s="602"/>
      <c r="M182" s="602"/>
      <c r="N182" s="602"/>
      <c r="O182" s="602"/>
      <c r="P182" s="602"/>
      <c r="Q182" s="602"/>
      <c r="R182" s="602"/>
      <c r="S182" s="602"/>
      <c r="T182" s="602"/>
      <c r="U182" s="602"/>
      <c r="V182" s="602"/>
      <c r="W182" s="602"/>
      <c r="X182" s="602"/>
      <c r="Y182" s="602"/>
      <c r="Z182" s="602"/>
      <c r="AA182" s="602"/>
      <c r="AB182" s="602"/>
      <c r="AC182" s="602"/>
      <c r="AD182" s="602"/>
      <c r="AE182" s="602"/>
      <c r="AF182" s="602"/>
      <c r="AG182" s="602"/>
      <c r="AH182" s="602"/>
      <c r="AI182" s="602"/>
      <c r="AJ182" s="602"/>
      <c r="AK182" s="602"/>
      <c r="AL182" s="602"/>
      <c r="AM182" s="602"/>
      <c r="AN182" s="602"/>
      <c r="AO182" s="602"/>
      <c r="AP182" s="602"/>
      <c r="AQ182" s="602"/>
      <c r="AR182" s="602"/>
      <c r="AS182" s="602"/>
      <c r="AT182" s="602"/>
      <c r="AU182" s="602"/>
      <c r="AV182" s="602"/>
      <c r="AW182" s="602"/>
      <c r="AX182" s="602"/>
      <c r="AY182" s="602"/>
      <c r="AZ182" s="602"/>
      <c r="BA182" s="602"/>
    </row>
    <row r="183" spans="2:53">
      <c r="B183" s="602"/>
      <c r="C183" s="219" t="s">
        <v>689</v>
      </c>
      <c r="D183" s="1074" t="s">
        <v>690</v>
      </c>
      <c r="E183" s="602">
        <v>1.1000000000000001</v>
      </c>
      <c r="F183" s="602" t="s">
        <v>323</v>
      </c>
      <c r="G183" s="602" t="s">
        <v>320</v>
      </c>
      <c r="H183" s="588"/>
      <c r="I183" s="602"/>
      <c r="J183" s="602"/>
      <c r="K183" s="602"/>
      <c r="L183" s="602"/>
      <c r="M183" s="602"/>
      <c r="N183" s="602"/>
      <c r="O183" s="602"/>
      <c r="P183" s="602"/>
      <c r="Q183" s="602"/>
      <c r="R183" s="602"/>
      <c r="S183" s="602"/>
      <c r="T183" s="602"/>
      <c r="U183" s="602"/>
      <c r="V183" s="602"/>
      <c r="W183" s="602"/>
      <c r="X183" s="602"/>
      <c r="Y183" s="602"/>
      <c r="Z183" s="602"/>
      <c r="AA183" s="602"/>
      <c r="AB183" s="602"/>
      <c r="AC183" s="602"/>
      <c r="AD183" s="602"/>
      <c r="AE183" s="602"/>
      <c r="AF183" s="602"/>
      <c r="AG183" s="602"/>
      <c r="AH183" s="602"/>
      <c r="AI183" s="602"/>
      <c r="AJ183" s="602"/>
      <c r="AK183" s="602"/>
      <c r="AL183" s="602"/>
      <c r="AM183" s="602"/>
      <c r="AN183" s="602"/>
      <c r="AO183" s="602"/>
      <c r="AP183" s="602"/>
      <c r="AQ183" s="602"/>
      <c r="AR183" s="602"/>
      <c r="AS183" s="602"/>
      <c r="AT183" s="602"/>
      <c r="AU183" s="602"/>
      <c r="AV183" s="602"/>
      <c r="AW183" s="602"/>
      <c r="AX183" s="602"/>
      <c r="AY183" s="602"/>
      <c r="AZ183" s="602"/>
      <c r="BA183" s="602"/>
    </row>
    <row r="184" spans="2:53">
      <c r="B184" s="602"/>
      <c r="C184" s="219" t="s">
        <v>314</v>
      </c>
      <c r="D184" s="588" t="s">
        <v>567</v>
      </c>
      <c r="E184" s="1075">
        <v>63.673753033597997</v>
      </c>
      <c r="F184" s="602" t="s">
        <v>322</v>
      </c>
      <c r="G184" s="602" t="s">
        <v>321</v>
      </c>
      <c r="H184" s="602"/>
      <c r="I184" s="1083">
        <v>41640</v>
      </c>
      <c r="J184" s="602"/>
      <c r="K184" s="602"/>
      <c r="L184" s="602"/>
      <c r="M184" s="602"/>
      <c r="N184" s="602"/>
      <c r="O184" s="602"/>
      <c r="P184" s="602"/>
      <c r="Q184" s="602"/>
      <c r="R184" s="602"/>
      <c r="S184" s="602"/>
      <c r="T184" s="602"/>
      <c r="U184" s="602"/>
      <c r="V184" s="602"/>
      <c r="W184" s="602"/>
      <c r="X184" s="602"/>
      <c r="Y184" s="602"/>
      <c r="Z184" s="602"/>
      <c r="AA184" s="602"/>
      <c r="AB184" s="602"/>
      <c r="AC184" s="602"/>
      <c r="AD184" s="602"/>
      <c r="AE184" s="602"/>
      <c r="AF184" s="602"/>
      <c r="AG184" s="602"/>
      <c r="AH184" s="602"/>
      <c r="AI184" s="602"/>
      <c r="AJ184" s="602"/>
      <c r="AK184" s="602"/>
      <c r="AL184" s="602"/>
      <c r="AM184" s="602"/>
      <c r="AN184" s="602"/>
      <c r="AO184" s="602"/>
      <c r="AP184" s="602"/>
      <c r="AQ184" s="602"/>
      <c r="AR184" s="602"/>
      <c r="AS184" s="602"/>
      <c r="AT184" s="602"/>
      <c r="AU184" s="602"/>
      <c r="AV184" s="602"/>
      <c r="AW184" s="602"/>
      <c r="AX184" s="602"/>
      <c r="AY184" s="602"/>
      <c r="AZ184" s="602"/>
      <c r="BA184" s="602"/>
    </row>
    <row r="185" spans="2:53">
      <c r="B185" s="602"/>
      <c r="C185" s="219" t="s">
        <v>315</v>
      </c>
      <c r="D185" s="588" t="s">
        <v>568</v>
      </c>
      <c r="E185" s="1075">
        <v>99.186998923418699</v>
      </c>
      <c r="F185" s="602" t="s">
        <v>322</v>
      </c>
      <c r="G185" s="602" t="s">
        <v>321</v>
      </c>
      <c r="H185" s="602"/>
      <c r="I185" s="1083">
        <v>41640</v>
      </c>
      <c r="J185" s="602"/>
      <c r="K185" s="602"/>
      <c r="L185" s="602"/>
      <c r="M185" s="602"/>
      <c r="N185" s="602"/>
      <c r="O185" s="602"/>
      <c r="P185" s="602"/>
      <c r="Q185" s="602"/>
      <c r="R185" s="602"/>
      <c r="S185" s="602"/>
      <c r="T185" s="602"/>
      <c r="U185" s="602"/>
      <c r="V185" s="602"/>
      <c r="W185" s="602"/>
      <c r="X185" s="602"/>
      <c r="Y185" s="602"/>
      <c r="Z185" s="602"/>
      <c r="AA185" s="602"/>
      <c r="AB185" s="602"/>
      <c r="AC185" s="602"/>
      <c r="AD185" s="602"/>
      <c r="AE185" s="602"/>
      <c r="AF185" s="602"/>
      <c r="AG185" s="602"/>
      <c r="AH185" s="602"/>
      <c r="AI185" s="602"/>
      <c r="AJ185" s="602"/>
      <c r="AK185" s="602"/>
      <c r="AL185" s="602"/>
      <c r="AM185" s="602"/>
      <c r="AN185" s="602"/>
      <c r="AO185" s="602"/>
      <c r="AP185" s="602"/>
      <c r="AQ185" s="602"/>
      <c r="AR185" s="602"/>
      <c r="AS185" s="602"/>
      <c r="AT185" s="602"/>
      <c r="AU185" s="602"/>
      <c r="AV185" s="602"/>
      <c r="AW185" s="602"/>
      <c r="AX185" s="602"/>
      <c r="AY185" s="602"/>
      <c r="AZ185" s="602"/>
      <c r="BA185" s="602"/>
    </row>
    <row r="186" spans="2:53">
      <c r="B186" s="602"/>
      <c r="C186" s="219" t="s">
        <v>316</v>
      </c>
      <c r="D186" s="602" t="s">
        <v>324</v>
      </c>
      <c r="E186" s="602"/>
      <c r="F186" s="602"/>
      <c r="G186" s="602" t="s">
        <v>320</v>
      </c>
      <c r="H186" s="602"/>
      <c r="I186" s="210"/>
      <c r="J186" s="602"/>
      <c r="K186" s="602"/>
      <c r="L186" s="602"/>
      <c r="M186" s="602"/>
      <c r="N186" s="602"/>
      <c r="O186" s="602"/>
      <c r="P186" s="602"/>
      <c r="Q186" s="602"/>
      <c r="R186" s="602"/>
      <c r="S186" s="602"/>
      <c r="T186" s="602"/>
      <c r="U186" s="602"/>
      <c r="V186" s="602"/>
      <c r="W186" s="602"/>
      <c r="X186" s="602"/>
      <c r="Y186" s="602"/>
      <c r="Z186" s="602"/>
      <c r="AA186" s="602"/>
      <c r="AB186" s="602"/>
      <c r="AC186" s="602"/>
      <c r="AD186" s="602"/>
      <c r="AE186" s="602"/>
      <c r="AF186" s="602"/>
      <c r="AG186" s="602"/>
      <c r="AH186" s="602"/>
      <c r="AI186" s="602"/>
      <c r="AJ186" s="602"/>
      <c r="AK186" s="602"/>
      <c r="AL186" s="602"/>
      <c r="AM186" s="602"/>
      <c r="AN186" s="602"/>
      <c r="AO186" s="602"/>
      <c r="AP186" s="602"/>
      <c r="AQ186" s="602"/>
      <c r="AR186" s="602"/>
      <c r="AS186" s="602"/>
      <c r="AT186" s="602"/>
      <c r="AU186" s="602"/>
      <c r="AV186" s="602"/>
      <c r="AW186" s="602"/>
      <c r="AX186" s="602"/>
      <c r="AY186" s="602"/>
      <c r="AZ186" s="602"/>
      <c r="BA186" s="602"/>
    </row>
    <row r="187" spans="2:53">
      <c r="B187" s="602"/>
      <c r="C187" s="439" t="s">
        <v>847</v>
      </c>
      <c r="D187" s="602" t="s">
        <v>1618</v>
      </c>
      <c r="E187" s="602">
        <v>1.5</v>
      </c>
      <c r="F187" s="602" t="s">
        <v>848</v>
      </c>
      <c r="G187" s="588" t="s">
        <v>849</v>
      </c>
      <c r="H187" s="602"/>
      <c r="I187" s="210"/>
      <c r="J187" s="602"/>
      <c r="K187" s="602"/>
      <c r="L187" s="602"/>
      <c r="M187" s="602"/>
      <c r="N187" s="602"/>
      <c r="O187" s="602"/>
      <c r="P187" s="602"/>
      <c r="Q187" s="602"/>
      <c r="R187" s="602"/>
      <c r="S187" s="602"/>
      <c r="T187" s="602"/>
      <c r="U187" s="602"/>
      <c r="V187" s="602"/>
      <c r="W187" s="602"/>
      <c r="X187" s="602"/>
      <c r="Y187" s="602"/>
      <c r="Z187" s="602"/>
      <c r="AA187" s="602"/>
      <c r="AB187" s="602"/>
      <c r="AC187" s="602"/>
      <c r="AD187" s="602"/>
      <c r="AE187" s="602"/>
      <c r="AF187" s="602"/>
      <c r="AG187" s="602"/>
      <c r="AH187" s="602"/>
      <c r="AI187" s="602"/>
      <c r="AJ187" s="602"/>
      <c r="AK187" s="602"/>
      <c r="AL187" s="602"/>
      <c r="AM187" s="602"/>
      <c r="AN187" s="602"/>
      <c r="AO187" s="602"/>
      <c r="AP187" s="602"/>
      <c r="AQ187" s="602"/>
      <c r="AR187" s="602"/>
      <c r="AS187" s="602"/>
      <c r="AT187" s="602"/>
      <c r="AU187" s="602"/>
      <c r="AV187" s="602"/>
      <c r="AW187" s="602"/>
      <c r="AX187" s="602"/>
      <c r="AY187" s="602"/>
      <c r="AZ187" s="602"/>
      <c r="BA187" s="602"/>
    </row>
    <row r="188" spans="2:53" s="602" customFormat="1">
      <c r="C188" s="219" t="s">
        <v>1872</v>
      </c>
      <c r="D188" s="588" t="str">
        <f>E188*100&amp;"% of imported biomass"</f>
        <v>95% of imported biomass</v>
      </c>
      <c r="E188" s="1238">
        <v>0.95</v>
      </c>
      <c r="F188" s="557"/>
      <c r="G188" s="557" t="s">
        <v>605</v>
      </c>
      <c r="H188" s="588"/>
      <c r="I188" s="210"/>
    </row>
    <row r="189" spans="2:53">
      <c r="B189" s="602"/>
      <c r="C189" s="219" t="s">
        <v>326</v>
      </c>
      <c r="D189" s="588" t="str">
        <f>E189*100&amp;"% of imported crude oil cost"</f>
        <v>50% of imported crude oil cost</v>
      </c>
      <c r="E189" s="1238">
        <v>0.5</v>
      </c>
      <c r="F189" s="557"/>
      <c r="G189" s="557" t="s">
        <v>605</v>
      </c>
      <c r="H189" s="588" t="s">
        <v>606</v>
      </c>
      <c r="I189" s="210"/>
      <c r="J189" s="602"/>
      <c r="K189" s="602"/>
      <c r="L189" s="602"/>
      <c r="M189" s="602"/>
      <c r="N189" s="602"/>
      <c r="O189" s="602"/>
      <c r="P189" s="602"/>
      <c r="Q189" s="602"/>
      <c r="R189" s="602"/>
      <c r="S189" s="602"/>
      <c r="T189" s="602"/>
      <c r="U189" s="602"/>
      <c r="V189" s="602"/>
      <c r="W189" s="602"/>
      <c r="X189" s="602"/>
      <c r="Y189" s="602"/>
      <c r="Z189" s="602"/>
      <c r="AA189" s="602"/>
      <c r="AB189" s="602"/>
      <c r="AC189" s="602"/>
      <c r="AD189" s="602"/>
      <c r="AE189" s="602"/>
      <c r="AF189" s="602"/>
      <c r="AG189" s="602"/>
      <c r="AH189" s="602"/>
      <c r="AI189" s="602"/>
      <c r="AJ189" s="602"/>
      <c r="AK189" s="602"/>
      <c r="AL189" s="602"/>
      <c r="AM189" s="602"/>
      <c r="AN189" s="602"/>
      <c r="AO189" s="602"/>
      <c r="AP189" s="602"/>
      <c r="AQ189" s="602"/>
      <c r="AR189" s="602"/>
      <c r="AS189" s="602"/>
      <c r="AT189" s="602"/>
      <c r="AU189" s="602"/>
      <c r="AV189" s="602"/>
      <c r="AW189" s="602"/>
      <c r="AX189" s="602"/>
      <c r="AY189" s="602"/>
      <c r="AZ189" s="602"/>
      <c r="BA189" s="602"/>
    </row>
    <row r="190" spans="2:53">
      <c r="B190" s="602"/>
      <c r="C190" s="219" t="s">
        <v>310</v>
      </c>
      <c r="D190" s="602" t="str">
        <f>E190*100&amp;"% of imported natural gas cost"</f>
        <v>50% of imported natural gas cost</v>
      </c>
      <c r="E190" s="1238">
        <v>0.5</v>
      </c>
      <c r="F190" s="557"/>
      <c r="G190" s="557" t="s">
        <v>605</v>
      </c>
      <c r="H190" s="602" t="s">
        <v>606</v>
      </c>
      <c r="I190" s="210"/>
      <c r="J190" s="602"/>
      <c r="K190" s="602"/>
      <c r="L190" s="602"/>
      <c r="M190" s="602"/>
      <c r="N190" s="602"/>
      <c r="O190" s="602"/>
      <c r="P190" s="602"/>
      <c r="Q190" s="602"/>
      <c r="R190" s="602"/>
      <c r="S190" s="602"/>
      <c r="T190" s="602"/>
      <c r="U190" s="602"/>
      <c r="V190" s="602"/>
      <c r="W190" s="602"/>
      <c r="X190" s="602"/>
      <c r="Y190" s="602"/>
      <c r="Z190" s="602"/>
      <c r="AA190" s="602"/>
      <c r="AB190" s="602"/>
      <c r="AC190" s="602"/>
      <c r="AD190" s="602"/>
      <c r="AE190" s="602"/>
      <c r="AF190" s="602"/>
      <c r="AG190" s="602"/>
      <c r="AH190" s="602"/>
      <c r="AI190" s="602"/>
      <c r="AJ190" s="602"/>
      <c r="AK190" s="602"/>
      <c r="AL190" s="602"/>
      <c r="AM190" s="602"/>
      <c r="AN190" s="602"/>
      <c r="AO190" s="602"/>
      <c r="AP190" s="602"/>
      <c r="AQ190" s="602"/>
      <c r="AR190" s="602"/>
      <c r="AS190" s="602"/>
      <c r="AT190" s="602"/>
      <c r="AU190" s="602"/>
      <c r="AV190" s="602"/>
      <c r="AW190" s="602"/>
      <c r="AX190" s="602"/>
      <c r="AY190" s="602"/>
      <c r="AZ190" s="602"/>
      <c r="BA190" s="602"/>
    </row>
    <row r="191" spans="2:53">
      <c r="B191" s="602"/>
      <c r="C191" s="439" t="s">
        <v>563</v>
      </c>
      <c r="D191" s="602" t="str">
        <f>E191*100&amp;"% of imported crude oil cost"</f>
        <v>95% of imported crude oil cost</v>
      </c>
      <c r="E191" s="223">
        <v>0.95</v>
      </c>
      <c r="F191" s="602"/>
      <c r="G191" s="602" t="s">
        <v>320</v>
      </c>
      <c r="H191" s="602"/>
      <c r="I191" s="210"/>
      <c r="J191" s="602"/>
      <c r="K191" s="602"/>
      <c r="L191" s="602"/>
      <c r="M191" s="602"/>
      <c r="N191" s="602"/>
      <c r="O191" s="602"/>
      <c r="P191" s="602"/>
      <c r="Q191" s="602"/>
      <c r="R191" s="602"/>
      <c r="S191" s="602"/>
      <c r="T191" s="602"/>
      <c r="U191" s="602"/>
      <c r="V191" s="602"/>
      <c r="W191" s="602"/>
      <c r="X191" s="602"/>
      <c r="Y191" s="602"/>
      <c r="Z191" s="602"/>
      <c r="AA191" s="602"/>
      <c r="AB191" s="602"/>
      <c r="AC191" s="602"/>
      <c r="AD191" s="602"/>
      <c r="AE191" s="602"/>
      <c r="AF191" s="602"/>
      <c r="AG191" s="602"/>
      <c r="AH191" s="602"/>
      <c r="AI191" s="602"/>
      <c r="AJ191" s="602"/>
      <c r="AK191" s="602"/>
      <c r="AL191" s="602"/>
      <c r="AM191" s="602"/>
      <c r="AN191" s="602"/>
      <c r="AO191" s="602"/>
      <c r="AP191" s="602"/>
      <c r="AQ191" s="602"/>
      <c r="AR191" s="602"/>
      <c r="AS191" s="602"/>
      <c r="AT191" s="602"/>
      <c r="AU191" s="602"/>
      <c r="AV191" s="602"/>
      <c r="AW191" s="602"/>
      <c r="AX191" s="602"/>
      <c r="AY191" s="602"/>
      <c r="AZ191" s="602"/>
      <c r="BA191" s="602"/>
    </row>
    <row r="192" spans="2:53">
      <c r="B192" s="602"/>
      <c r="C192" s="439" t="s">
        <v>562</v>
      </c>
      <c r="D192" s="602" t="str">
        <f>E192*100&amp;"% of imported natural gas cost"</f>
        <v>95% of imported natural gas cost</v>
      </c>
      <c r="E192" s="223">
        <v>0.95</v>
      </c>
      <c r="F192" s="602"/>
      <c r="G192" s="602" t="s">
        <v>320</v>
      </c>
      <c r="H192" s="602"/>
      <c r="I192" s="210"/>
      <c r="J192" s="602"/>
      <c r="K192" s="602"/>
      <c r="L192" s="602"/>
      <c r="M192" s="602"/>
      <c r="N192" s="602"/>
      <c r="O192" s="602"/>
      <c r="P192" s="602"/>
      <c r="Q192" s="602"/>
      <c r="R192" s="602"/>
      <c r="S192" s="602"/>
      <c r="T192" s="602"/>
      <c r="U192" s="602"/>
      <c r="V192" s="602"/>
      <c r="W192" s="602"/>
      <c r="X192" s="602"/>
      <c r="Y192" s="602"/>
      <c r="Z192" s="602"/>
      <c r="AA192" s="602"/>
      <c r="AB192" s="602"/>
      <c r="AC192" s="602"/>
      <c r="AD192" s="602"/>
      <c r="AE192" s="602"/>
      <c r="AF192" s="602"/>
      <c r="AG192" s="602"/>
      <c r="AH192" s="602"/>
      <c r="AI192" s="602"/>
      <c r="AJ192" s="602"/>
      <c r="AK192" s="602"/>
      <c r="AL192" s="602"/>
      <c r="AM192" s="602"/>
      <c r="AN192" s="602"/>
      <c r="AO192" s="602"/>
      <c r="AP192" s="602"/>
      <c r="AQ192" s="602"/>
      <c r="AR192" s="602"/>
      <c r="AS192" s="602"/>
      <c r="AT192" s="602"/>
      <c r="AU192" s="602"/>
      <c r="AV192" s="602"/>
      <c r="AW192" s="602"/>
      <c r="AX192" s="602"/>
      <c r="AY192" s="602"/>
      <c r="AZ192" s="602"/>
      <c r="BA192" s="602"/>
    </row>
    <row r="193" spans="2:53">
      <c r="B193" s="602"/>
      <c r="C193" s="439" t="s">
        <v>626</v>
      </c>
      <c r="D193" s="588" t="s">
        <v>840</v>
      </c>
      <c r="E193" s="578" t="s">
        <v>839</v>
      </c>
      <c r="F193" s="602"/>
      <c r="G193" s="602" t="s">
        <v>605</v>
      </c>
      <c r="H193" s="602"/>
      <c r="I193" s="210"/>
      <c r="J193" s="602"/>
      <c r="K193" s="602"/>
      <c r="L193" s="602"/>
      <c r="M193" s="602"/>
      <c r="N193" s="602"/>
      <c r="O193" s="602"/>
      <c r="P193" s="602"/>
      <c r="Q193" s="602"/>
      <c r="R193" s="602"/>
      <c r="S193" s="602"/>
      <c r="T193" s="602"/>
      <c r="U193" s="602"/>
      <c r="V193" s="602"/>
      <c r="W193" s="602"/>
      <c r="X193" s="602"/>
      <c r="Y193" s="602"/>
      <c r="Z193" s="602"/>
      <c r="AA193" s="602"/>
      <c r="AB193" s="602"/>
      <c r="AC193" s="602"/>
      <c r="AD193" s="602"/>
      <c r="AE193" s="602"/>
      <c r="AF193" s="602"/>
      <c r="AG193" s="602"/>
      <c r="AH193" s="602"/>
      <c r="AI193" s="602"/>
      <c r="AJ193" s="602"/>
      <c r="AK193" s="602"/>
      <c r="AL193" s="602"/>
      <c r="AM193" s="602"/>
      <c r="AN193" s="602"/>
      <c r="AO193" s="602"/>
      <c r="AP193" s="602"/>
      <c r="AQ193" s="602"/>
      <c r="AR193" s="602"/>
      <c r="AS193" s="602"/>
      <c r="AT193" s="602"/>
      <c r="AU193" s="602"/>
      <c r="AV193" s="602"/>
      <c r="AW193" s="602"/>
      <c r="AX193" s="602"/>
      <c r="AY193" s="602"/>
      <c r="AZ193" s="602"/>
      <c r="BA193" s="602"/>
    </row>
    <row r="194" spans="2:53" ht="13.8" thickBot="1">
      <c r="B194" s="602"/>
      <c r="C194" s="1084" t="s">
        <v>327</v>
      </c>
      <c r="D194" s="1085" t="str">
        <f>E194*100&amp;"% of import technology price (set low to avoid export)"</f>
        <v>95% of import technology price (set low to avoid export)</v>
      </c>
      <c r="E194" s="1086">
        <v>0.95</v>
      </c>
      <c r="F194" s="1087"/>
      <c r="G194" s="1087" t="s">
        <v>605</v>
      </c>
      <c r="H194" s="1087"/>
      <c r="I194" s="1088"/>
      <c r="J194" s="602"/>
      <c r="K194" s="602"/>
      <c r="L194" s="602"/>
      <c r="M194" s="602"/>
      <c r="N194" s="602"/>
      <c r="O194" s="602"/>
      <c r="P194" s="602"/>
      <c r="Q194" s="602"/>
      <c r="R194" s="602"/>
      <c r="S194" s="602"/>
      <c r="T194" s="602"/>
      <c r="U194" s="602"/>
      <c r="V194" s="602"/>
      <c r="W194" s="602"/>
      <c r="X194" s="602"/>
      <c r="Y194" s="602"/>
      <c r="Z194" s="602"/>
      <c r="AA194" s="602"/>
      <c r="AB194" s="602"/>
      <c r="AC194" s="602"/>
      <c r="AD194" s="602"/>
      <c r="AE194" s="602"/>
      <c r="AF194" s="602"/>
      <c r="AG194" s="602"/>
      <c r="AH194" s="602"/>
      <c r="AI194" s="602"/>
      <c r="AJ194" s="602"/>
      <c r="AK194" s="602"/>
      <c r="AL194" s="602"/>
      <c r="AM194" s="602"/>
      <c r="AN194" s="602"/>
      <c r="AO194" s="602"/>
      <c r="AP194" s="602"/>
      <c r="AQ194" s="602"/>
      <c r="AR194" s="602"/>
      <c r="AS194" s="602"/>
      <c r="AT194" s="602"/>
      <c r="AU194" s="602"/>
      <c r="AV194" s="602"/>
      <c r="AW194" s="602"/>
      <c r="AX194" s="602"/>
      <c r="AY194" s="602"/>
      <c r="AZ194" s="602"/>
      <c r="BA194" s="602"/>
    </row>
    <row r="195" spans="2:53" s="588" customFormat="1">
      <c r="C195" s="588" t="str">
        <f>C211</f>
        <v>Export technology - Bio Naphtha (Petroleoum)</v>
      </c>
      <c r="D195" s="588" t="s">
        <v>862</v>
      </c>
      <c r="E195" s="591">
        <v>1</v>
      </c>
      <c r="G195" s="588" t="s">
        <v>863</v>
      </c>
    </row>
    <row r="196" spans="2:53" s="588" customFormat="1">
      <c r="C196" s="588" t="str">
        <f t="shared" ref="C196:C200" si="118">C212</f>
        <v>Export technology - Rape Cake</v>
      </c>
      <c r="E196" s="588">
        <f>E179</f>
        <v>0.1</v>
      </c>
      <c r="G196" s="588" t="s">
        <v>864</v>
      </c>
    </row>
    <row r="197" spans="2:53" s="588" customFormat="1">
      <c r="C197" s="588" t="str">
        <f t="shared" si="118"/>
        <v>Export technology - Sugar Beet Pulp</v>
      </c>
      <c r="D197" s="588" t="s">
        <v>865</v>
      </c>
      <c r="E197" s="591">
        <v>0.5</v>
      </c>
      <c r="G197" s="588" t="s">
        <v>320</v>
      </c>
    </row>
    <row r="198" spans="2:53" s="588" customFormat="1">
      <c r="C198" s="588">
        <f t="shared" si="118"/>
        <v>0</v>
      </c>
      <c r="E198" s="588">
        <v>0</v>
      </c>
      <c r="G198" s="588" t="s">
        <v>866</v>
      </c>
      <c r="Z198" s="592"/>
      <c r="AB198" s="592"/>
    </row>
    <row r="199" spans="2:53" s="588" customFormat="1">
      <c r="C199" s="588" t="str">
        <f t="shared" si="118"/>
        <v>Fossile fuel prices (CIF import price)</v>
      </c>
      <c r="E199" s="588">
        <f>43*0.35/3.6</f>
        <v>4.1805555555555554</v>
      </c>
      <c r="G199" s="588" t="s">
        <v>867</v>
      </c>
    </row>
    <row r="200" spans="2:53" s="588" customFormat="1">
      <c r="C200" s="588">
        <f t="shared" si="118"/>
        <v>0</v>
      </c>
      <c r="E200" s="588">
        <f>E179</f>
        <v>0.1</v>
      </c>
      <c r="G200" s="588" t="s">
        <v>864</v>
      </c>
    </row>
    <row r="201" spans="2:53">
      <c r="B201" s="602"/>
      <c r="C201" s="602"/>
      <c r="D201" s="588"/>
      <c r="E201" s="223"/>
      <c r="F201" s="602"/>
      <c r="G201" s="602"/>
      <c r="H201" s="602"/>
      <c r="I201" s="602"/>
      <c r="J201" s="602"/>
      <c r="K201" s="602"/>
      <c r="L201" s="602"/>
      <c r="M201" s="602"/>
      <c r="N201" s="602"/>
      <c r="O201" s="602"/>
      <c r="P201" s="602"/>
      <c r="Q201" s="602"/>
      <c r="R201" s="602"/>
      <c r="S201" s="602"/>
      <c r="T201" s="602"/>
      <c r="U201" s="602"/>
      <c r="V201" s="602"/>
      <c r="W201" s="602"/>
      <c r="X201" s="602"/>
      <c r="Y201" s="602"/>
      <c r="Z201" s="602"/>
      <c r="AA201" s="602"/>
      <c r="AB201" s="602"/>
      <c r="AC201" s="602"/>
      <c r="AD201" s="602"/>
      <c r="AE201" s="602"/>
      <c r="AF201" s="602"/>
      <c r="AG201" s="602"/>
      <c r="AH201" s="602"/>
      <c r="AI201" s="602"/>
      <c r="AJ201" s="602"/>
      <c r="AK201" s="602"/>
      <c r="AL201" s="602"/>
      <c r="AM201" s="602"/>
      <c r="AN201" s="602"/>
      <c r="AO201" s="602"/>
      <c r="AP201" s="602"/>
      <c r="AQ201" s="602"/>
      <c r="AR201" s="602"/>
      <c r="AS201" s="602"/>
      <c r="AT201" s="602"/>
      <c r="AU201" s="602"/>
      <c r="AV201" s="602"/>
      <c r="AW201" s="602"/>
      <c r="AX201" s="602"/>
      <c r="AY201" s="602"/>
      <c r="AZ201" s="602"/>
      <c r="BA201" s="602"/>
    </row>
    <row r="202" spans="2:53" ht="18" thickBot="1">
      <c r="B202" s="1077"/>
      <c r="C202" s="197" t="s">
        <v>569</v>
      </c>
      <c r="D202" s="1046"/>
      <c r="E202" s="1077"/>
      <c r="F202" s="588"/>
      <c r="G202" s="602"/>
      <c r="H202" s="602"/>
      <c r="I202" s="602"/>
      <c r="J202" s="602"/>
      <c r="K202" s="602"/>
      <c r="L202" s="602"/>
      <c r="M202" s="602"/>
      <c r="N202" s="602"/>
      <c r="O202" s="602"/>
      <c r="P202" s="602"/>
      <c r="Q202" s="602"/>
      <c r="R202" s="602"/>
      <c r="S202" s="602"/>
      <c r="T202" s="602"/>
      <c r="U202" s="602"/>
      <c r="V202" s="602"/>
      <c r="W202" s="602"/>
      <c r="X202" s="602"/>
      <c r="Y202" s="602"/>
      <c r="Z202" s="602"/>
      <c r="AA202" s="602"/>
      <c r="AB202" s="602"/>
      <c r="AC202" s="602"/>
      <c r="AD202" s="602"/>
      <c r="AE202" s="602"/>
      <c r="AF202" s="602"/>
      <c r="AG202" s="602"/>
      <c r="AH202" s="602"/>
      <c r="AI202" s="602"/>
      <c r="AJ202" s="602"/>
      <c r="AK202" s="602"/>
      <c r="AL202" s="602"/>
      <c r="AM202" s="602"/>
      <c r="AN202" s="602"/>
      <c r="AO202" s="602"/>
      <c r="AP202" s="602"/>
      <c r="AQ202" s="602"/>
      <c r="AR202" s="602"/>
      <c r="AS202" s="602"/>
      <c r="AT202" s="602"/>
      <c r="AU202" s="602"/>
      <c r="AV202" s="602"/>
      <c r="AW202" s="602"/>
      <c r="AX202" s="602"/>
      <c r="AY202" s="602"/>
      <c r="AZ202" s="602"/>
      <c r="BA202" s="602"/>
    </row>
    <row r="203" spans="2:53" ht="14.4" thickTop="1" thickBot="1">
      <c r="B203" s="1077"/>
      <c r="C203" s="220" t="s">
        <v>325</v>
      </c>
      <c r="D203" s="221" t="s">
        <v>318</v>
      </c>
      <c r="E203" s="221"/>
      <c r="F203" s="221" t="s">
        <v>328</v>
      </c>
      <c r="G203" s="221" t="s">
        <v>319</v>
      </c>
      <c r="H203" s="222" t="s">
        <v>173</v>
      </c>
      <c r="I203" s="602"/>
      <c r="J203" s="602"/>
      <c r="K203" s="602"/>
      <c r="L203" s="602"/>
      <c r="M203" s="602"/>
      <c r="N203" s="602"/>
      <c r="O203" s="602"/>
      <c r="P203" s="602"/>
      <c r="Q203" s="602"/>
      <c r="R203" s="602"/>
      <c r="S203" s="602"/>
      <c r="T203" s="602"/>
      <c r="U203" s="602"/>
      <c r="V203" s="602"/>
      <c r="W203" s="602"/>
      <c r="X203" s="602"/>
      <c r="Y203" s="602"/>
      <c r="Z203" s="602"/>
      <c r="AA203" s="602"/>
      <c r="AB203" s="602"/>
      <c r="AC203" s="602"/>
      <c r="AD203" s="602"/>
      <c r="AE203" s="602"/>
      <c r="AF203" s="602"/>
      <c r="AG203" s="602"/>
      <c r="AH203" s="602"/>
      <c r="AI203" s="602"/>
      <c r="AJ203" s="602"/>
      <c r="AK203" s="602"/>
      <c r="AL203" s="602"/>
      <c r="AM203" s="602"/>
      <c r="AN203" s="602"/>
      <c r="AO203" s="602"/>
      <c r="AP203" s="602"/>
      <c r="AQ203" s="602"/>
      <c r="AR203" s="602"/>
      <c r="AS203" s="602"/>
      <c r="AT203" s="602"/>
      <c r="AU203" s="602"/>
      <c r="AV203" s="602"/>
      <c r="AW203" s="602"/>
      <c r="AX203" s="602"/>
      <c r="AY203" s="602"/>
      <c r="AZ203" s="602"/>
      <c r="BA203" s="602"/>
    </row>
    <row r="204" spans="2:53">
      <c r="B204" s="1077"/>
      <c r="C204" s="1089" t="s">
        <v>370</v>
      </c>
      <c r="D204" s="588" t="s">
        <v>498</v>
      </c>
      <c r="E204" s="1090">
        <f>[24]BiomassCost!G30</f>
        <v>72.400000000000006</v>
      </c>
      <c r="F204" s="602" t="s">
        <v>564</v>
      </c>
      <c r="G204" s="602"/>
      <c r="H204" s="210"/>
      <c r="I204" s="602"/>
      <c r="J204" s="602"/>
      <c r="K204" s="602"/>
      <c r="L204" s="602"/>
      <c r="M204" s="602"/>
      <c r="N204" s="602"/>
      <c r="O204" s="602"/>
      <c r="P204" s="602"/>
      <c r="Q204" s="602"/>
      <c r="R204" s="602"/>
      <c r="S204" s="602"/>
      <c r="T204" s="602"/>
      <c r="U204" s="602"/>
      <c r="V204" s="602"/>
      <c r="W204" s="602"/>
      <c r="X204" s="602"/>
      <c r="Y204" s="602"/>
      <c r="Z204" s="602"/>
      <c r="AA204" s="602"/>
      <c r="AB204" s="602"/>
      <c r="AC204" s="602"/>
      <c r="AD204" s="602"/>
      <c r="AE204" s="602"/>
      <c r="AF204" s="602"/>
      <c r="AG204" s="602"/>
      <c r="AH204" s="602"/>
      <c r="AI204" s="602"/>
      <c r="AJ204" s="602"/>
      <c r="AK204" s="602"/>
      <c r="AL204" s="602"/>
      <c r="AM204" s="602"/>
      <c r="AN204" s="602"/>
      <c r="AO204" s="602"/>
      <c r="AP204" s="602"/>
      <c r="AQ204" s="602"/>
      <c r="AR204" s="602"/>
      <c r="AS204" s="602"/>
      <c r="AT204" s="602"/>
      <c r="AU204" s="602"/>
      <c r="AV204" s="602"/>
      <c r="AW204" s="602"/>
      <c r="AX204" s="602"/>
      <c r="AY204" s="602"/>
      <c r="AZ204" s="602"/>
      <c r="BA204" s="602"/>
    </row>
    <row r="205" spans="2:53">
      <c r="B205" s="1077"/>
      <c r="C205" s="1089" t="s">
        <v>371</v>
      </c>
      <c r="D205" s="588" t="s">
        <v>499</v>
      </c>
      <c r="E205" s="1090">
        <f>[24]BiomassCost!G33</f>
        <v>101.7</v>
      </c>
      <c r="F205" s="602" t="s">
        <v>564</v>
      </c>
      <c r="G205" s="602"/>
      <c r="H205" s="210"/>
      <c r="I205" s="602"/>
      <c r="J205" s="602"/>
      <c r="K205" s="602"/>
      <c r="L205" s="602"/>
      <c r="M205" s="602"/>
      <c r="N205" s="602"/>
      <c r="O205" s="602"/>
      <c r="P205" s="602"/>
      <c r="Q205" s="602"/>
      <c r="R205" s="602"/>
      <c r="S205" s="602"/>
      <c r="T205" s="602"/>
      <c r="U205" s="602"/>
      <c r="V205" s="602"/>
      <c r="W205" s="602"/>
      <c r="X205" s="602"/>
      <c r="Y205" s="602"/>
      <c r="Z205" s="602"/>
      <c r="AA205" s="602"/>
      <c r="AB205" s="602"/>
      <c r="AC205" s="602"/>
      <c r="AD205" s="602"/>
      <c r="AE205" s="602"/>
      <c r="AF205" s="602"/>
      <c r="AG205" s="602"/>
      <c r="AH205" s="602"/>
      <c r="AI205" s="602"/>
      <c r="AJ205" s="602"/>
      <c r="AK205" s="602"/>
      <c r="AL205" s="602"/>
      <c r="AM205" s="602"/>
      <c r="AN205" s="602"/>
      <c r="AO205" s="602"/>
      <c r="AP205" s="602"/>
      <c r="AQ205" s="602"/>
      <c r="AR205" s="602"/>
      <c r="AS205" s="602"/>
      <c r="AT205" s="602"/>
      <c r="AU205" s="602"/>
      <c r="AV205" s="602"/>
      <c r="AW205" s="602"/>
      <c r="AX205" s="602"/>
      <c r="AY205" s="602"/>
      <c r="AZ205" s="602"/>
      <c r="BA205" s="602"/>
    </row>
    <row r="206" spans="2:53">
      <c r="B206" s="1077"/>
      <c r="C206" s="1089" t="s">
        <v>372</v>
      </c>
      <c r="D206" s="588" t="s">
        <v>500</v>
      </c>
      <c r="E206" s="1090">
        <f>[24]BiomassCost!G31</f>
        <v>10.6</v>
      </c>
      <c r="F206" s="602" t="s">
        <v>564</v>
      </c>
      <c r="G206" s="602"/>
      <c r="H206" s="210"/>
      <c r="I206" s="602"/>
      <c r="J206" s="602"/>
      <c r="K206" s="602"/>
      <c r="L206" s="602"/>
      <c r="M206" s="602"/>
      <c r="N206" s="602"/>
      <c r="O206" s="602"/>
      <c r="P206" s="602"/>
      <c r="Q206" s="602"/>
      <c r="R206" s="602"/>
      <c r="S206" s="602"/>
      <c r="T206" s="602"/>
      <c r="U206" s="602"/>
      <c r="V206" s="602"/>
      <c r="W206" s="602"/>
      <c r="X206" s="602"/>
      <c r="Y206" s="602"/>
      <c r="Z206" s="602"/>
      <c r="AA206" s="602"/>
      <c r="AB206" s="602"/>
      <c r="AC206" s="602"/>
      <c r="AD206" s="602"/>
      <c r="AE206" s="602"/>
      <c r="AF206" s="602"/>
      <c r="AG206" s="602"/>
      <c r="AH206" s="602"/>
      <c r="AI206" s="602"/>
      <c r="AJ206" s="602"/>
      <c r="AK206" s="602"/>
      <c r="AL206" s="602"/>
      <c r="AM206" s="602"/>
      <c r="AN206" s="602"/>
      <c r="AO206" s="602"/>
      <c r="AP206" s="602"/>
      <c r="AQ206" s="602"/>
      <c r="AR206" s="602"/>
      <c r="AS206" s="602"/>
      <c r="AT206" s="602"/>
      <c r="AU206" s="602"/>
      <c r="AV206" s="602"/>
      <c r="AW206" s="602"/>
      <c r="AX206" s="602"/>
      <c r="AY206" s="602"/>
      <c r="AZ206" s="602"/>
      <c r="BA206" s="602"/>
    </row>
    <row r="207" spans="2:53">
      <c r="B207" s="1077"/>
      <c r="C207" s="1089" t="s">
        <v>373</v>
      </c>
      <c r="D207" s="588" t="s">
        <v>501</v>
      </c>
      <c r="E207" s="1090">
        <f>[24]BiomassCost!$G$43</f>
        <v>207.6</v>
      </c>
      <c r="F207" s="602" t="s">
        <v>564</v>
      </c>
      <c r="G207" s="602"/>
      <c r="H207" s="210"/>
      <c r="I207" s="602"/>
      <c r="J207" s="602"/>
      <c r="K207" s="602"/>
      <c r="L207" s="602"/>
      <c r="M207" s="602"/>
      <c r="N207" s="602"/>
      <c r="O207" s="602"/>
      <c r="P207" s="602"/>
      <c r="Q207" s="602"/>
      <c r="R207" s="602"/>
      <c r="S207" s="602"/>
      <c r="T207" s="602"/>
      <c r="U207" s="602"/>
      <c r="V207" s="602"/>
      <c r="W207" s="602"/>
      <c r="X207" s="602"/>
      <c r="Y207" s="602"/>
      <c r="Z207" s="602"/>
      <c r="AA207" s="602"/>
      <c r="AB207" s="602"/>
      <c r="AC207" s="602"/>
      <c r="AD207" s="602"/>
      <c r="AE207" s="602"/>
      <c r="AF207" s="602"/>
      <c r="AG207" s="602"/>
      <c r="AH207" s="602"/>
      <c r="AI207" s="602"/>
      <c r="AJ207" s="602"/>
      <c r="AK207" s="602"/>
      <c r="AL207" s="602"/>
      <c r="AM207" s="602"/>
      <c r="AN207" s="602"/>
      <c r="AO207" s="602"/>
      <c r="AP207" s="602"/>
      <c r="AQ207" s="602"/>
      <c r="AR207" s="602"/>
      <c r="AS207" s="602"/>
      <c r="AT207" s="602"/>
      <c r="AU207" s="602"/>
      <c r="AV207" s="602"/>
      <c r="AW207" s="602"/>
      <c r="AX207" s="602"/>
      <c r="AY207" s="602"/>
      <c r="AZ207" s="602"/>
      <c r="BA207" s="602"/>
    </row>
    <row r="208" spans="2:53">
      <c r="B208" s="1077"/>
      <c r="C208" s="1089" t="s">
        <v>374</v>
      </c>
      <c r="D208" s="588" t="s">
        <v>501</v>
      </c>
      <c r="E208" s="1090">
        <f>[24]BiomassCost!$G$43</f>
        <v>207.6</v>
      </c>
      <c r="F208" s="602" t="s">
        <v>564</v>
      </c>
      <c r="G208" s="602"/>
      <c r="H208" s="210"/>
      <c r="I208" s="602"/>
      <c r="J208" s="602"/>
      <c r="K208" s="602"/>
      <c r="L208" s="602"/>
      <c r="M208" s="602"/>
      <c r="N208" s="602"/>
      <c r="O208" s="602"/>
      <c r="P208" s="602"/>
      <c r="Q208" s="602"/>
      <c r="R208" s="602"/>
      <c r="S208" s="602"/>
      <c r="T208" s="602"/>
      <c r="U208" s="602"/>
      <c r="V208" s="602"/>
      <c r="W208" s="602"/>
      <c r="X208" s="602"/>
      <c r="Y208" s="602"/>
      <c r="Z208" s="602"/>
      <c r="AA208" s="602"/>
      <c r="AB208" s="602"/>
      <c r="AC208" s="602"/>
      <c r="AD208" s="602"/>
      <c r="AE208" s="602"/>
      <c r="AF208" s="602"/>
      <c r="AG208" s="602"/>
      <c r="AH208" s="602"/>
      <c r="AI208" s="602"/>
      <c r="AJ208" s="602"/>
      <c r="AK208" s="602"/>
      <c r="AL208" s="602"/>
      <c r="AM208" s="602"/>
      <c r="AN208" s="602"/>
      <c r="AO208" s="602"/>
      <c r="AP208" s="602"/>
      <c r="AQ208" s="602"/>
      <c r="AR208" s="602"/>
      <c r="AS208" s="602"/>
      <c r="AT208" s="602"/>
      <c r="AU208" s="602"/>
      <c r="AV208" s="602"/>
      <c r="AW208" s="602"/>
      <c r="AX208" s="602"/>
      <c r="AY208" s="602"/>
      <c r="AZ208" s="602"/>
      <c r="BA208" s="602"/>
    </row>
    <row r="209" spans="2:53">
      <c r="B209" s="1077"/>
      <c r="C209" s="1089" t="s">
        <v>557</v>
      </c>
      <c r="D209" s="588" t="s">
        <v>565</v>
      </c>
      <c r="E209" s="1090">
        <v>10</v>
      </c>
      <c r="F209" s="602" t="s">
        <v>564</v>
      </c>
      <c r="G209" s="602"/>
      <c r="H209" s="210"/>
      <c r="I209" s="602"/>
      <c r="J209" s="602"/>
      <c r="K209" s="602"/>
      <c r="L209" s="602"/>
      <c r="M209" s="602"/>
      <c r="N209" s="602"/>
      <c r="O209" s="602"/>
      <c r="P209" s="602"/>
      <c r="Q209" s="602"/>
      <c r="R209" s="602"/>
      <c r="S209" s="602"/>
      <c r="T209" s="602"/>
      <c r="U209" s="602"/>
      <c r="V209" s="602"/>
      <c r="W209" s="602"/>
      <c r="X209" s="602"/>
      <c r="Y209" s="602"/>
      <c r="Z209" s="602"/>
      <c r="AA209" s="602"/>
      <c r="AB209" s="602"/>
      <c r="AC209" s="602"/>
      <c r="AD209" s="602"/>
      <c r="AE209" s="602"/>
      <c r="AF209" s="602"/>
      <c r="AG209" s="602"/>
      <c r="AH209" s="602"/>
      <c r="AI209" s="602"/>
      <c r="AJ209" s="602"/>
      <c r="AK209" s="602"/>
      <c r="AL209" s="602"/>
      <c r="AM209" s="602"/>
      <c r="AN209" s="602"/>
      <c r="AO209" s="602"/>
      <c r="AP209" s="602"/>
      <c r="AQ209" s="602"/>
      <c r="AR209" s="602"/>
      <c r="AS209" s="602"/>
      <c r="AT209" s="602"/>
      <c r="AU209" s="602"/>
      <c r="AV209" s="602"/>
      <c r="AW209" s="602"/>
      <c r="AX209" s="602"/>
      <c r="AY209" s="602"/>
      <c r="AZ209" s="602"/>
      <c r="BA209" s="602"/>
    </row>
    <row r="210" spans="2:53">
      <c r="B210" s="1077"/>
      <c r="C210" s="1089" t="s">
        <v>558</v>
      </c>
      <c r="D210" s="588" t="s">
        <v>565</v>
      </c>
      <c r="E210" s="1090">
        <v>10</v>
      </c>
      <c r="F210" s="602" t="s">
        <v>564</v>
      </c>
      <c r="G210" s="602"/>
      <c r="H210" s="210"/>
      <c r="I210" s="602"/>
      <c r="J210" s="602"/>
      <c r="K210" s="602"/>
      <c r="L210" s="602"/>
      <c r="M210" s="602"/>
      <c r="N210" s="602"/>
      <c r="O210" s="602"/>
      <c r="P210" s="602"/>
      <c r="Q210" s="602"/>
      <c r="R210" s="602"/>
      <c r="S210" s="602"/>
      <c r="T210" s="602"/>
      <c r="U210" s="602"/>
      <c r="V210" s="602"/>
      <c r="W210" s="602"/>
      <c r="X210" s="602"/>
      <c r="Y210" s="602"/>
      <c r="Z210" s="602"/>
      <c r="AA210" s="602"/>
      <c r="AB210" s="602"/>
      <c r="AC210" s="602"/>
      <c r="AD210" s="602"/>
      <c r="AE210" s="602"/>
      <c r="AF210" s="602"/>
      <c r="AG210" s="602"/>
      <c r="AH210" s="602"/>
      <c r="AI210" s="602"/>
      <c r="AJ210" s="602"/>
      <c r="AK210" s="602"/>
      <c r="AL210" s="602"/>
      <c r="AM210" s="602"/>
      <c r="AN210" s="602"/>
      <c r="AO210" s="602"/>
      <c r="AP210" s="602"/>
      <c r="AQ210" s="602"/>
      <c r="AR210" s="602"/>
      <c r="AS210" s="602"/>
      <c r="AT210" s="602"/>
      <c r="AU210" s="602"/>
      <c r="AV210" s="602"/>
      <c r="AW210" s="602"/>
      <c r="AX210" s="602"/>
      <c r="AY210" s="602"/>
      <c r="AZ210" s="602"/>
      <c r="BA210" s="602"/>
    </row>
    <row r="211" spans="2:53">
      <c r="B211" s="1077"/>
      <c r="C211" s="1089" t="s">
        <v>559</v>
      </c>
      <c r="D211" s="588" t="s">
        <v>565</v>
      </c>
      <c r="E211" s="1090">
        <v>10</v>
      </c>
      <c r="F211" s="602" t="s">
        <v>564</v>
      </c>
      <c r="G211" s="602"/>
      <c r="H211" s="210"/>
      <c r="I211" s="602"/>
      <c r="J211" s="602"/>
      <c r="K211" s="602"/>
      <c r="L211" s="602"/>
      <c r="M211" s="602"/>
      <c r="N211" s="602"/>
      <c r="O211" s="602"/>
      <c r="P211" s="602"/>
      <c r="Q211" s="602"/>
      <c r="R211" s="602"/>
      <c r="S211" s="602"/>
      <c r="T211" s="602"/>
      <c r="U211" s="602"/>
      <c r="V211" s="602"/>
      <c r="W211" s="602"/>
      <c r="X211" s="602"/>
      <c r="Y211" s="602"/>
      <c r="Z211" s="602"/>
      <c r="AA211" s="602"/>
      <c r="AB211" s="602"/>
      <c r="AC211" s="602"/>
      <c r="AD211" s="602"/>
      <c r="AE211" s="602"/>
      <c r="AF211" s="602"/>
      <c r="AG211" s="602"/>
      <c r="AH211" s="602"/>
      <c r="AI211" s="602"/>
      <c r="AJ211" s="602"/>
      <c r="AK211" s="602"/>
      <c r="AL211" s="602"/>
      <c r="AM211" s="602"/>
      <c r="AN211" s="602"/>
      <c r="AO211" s="602"/>
      <c r="AP211" s="602"/>
      <c r="AQ211" s="602"/>
      <c r="AR211" s="602"/>
      <c r="AS211" s="602"/>
      <c r="AT211" s="602"/>
      <c r="AU211" s="602"/>
      <c r="AV211" s="602"/>
      <c r="AW211" s="602"/>
      <c r="AX211" s="602"/>
      <c r="AY211" s="602"/>
      <c r="AZ211" s="602"/>
      <c r="BA211" s="602"/>
    </row>
    <row r="212" spans="2:53">
      <c r="B212" s="1077"/>
      <c r="C212" s="1089" t="s">
        <v>560</v>
      </c>
      <c r="D212" s="588" t="s">
        <v>565</v>
      </c>
      <c r="E212" s="1090">
        <v>10</v>
      </c>
      <c r="F212" s="602" t="s">
        <v>564</v>
      </c>
      <c r="G212" s="602"/>
      <c r="H212" s="210"/>
      <c r="I212" s="602"/>
      <c r="J212" s="602"/>
      <c r="K212" s="602"/>
      <c r="L212" s="602"/>
      <c r="M212" s="602"/>
      <c r="N212" s="602"/>
      <c r="O212" s="602"/>
      <c r="P212" s="602"/>
      <c r="Q212" s="602"/>
      <c r="R212" s="602"/>
      <c r="S212" s="602"/>
      <c r="T212" s="602"/>
      <c r="U212" s="602"/>
      <c r="V212" s="602"/>
      <c r="W212" s="602"/>
      <c r="X212" s="602"/>
      <c r="Y212" s="602"/>
      <c r="Z212" s="602"/>
      <c r="AA212" s="602"/>
      <c r="AB212" s="602"/>
      <c r="AC212" s="602"/>
      <c r="AD212" s="602"/>
      <c r="AE212" s="602"/>
      <c r="AF212" s="602"/>
      <c r="AG212" s="602"/>
      <c r="AH212" s="602"/>
      <c r="AI212" s="602"/>
      <c r="AJ212" s="602"/>
      <c r="AK212" s="602"/>
      <c r="AL212" s="602"/>
      <c r="AM212" s="602"/>
      <c r="AN212" s="602"/>
      <c r="AO212" s="602"/>
      <c r="AP212" s="602"/>
      <c r="AQ212" s="602"/>
      <c r="AR212" s="602"/>
      <c r="AS212" s="602"/>
      <c r="AT212" s="602"/>
      <c r="AU212" s="602"/>
      <c r="AV212" s="602"/>
      <c r="AW212" s="602"/>
      <c r="AX212" s="602"/>
      <c r="AY212" s="602"/>
      <c r="AZ212" s="602"/>
      <c r="BA212" s="602"/>
    </row>
    <row r="213" spans="2:53" ht="13.8" thickBot="1">
      <c r="B213" s="602"/>
      <c r="C213" s="1091" t="s">
        <v>561</v>
      </c>
      <c r="D213" s="1085" t="s">
        <v>565</v>
      </c>
      <c r="E213" s="1092">
        <v>10</v>
      </c>
      <c r="F213" s="1087" t="s">
        <v>564</v>
      </c>
      <c r="G213" s="1087"/>
      <c r="H213" s="1088"/>
      <c r="I213" s="602"/>
      <c r="J213" s="602"/>
      <c r="K213" s="602"/>
      <c r="L213" s="602"/>
      <c r="M213" s="602"/>
      <c r="N213" s="602"/>
      <c r="O213" s="602"/>
      <c r="P213" s="602"/>
      <c r="Q213" s="602"/>
      <c r="R213" s="602"/>
      <c r="S213" s="602"/>
      <c r="T213" s="602"/>
      <c r="U213" s="602"/>
      <c r="V213" s="602"/>
      <c r="W213" s="602"/>
      <c r="X213" s="602"/>
      <c r="Y213" s="602"/>
      <c r="Z213" s="602"/>
      <c r="AA213" s="602"/>
      <c r="AB213" s="602"/>
      <c r="AC213" s="602"/>
      <c r="AD213" s="602"/>
      <c r="AE213" s="602"/>
      <c r="AF213" s="602"/>
      <c r="AG213" s="602"/>
      <c r="AH213" s="602"/>
      <c r="AI213" s="602"/>
      <c r="AJ213" s="602"/>
      <c r="AK213" s="602"/>
      <c r="AL213" s="602"/>
      <c r="AM213" s="602"/>
      <c r="AN213" s="602"/>
      <c r="AO213" s="602"/>
      <c r="AP213" s="602"/>
      <c r="AQ213" s="602"/>
      <c r="AR213" s="602"/>
      <c r="AS213" s="602"/>
      <c r="AT213" s="602"/>
      <c r="AU213" s="602"/>
      <c r="AV213" s="602"/>
      <c r="AW213" s="602"/>
      <c r="AX213" s="602"/>
      <c r="AY213" s="602"/>
      <c r="AZ213" s="602"/>
      <c r="BA213" s="602"/>
    </row>
    <row r="214" spans="2:53">
      <c r="B214" s="602"/>
      <c r="C214" s="602"/>
      <c r="D214" s="602"/>
      <c r="G214" s="602"/>
      <c r="H214" s="602"/>
      <c r="I214" s="602"/>
      <c r="J214" s="602"/>
      <c r="K214" s="602"/>
      <c r="L214" s="602"/>
      <c r="M214" s="602"/>
      <c r="N214" s="602"/>
      <c r="O214" s="602"/>
      <c r="P214" s="602"/>
      <c r="Q214" s="602"/>
      <c r="R214" s="602"/>
      <c r="S214" s="602"/>
      <c r="T214" s="602"/>
      <c r="U214" s="602"/>
      <c r="V214" s="602"/>
      <c r="W214" s="602"/>
      <c r="X214" s="602"/>
      <c r="Y214" s="602"/>
      <c r="Z214" s="602"/>
      <c r="AA214" s="602"/>
      <c r="AB214" s="602"/>
      <c r="AC214" s="602"/>
      <c r="AD214" s="602"/>
      <c r="AE214" s="602"/>
      <c r="AF214" s="602"/>
      <c r="AG214" s="602"/>
      <c r="AH214" s="602"/>
      <c r="AI214" s="602"/>
      <c r="AJ214" s="602"/>
      <c r="AK214" s="602"/>
      <c r="AL214" s="602"/>
      <c r="AM214" s="602"/>
      <c r="AN214" s="602"/>
      <c r="AO214" s="602"/>
      <c r="AP214" s="602"/>
      <c r="AQ214" s="602"/>
      <c r="AR214" s="602"/>
      <c r="AS214" s="602"/>
      <c r="AT214" s="602"/>
      <c r="AU214" s="602"/>
      <c r="AV214" s="602"/>
      <c r="AW214" s="602"/>
      <c r="AX214" s="602"/>
      <c r="AY214" s="602"/>
      <c r="AZ214" s="602"/>
      <c r="BA214" s="602"/>
    </row>
    <row r="215" spans="2:53" ht="18" thickBot="1">
      <c r="B215" s="1093"/>
      <c r="C215" s="197" t="s">
        <v>307</v>
      </c>
      <c r="D215" s="197"/>
      <c r="E215" s="197"/>
      <c r="F215" s="197"/>
      <c r="G215" s="197"/>
      <c r="H215" s="197"/>
      <c r="I215" s="197"/>
      <c r="J215" s="197"/>
      <c r="K215" s="197"/>
      <c r="L215" s="197"/>
      <c r="M215" s="197"/>
      <c r="N215" s="197"/>
      <c r="O215" s="197"/>
      <c r="P215" s="197"/>
      <c r="Q215" s="197"/>
      <c r="R215" s="197"/>
      <c r="S215" s="197"/>
      <c r="T215" s="197"/>
      <c r="U215" s="197"/>
      <c r="V215" s="197"/>
      <c r="W215" s="197"/>
      <c r="X215" s="197"/>
      <c r="Y215" s="197"/>
      <c r="Z215" s="197"/>
      <c r="AA215" s="197"/>
      <c r="AB215" s="197"/>
      <c r="AC215" s="197"/>
      <c r="AD215" s="197"/>
      <c r="AE215" s="197"/>
      <c r="AF215" s="197"/>
      <c r="AG215" s="197"/>
      <c r="AH215" s="197"/>
      <c r="AI215" s="197"/>
      <c r="AJ215" s="197"/>
      <c r="AK215" s="197"/>
      <c r="AL215" s="197"/>
      <c r="AM215" s="197"/>
      <c r="AN215" s="197"/>
      <c r="AO215" s="197"/>
      <c r="AP215" s="197"/>
      <c r="AQ215" s="197"/>
      <c r="AR215" s="197"/>
      <c r="AS215" s="197"/>
      <c r="AT215" s="197"/>
      <c r="AU215" s="197"/>
      <c r="AV215" s="602"/>
      <c r="AW215" s="602"/>
      <c r="AX215" s="602"/>
      <c r="AY215" s="602"/>
      <c r="AZ215" s="602"/>
      <c r="BA215" s="602"/>
    </row>
    <row r="216" spans="2:53" ht="15" thickTop="1">
      <c r="B216" s="1093"/>
      <c r="C216" s="1094"/>
      <c r="D216" s="1095"/>
      <c r="E216" s="1095"/>
      <c r="F216" s="1095"/>
      <c r="G216" s="1094">
        <v>2010</v>
      </c>
      <c r="H216" s="1094">
        <v>2011</v>
      </c>
      <c r="I216" s="1094">
        <v>2012</v>
      </c>
      <c r="J216" s="1094">
        <v>2013</v>
      </c>
      <c r="K216" s="1094">
        <v>2014</v>
      </c>
      <c r="L216" s="1094">
        <v>2015</v>
      </c>
      <c r="M216" s="1094">
        <v>2016</v>
      </c>
      <c r="N216" s="1094">
        <v>2017</v>
      </c>
      <c r="O216" s="1094">
        <v>2018</v>
      </c>
      <c r="P216" s="1094">
        <v>2019</v>
      </c>
      <c r="Q216" s="1094">
        <v>2020</v>
      </c>
      <c r="R216" s="1094">
        <v>2021</v>
      </c>
      <c r="S216" s="1094">
        <v>2022</v>
      </c>
      <c r="T216" s="1094">
        <v>2023</v>
      </c>
      <c r="U216" s="1094">
        <v>2024</v>
      </c>
      <c r="V216" s="1094">
        <v>2025</v>
      </c>
      <c r="W216" s="1094">
        <v>2026</v>
      </c>
      <c r="X216" s="1094">
        <v>2027</v>
      </c>
      <c r="Y216" s="1094">
        <v>2028</v>
      </c>
      <c r="Z216" s="1094">
        <v>2029</v>
      </c>
      <c r="AA216" s="1094">
        <v>2030</v>
      </c>
      <c r="AB216" s="1094">
        <v>2031</v>
      </c>
      <c r="AC216" s="1094">
        <v>2032</v>
      </c>
      <c r="AD216" s="1094">
        <v>2033</v>
      </c>
      <c r="AE216" s="1094">
        <v>2034</v>
      </c>
      <c r="AF216" s="1094">
        <v>2035</v>
      </c>
      <c r="AG216" s="1094">
        <v>2036</v>
      </c>
      <c r="AH216" s="1094">
        <v>2037</v>
      </c>
      <c r="AI216" s="1094">
        <v>2038</v>
      </c>
      <c r="AJ216" s="1094">
        <v>2039</v>
      </c>
      <c r="AK216" s="1094">
        <v>2040</v>
      </c>
      <c r="AL216" s="1094">
        <v>2041</v>
      </c>
      <c r="AM216" s="1094">
        <v>2042</v>
      </c>
      <c r="AN216" s="1094">
        <v>2043</v>
      </c>
      <c r="AO216" s="1094">
        <v>2044</v>
      </c>
      <c r="AP216" s="1094">
        <v>2045</v>
      </c>
      <c r="AQ216" s="1094">
        <v>2046</v>
      </c>
      <c r="AR216" s="1094">
        <v>2047</v>
      </c>
      <c r="AS216" s="1094">
        <v>2048</v>
      </c>
      <c r="AT216" s="1094">
        <v>2049</v>
      </c>
      <c r="AU216" s="1094">
        <v>2050</v>
      </c>
      <c r="AV216" s="602"/>
      <c r="AW216" s="602"/>
      <c r="AX216" s="602"/>
      <c r="AY216" s="602"/>
      <c r="AZ216" s="602"/>
      <c r="BA216" s="602"/>
    </row>
    <row r="217" spans="2:53" ht="14.4">
      <c r="B217" s="1093"/>
      <c r="C217" s="208" t="s">
        <v>302</v>
      </c>
      <c r="D217" s="209"/>
      <c r="E217" s="1096" t="s">
        <v>303</v>
      </c>
      <c r="F217" s="1096" t="s">
        <v>194</v>
      </c>
      <c r="G217" s="1097">
        <v>23.1</v>
      </c>
      <c r="H217" s="1097">
        <v>27.7</v>
      </c>
      <c r="I217" s="1097">
        <v>23.9</v>
      </c>
      <c r="J217" s="1097">
        <v>20.3</v>
      </c>
      <c r="K217" s="1097">
        <v>17.2</v>
      </c>
      <c r="L217" s="1097">
        <v>15.7</v>
      </c>
      <c r="M217" s="1097">
        <v>12.2</v>
      </c>
      <c r="N217" s="1097">
        <v>11.7</v>
      </c>
      <c r="O217" s="1097">
        <v>12.8</v>
      </c>
      <c r="P217" s="572">
        <v>23.406929880021178</v>
      </c>
      <c r="Q217" s="572">
        <v>22.320750500826144</v>
      </c>
      <c r="R217" s="572">
        <v>22.415233779280271</v>
      </c>
      <c r="S217" s="572">
        <v>21.958696459631067</v>
      </c>
      <c r="T217" s="572">
        <v>21.264781225277929</v>
      </c>
      <c r="U217" s="572">
        <v>20.867962592605565</v>
      </c>
      <c r="V217" s="572">
        <v>20.782407107600484</v>
      </c>
      <c r="W217" s="572">
        <v>20.995445244296899</v>
      </c>
      <c r="X217" s="572">
        <v>21.195931843995432</v>
      </c>
      <c r="Y217" s="572">
        <v>21.376250794374826</v>
      </c>
      <c r="Z217" s="572">
        <v>21.548170886437006</v>
      </c>
      <c r="AA217" s="572">
        <v>21.695318201462513</v>
      </c>
      <c r="AB217" s="572">
        <v>21.767199086953433</v>
      </c>
      <c r="AC217" s="572">
        <v>21.825017030148729</v>
      </c>
      <c r="AD217" s="572">
        <v>21.878276139633737</v>
      </c>
      <c r="AE217" s="572">
        <v>21.917992887383534</v>
      </c>
      <c r="AF217" s="572">
        <v>21.9556878669204</v>
      </c>
      <c r="AG217" s="572">
        <v>22.029714738820417</v>
      </c>
      <c r="AH217" s="572">
        <v>22.099296654325173</v>
      </c>
      <c r="AI217" s="572">
        <v>22.153632116105896</v>
      </c>
      <c r="AJ217" s="572">
        <v>22.203402762241502</v>
      </c>
      <c r="AK217" s="572">
        <v>22.241349337329673</v>
      </c>
      <c r="AL217" s="575">
        <f>($AK$217-$AB$217)/10+AK217</f>
        <v>22.288764362367296</v>
      </c>
      <c r="AM217" s="575">
        <f t="shared" ref="AM217:AU221" si="119">($AK$217-$AB$217)/10+AL217</f>
        <v>22.336179387404918</v>
      </c>
      <c r="AN217" s="575">
        <f t="shared" si="119"/>
        <v>22.383594412442541</v>
      </c>
      <c r="AO217" s="575">
        <f t="shared" si="119"/>
        <v>22.431009437480164</v>
      </c>
      <c r="AP217" s="575">
        <f t="shared" si="119"/>
        <v>22.478424462517786</v>
      </c>
      <c r="AQ217" s="575">
        <f t="shared" si="119"/>
        <v>22.525839487555409</v>
      </c>
      <c r="AR217" s="575">
        <f t="shared" si="119"/>
        <v>22.573254512593032</v>
      </c>
      <c r="AS217" s="575">
        <f t="shared" si="119"/>
        <v>22.620669537630654</v>
      </c>
      <c r="AT217" s="575">
        <f t="shared" si="119"/>
        <v>22.668084562668277</v>
      </c>
      <c r="AU217" s="575">
        <f t="shared" si="119"/>
        <v>22.715499587705899</v>
      </c>
      <c r="AV217" s="602"/>
      <c r="AW217" s="602"/>
      <c r="AX217" s="602"/>
      <c r="AY217" s="602"/>
      <c r="AZ217" s="602"/>
      <c r="BA217" s="602"/>
    </row>
    <row r="218" spans="2:53" ht="14.4">
      <c r="B218" s="1093"/>
      <c r="C218" s="1094" t="s">
        <v>142</v>
      </c>
      <c r="D218" s="1098"/>
      <c r="E218" s="1099" t="s">
        <v>303</v>
      </c>
      <c r="F218" s="1099" t="s">
        <v>194</v>
      </c>
      <c r="G218" s="1095">
        <v>76.2</v>
      </c>
      <c r="H218" s="1095">
        <v>106.1</v>
      </c>
      <c r="I218" s="1095">
        <v>112.9</v>
      </c>
      <c r="J218" s="1095">
        <v>100.3</v>
      </c>
      <c r="K218" s="1095">
        <v>97.3</v>
      </c>
      <c r="L218" s="1095">
        <v>62.7</v>
      </c>
      <c r="M218" s="1095">
        <v>59.9</v>
      </c>
      <c r="N218" s="1095">
        <v>63.9</v>
      </c>
      <c r="O218" s="1095">
        <v>63.7</v>
      </c>
      <c r="P218" s="570">
        <v>73.880467131059874</v>
      </c>
      <c r="Q218" s="570">
        <v>75.931459523916047</v>
      </c>
      <c r="R218" s="570">
        <v>77.701364104651802</v>
      </c>
      <c r="S218" s="570">
        <v>79.289025348102882</v>
      </c>
      <c r="T218" s="570">
        <v>81.023644009316811</v>
      </c>
      <c r="U218" s="570">
        <v>82.712910272747436</v>
      </c>
      <c r="V218" s="570">
        <v>84.053105996878713</v>
      </c>
      <c r="W218" s="570">
        <v>86.676571233184688</v>
      </c>
      <c r="X218" s="570">
        <v>88.186071195293991</v>
      </c>
      <c r="Y218" s="570">
        <v>89.586356147981405</v>
      </c>
      <c r="Z218" s="570">
        <v>90.92803677830058</v>
      </c>
      <c r="AA218" s="570">
        <v>92.141387034323401</v>
      </c>
      <c r="AB218" s="570">
        <v>93.692750413107319</v>
      </c>
      <c r="AC218" s="570">
        <v>95.558328708367895</v>
      </c>
      <c r="AD218" s="570">
        <v>97.341047888333435</v>
      </c>
      <c r="AE218" s="570">
        <v>99.002693402790925</v>
      </c>
      <c r="AF218" s="570">
        <v>100.59799469913287</v>
      </c>
      <c r="AG218" s="570">
        <v>102.09020115332861</v>
      </c>
      <c r="AH218" s="570">
        <v>103.53602848432692</v>
      </c>
      <c r="AI218" s="570">
        <v>104.86648319780612</v>
      </c>
      <c r="AJ218" s="570">
        <v>106.13404097693454</v>
      </c>
      <c r="AK218" s="570">
        <v>107.30502693993807</v>
      </c>
      <c r="AL218" s="1100">
        <f>($AK$217-$AB$217)/10+AK218</f>
        <v>107.3524419649757</v>
      </c>
      <c r="AM218" s="1100">
        <f t="shared" si="119"/>
        <v>107.39985699001332</v>
      </c>
      <c r="AN218" s="1100">
        <f t="shared" si="119"/>
        <v>107.44727201505094</v>
      </c>
      <c r="AO218" s="1100">
        <f t="shared" si="119"/>
        <v>107.49468704008856</v>
      </c>
      <c r="AP218" s="1100">
        <f t="shared" si="119"/>
        <v>107.54210206512619</v>
      </c>
      <c r="AQ218" s="1100">
        <f t="shared" si="119"/>
        <v>107.58951709016381</v>
      </c>
      <c r="AR218" s="1100">
        <f t="shared" si="119"/>
        <v>107.63693211520143</v>
      </c>
      <c r="AS218" s="1100">
        <f t="shared" si="119"/>
        <v>107.68434714023905</v>
      </c>
      <c r="AT218" s="1100">
        <f t="shared" si="119"/>
        <v>107.73176216527668</v>
      </c>
      <c r="AU218" s="1100">
        <f t="shared" si="119"/>
        <v>107.7791771903143</v>
      </c>
      <c r="AV218" s="602"/>
      <c r="AW218" s="602"/>
      <c r="AX218" s="602"/>
      <c r="AY218" s="602"/>
      <c r="AZ218" s="602"/>
      <c r="BA218" s="602"/>
    </row>
    <row r="219" spans="2:53" ht="14.4">
      <c r="B219" s="1093"/>
      <c r="C219" s="1094" t="s">
        <v>304</v>
      </c>
      <c r="D219" s="1098"/>
      <c r="E219" s="1099" t="s">
        <v>303</v>
      </c>
      <c r="F219" s="1099" t="s">
        <v>194</v>
      </c>
      <c r="G219" s="1095">
        <v>92.8</v>
      </c>
      <c r="H219" s="1095">
        <v>122.9</v>
      </c>
      <c r="I219" s="1095">
        <v>136.69999999999999</v>
      </c>
      <c r="J219" s="1095">
        <v>122</v>
      </c>
      <c r="K219" s="1095">
        <v>114.8</v>
      </c>
      <c r="L219" s="1095">
        <v>78.2</v>
      </c>
      <c r="M219" s="1095">
        <v>75.3</v>
      </c>
      <c r="N219" s="1095">
        <v>79.400000000000006</v>
      </c>
      <c r="O219" s="1095">
        <v>79.3</v>
      </c>
      <c r="P219" s="573">
        <v>95.583697574109408</v>
      </c>
      <c r="Q219" s="573">
        <v>97.634689966965581</v>
      </c>
      <c r="R219" s="573">
        <v>99.404594547701336</v>
      </c>
      <c r="S219" s="573">
        <v>100.99225579115242</v>
      </c>
      <c r="T219" s="573">
        <v>102.72687445236635</v>
      </c>
      <c r="U219" s="573">
        <v>104.41614071579697</v>
      </c>
      <c r="V219" s="573">
        <v>105.75633643992825</v>
      </c>
      <c r="W219" s="573">
        <v>108.37980167623422</v>
      </c>
      <c r="X219" s="573">
        <v>109.88930163834353</v>
      </c>
      <c r="Y219" s="573">
        <v>111.28958659103094</v>
      </c>
      <c r="Z219" s="573">
        <v>112.63126722135011</v>
      </c>
      <c r="AA219" s="573">
        <v>113.84461747737294</v>
      </c>
      <c r="AB219" s="573">
        <v>115.39598085615685</v>
      </c>
      <c r="AC219" s="573">
        <v>117.26155915141743</v>
      </c>
      <c r="AD219" s="573">
        <v>119.04427833138297</v>
      </c>
      <c r="AE219" s="573">
        <v>120.70592384584046</v>
      </c>
      <c r="AF219" s="573">
        <v>122.3012251421824</v>
      </c>
      <c r="AG219" s="573">
        <v>123.79343159637814</v>
      </c>
      <c r="AH219" s="573">
        <v>125.23925892737645</v>
      </c>
      <c r="AI219" s="573">
        <v>126.56971364085565</v>
      </c>
      <c r="AJ219" s="573">
        <v>127.83727141998408</v>
      </c>
      <c r="AK219" s="573">
        <v>129.00825738298761</v>
      </c>
      <c r="AL219" s="576">
        <f>($AK$217-$AB$217)/10+AK219</f>
        <v>129.05567240802523</v>
      </c>
      <c r="AM219" s="576">
        <f t="shared" si="119"/>
        <v>129.10308743306285</v>
      </c>
      <c r="AN219" s="576">
        <f t="shared" si="119"/>
        <v>129.15050245810048</v>
      </c>
      <c r="AO219" s="576">
        <f t="shared" si="119"/>
        <v>129.1979174831381</v>
      </c>
      <c r="AP219" s="576">
        <f t="shared" si="119"/>
        <v>129.24533250817572</v>
      </c>
      <c r="AQ219" s="576">
        <f t="shared" si="119"/>
        <v>129.29274753321334</v>
      </c>
      <c r="AR219" s="576">
        <f t="shared" si="119"/>
        <v>129.34016255825097</v>
      </c>
      <c r="AS219" s="576">
        <f t="shared" si="119"/>
        <v>129.38757758328859</v>
      </c>
      <c r="AT219" s="576">
        <f t="shared" si="119"/>
        <v>129.43499260832621</v>
      </c>
      <c r="AU219" s="576">
        <f t="shared" si="119"/>
        <v>129.48240763336383</v>
      </c>
      <c r="AV219" s="602"/>
      <c r="AW219" s="602"/>
      <c r="AX219" s="602"/>
      <c r="AY219" s="602"/>
      <c r="AZ219" s="602"/>
      <c r="BA219" s="602"/>
    </row>
    <row r="220" spans="2:53" ht="14.4">
      <c r="B220" s="1093"/>
      <c r="C220" s="1094" t="s">
        <v>51</v>
      </c>
      <c r="D220" s="1098"/>
      <c r="E220" s="1099" t="s">
        <v>303</v>
      </c>
      <c r="F220" s="1099" t="s">
        <v>194</v>
      </c>
      <c r="G220" s="1095">
        <v>105.4</v>
      </c>
      <c r="H220" s="1095">
        <v>117.4</v>
      </c>
      <c r="I220" s="1095">
        <v>134.19999999999999</v>
      </c>
      <c r="J220" s="1095">
        <v>123.2</v>
      </c>
      <c r="K220" s="1095">
        <v>113.5</v>
      </c>
      <c r="L220" s="1095">
        <v>77</v>
      </c>
      <c r="M220" s="1095">
        <v>74</v>
      </c>
      <c r="N220" s="1095">
        <v>78.2</v>
      </c>
      <c r="O220" s="1095">
        <v>78</v>
      </c>
      <c r="P220" s="573">
        <v>93.420285058277415</v>
      </c>
      <c r="Q220" s="573">
        <v>95.471277451133588</v>
      </c>
      <c r="R220" s="573">
        <v>97.241182031869343</v>
      </c>
      <c r="S220" s="573">
        <v>98.828843275320423</v>
      </c>
      <c r="T220" s="573">
        <v>100.56346193653435</v>
      </c>
      <c r="U220" s="573">
        <v>102.25272819996498</v>
      </c>
      <c r="V220" s="573">
        <v>103.59292392409625</v>
      </c>
      <c r="W220" s="573">
        <v>106.21638916040223</v>
      </c>
      <c r="X220" s="573">
        <v>107.72588912251153</v>
      </c>
      <c r="Y220" s="573">
        <v>109.12617407519895</v>
      </c>
      <c r="Z220" s="573">
        <v>110.46785470551812</v>
      </c>
      <c r="AA220" s="573">
        <v>111.68120496154094</v>
      </c>
      <c r="AB220" s="573">
        <v>113.23256834032486</v>
      </c>
      <c r="AC220" s="573">
        <v>115.09814663558544</v>
      </c>
      <c r="AD220" s="573">
        <v>116.88086581555098</v>
      </c>
      <c r="AE220" s="573">
        <v>118.54251133000847</v>
      </c>
      <c r="AF220" s="573">
        <v>120.13781262635041</v>
      </c>
      <c r="AG220" s="573">
        <v>121.63001908054615</v>
      </c>
      <c r="AH220" s="573">
        <v>123.07584641154446</v>
      </c>
      <c r="AI220" s="573">
        <v>124.40630112502366</v>
      </c>
      <c r="AJ220" s="573">
        <v>125.67385890415208</v>
      </c>
      <c r="AK220" s="573">
        <v>126.84484486715562</v>
      </c>
      <c r="AL220" s="576">
        <f>($AK$217-$AB$217)/10+AK220</f>
        <v>126.89225989219324</v>
      </c>
      <c r="AM220" s="576">
        <f t="shared" si="119"/>
        <v>126.93967491723086</v>
      </c>
      <c r="AN220" s="576">
        <f t="shared" si="119"/>
        <v>126.98708994226848</v>
      </c>
      <c r="AO220" s="576">
        <f t="shared" si="119"/>
        <v>127.03450496730611</v>
      </c>
      <c r="AP220" s="576">
        <f t="shared" si="119"/>
        <v>127.08191999234373</v>
      </c>
      <c r="AQ220" s="576">
        <f t="shared" si="119"/>
        <v>127.12933501738135</v>
      </c>
      <c r="AR220" s="576">
        <f t="shared" si="119"/>
        <v>127.17675004241897</v>
      </c>
      <c r="AS220" s="576">
        <f t="shared" si="119"/>
        <v>127.2241650674566</v>
      </c>
      <c r="AT220" s="576">
        <f t="shared" si="119"/>
        <v>127.27158009249422</v>
      </c>
      <c r="AU220" s="576">
        <f t="shared" si="119"/>
        <v>127.31899511753184</v>
      </c>
      <c r="AV220" s="602"/>
      <c r="AW220" s="602"/>
      <c r="AX220" s="602"/>
      <c r="AY220" s="602"/>
      <c r="AZ220" s="602"/>
      <c r="BA220" s="602"/>
    </row>
    <row r="221" spans="2:53" ht="14.4">
      <c r="B221" s="1093"/>
      <c r="C221" s="1094" t="s">
        <v>195</v>
      </c>
      <c r="D221" s="1098"/>
      <c r="E221" s="1099" t="s">
        <v>303</v>
      </c>
      <c r="F221" s="1099" t="s">
        <v>194</v>
      </c>
      <c r="G221" s="1095">
        <v>76.5</v>
      </c>
      <c r="H221" s="1095">
        <v>112.4</v>
      </c>
      <c r="I221" s="1095">
        <v>116.3</v>
      </c>
      <c r="J221" s="1095">
        <v>118.6</v>
      </c>
      <c r="K221" s="1095">
        <v>110.1</v>
      </c>
      <c r="L221" s="1095">
        <v>73.5</v>
      </c>
      <c r="M221" s="1095">
        <v>70.599999999999994</v>
      </c>
      <c r="N221" s="1095">
        <v>74.7</v>
      </c>
      <c r="O221" s="1095">
        <v>74.599999999999994</v>
      </c>
      <c r="P221" s="573">
        <v>90.831954056376134</v>
      </c>
      <c r="Q221" s="573">
        <v>92.882946449232307</v>
      </c>
      <c r="R221" s="573">
        <v>94.652851029968062</v>
      </c>
      <c r="S221" s="573">
        <v>96.240512273419142</v>
      </c>
      <c r="T221" s="573">
        <v>97.975130934633071</v>
      </c>
      <c r="U221" s="573">
        <v>99.664397198063696</v>
      </c>
      <c r="V221" s="573">
        <v>101.00459292219497</v>
      </c>
      <c r="W221" s="573">
        <v>103.62805815850095</v>
      </c>
      <c r="X221" s="573">
        <v>105.13755812061025</v>
      </c>
      <c r="Y221" s="573">
        <v>106.53784307329767</v>
      </c>
      <c r="Z221" s="573">
        <v>107.87952370361684</v>
      </c>
      <c r="AA221" s="573">
        <v>109.09287395963966</v>
      </c>
      <c r="AB221" s="573">
        <v>110.64423733842358</v>
      </c>
      <c r="AC221" s="573">
        <v>112.50981563368416</v>
      </c>
      <c r="AD221" s="573">
        <v>114.2925348136497</v>
      </c>
      <c r="AE221" s="573">
        <v>115.95418032810719</v>
      </c>
      <c r="AF221" s="573">
        <v>117.54948162444913</v>
      </c>
      <c r="AG221" s="573">
        <v>119.04168807864487</v>
      </c>
      <c r="AH221" s="573">
        <v>120.48751540964318</v>
      </c>
      <c r="AI221" s="573">
        <v>121.81797012312238</v>
      </c>
      <c r="AJ221" s="573">
        <v>123.0855279022508</v>
      </c>
      <c r="AK221" s="573">
        <v>124.25651386525433</v>
      </c>
      <c r="AL221" s="576">
        <f>($AK$217-$AB$217)/10+AK221</f>
        <v>124.30392889029196</v>
      </c>
      <c r="AM221" s="576">
        <f t="shared" si="119"/>
        <v>124.35134391532958</v>
      </c>
      <c r="AN221" s="576">
        <f t="shared" si="119"/>
        <v>124.3987589403672</v>
      </c>
      <c r="AO221" s="576">
        <f t="shared" si="119"/>
        <v>124.44617396540482</v>
      </c>
      <c r="AP221" s="576">
        <f t="shared" si="119"/>
        <v>124.49358899044245</v>
      </c>
      <c r="AQ221" s="576">
        <f t="shared" si="119"/>
        <v>124.54100401548007</v>
      </c>
      <c r="AR221" s="576">
        <f t="shared" si="119"/>
        <v>124.58841904051769</v>
      </c>
      <c r="AS221" s="576">
        <f t="shared" si="119"/>
        <v>124.63583406555531</v>
      </c>
      <c r="AT221" s="576">
        <f t="shared" si="119"/>
        <v>124.68324909059294</v>
      </c>
      <c r="AU221" s="576">
        <f t="shared" si="119"/>
        <v>124.73066411563056</v>
      </c>
      <c r="AV221" s="602"/>
      <c r="AW221" s="602"/>
      <c r="AX221" s="602"/>
      <c r="AY221" s="602"/>
      <c r="AZ221" s="602"/>
      <c r="BA221" s="602"/>
    </row>
    <row r="222" spans="2:53" ht="14.4">
      <c r="B222" s="1093"/>
      <c r="C222" s="1094" t="s">
        <v>196</v>
      </c>
      <c r="D222" s="1098"/>
      <c r="E222" s="1099" t="s">
        <v>303</v>
      </c>
      <c r="F222" s="1099" t="s">
        <v>194</v>
      </c>
      <c r="G222" s="1095">
        <v>110.4</v>
      </c>
      <c r="H222" s="1095">
        <v>120.9</v>
      </c>
      <c r="I222" s="1095">
        <v>127.5</v>
      </c>
      <c r="J222" s="1095">
        <v>123.2</v>
      </c>
      <c r="K222" s="1095">
        <v>113.5</v>
      </c>
      <c r="L222" s="1095">
        <v>77</v>
      </c>
      <c r="M222" s="1095">
        <v>74</v>
      </c>
      <c r="N222" s="1095">
        <v>78.2</v>
      </c>
      <c r="O222" s="1095">
        <v>78</v>
      </c>
      <c r="P222" s="1095">
        <v>76.400000000000006</v>
      </c>
      <c r="Q222" s="1095">
        <v>74.2</v>
      </c>
      <c r="R222" s="1095">
        <v>74.099999999999994</v>
      </c>
      <c r="S222" s="1095">
        <v>74.599999999999994</v>
      </c>
      <c r="T222" s="1095">
        <v>76.3</v>
      </c>
      <c r="U222" s="1095">
        <v>77.900000000000006</v>
      </c>
      <c r="V222" s="1095">
        <v>79.5</v>
      </c>
      <c r="W222" s="1095">
        <v>81</v>
      </c>
      <c r="X222" s="1095">
        <v>82.4</v>
      </c>
      <c r="Y222" s="1095">
        <v>83.7</v>
      </c>
      <c r="Z222" s="1095">
        <v>84.9</v>
      </c>
      <c r="AA222" s="1095">
        <v>86.1</v>
      </c>
      <c r="AB222" s="1095">
        <v>88</v>
      </c>
      <c r="AC222" s="1095">
        <v>89.9</v>
      </c>
      <c r="AD222" s="1095">
        <v>91.6</v>
      </c>
      <c r="AE222" s="1095">
        <v>93.2</v>
      </c>
      <c r="AF222" s="1095">
        <v>94.8</v>
      </c>
      <c r="AG222" s="1095">
        <v>96.2</v>
      </c>
      <c r="AH222" s="1095">
        <v>97.6</v>
      </c>
      <c r="AI222" s="1095">
        <v>98.9</v>
      </c>
      <c r="AJ222" s="1095">
        <v>100.2</v>
      </c>
      <c r="AK222" s="1095">
        <v>101.3</v>
      </c>
      <c r="AL222" s="1095">
        <v>103</v>
      </c>
      <c r="AM222" s="1095">
        <v>104.6</v>
      </c>
      <c r="AN222" s="1095">
        <v>106.1</v>
      </c>
      <c r="AO222" s="1095">
        <v>107.5</v>
      </c>
      <c r="AP222" s="1095">
        <v>108.8</v>
      </c>
      <c r="AQ222" s="1095">
        <v>110.4</v>
      </c>
      <c r="AR222" s="1095">
        <v>111.9</v>
      </c>
      <c r="AS222" s="1095">
        <v>113.3</v>
      </c>
      <c r="AT222" s="1095">
        <v>114.6</v>
      </c>
      <c r="AU222" s="1095">
        <v>115.8</v>
      </c>
      <c r="AV222" s="602"/>
      <c r="AW222" s="602"/>
      <c r="AX222" s="602"/>
      <c r="AY222" s="602"/>
      <c r="AZ222" s="602"/>
      <c r="BA222" s="602"/>
    </row>
    <row r="223" spans="2:53" ht="14.4">
      <c r="B223" s="1093"/>
      <c r="C223" s="1094" t="s">
        <v>197</v>
      </c>
      <c r="D223" s="1098"/>
      <c r="E223" s="1099" t="s">
        <v>303</v>
      </c>
      <c r="F223" s="1099" t="s">
        <v>194</v>
      </c>
      <c r="G223" s="1095">
        <v>105.4</v>
      </c>
      <c r="H223" s="1095">
        <v>117.4</v>
      </c>
      <c r="I223" s="1095">
        <v>134.19999999999999</v>
      </c>
      <c r="J223" s="1095">
        <v>123.2</v>
      </c>
      <c r="K223" s="1095">
        <v>113.5</v>
      </c>
      <c r="L223" s="1095">
        <v>77</v>
      </c>
      <c r="M223" s="1095">
        <v>74</v>
      </c>
      <c r="N223" s="1095">
        <v>78.2</v>
      </c>
      <c r="O223" s="1095">
        <v>78</v>
      </c>
      <c r="P223" s="1095">
        <v>76.400000000000006</v>
      </c>
      <c r="Q223" s="1095">
        <v>74.2</v>
      </c>
      <c r="R223" s="1095">
        <v>74.099999999999994</v>
      </c>
      <c r="S223" s="1095">
        <v>74.599999999999994</v>
      </c>
      <c r="T223" s="1095">
        <v>76.3</v>
      </c>
      <c r="U223" s="1095">
        <v>77.900000000000006</v>
      </c>
      <c r="V223" s="1095">
        <v>79.5</v>
      </c>
      <c r="W223" s="1095">
        <v>81</v>
      </c>
      <c r="X223" s="1095">
        <v>82.4</v>
      </c>
      <c r="Y223" s="1095">
        <v>83.7</v>
      </c>
      <c r="Z223" s="1095">
        <v>84.9</v>
      </c>
      <c r="AA223" s="1095">
        <v>86.1</v>
      </c>
      <c r="AB223" s="1095">
        <v>88</v>
      </c>
      <c r="AC223" s="1095">
        <v>89.9</v>
      </c>
      <c r="AD223" s="1095">
        <v>91.6</v>
      </c>
      <c r="AE223" s="1095">
        <v>93.2</v>
      </c>
      <c r="AF223" s="1095">
        <v>94.8</v>
      </c>
      <c r="AG223" s="1095">
        <v>96.2</v>
      </c>
      <c r="AH223" s="1095">
        <v>97.6</v>
      </c>
      <c r="AI223" s="1095">
        <v>98.9</v>
      </c>
      <c r="AJ223" s="1095">
        <v>100.2</v>
      </c>
      <c r="AK223" s="1095">
        <v>101.3</v>
      </c>
      <c r="AL223" s="1095">
        <v>103</v>
      </c>
      <c r="AM223" s="1095">
        <v>104.6</v>
      </c>
      <c r="AN223" s="1095">
        <v>106.1</v>
      </c>
      <c r="AO223" s="1095">
        <v>107.5</v>
      </c>
      <c r="AP223" s="1095">
        <v>108.8</v>
      </c>
      <c r="AQ223" s="1095">
        <v>110.4</v>
      </c>
      <c r="AR223" s="1095">
        <v>111.9</v>
      </c>
      <c r="AS223" s="1095">
        <v>113.3</v>
      </c>
      <c r="AT223" s="1095">
        <v>114.6</v>
      </c>
      <c r="AU223" s="1095">
        <v>115.8</v>
      </c>
      <c r="AV223" s="602"/>
      <c r="AW223" s="602"/>
      <c r="AX223" s="602"/>
      <c r="AY223" s="602"/>
      <c r="AZ223" s="602"/>
      <c r="BA223" s="602"/>
    </row>
    <row r="224" spans="2:53" ht="14.4">
      <c r="B224" s="1093"/>
      <c r="C224" s="207" t="s">
        <v>99</v>
      </c>
      <c r="D224" s="206"/>
      <c r="E224" s="1101" t="s">
        <v>303</v>
      </c>
      <c r="F224" s="1101" t="s">
        <v>194</v>
      </c>
      <c r="G224" s="1102">
        <v>68.2</v>
      </c>
      <c r="H224" s="1102">
        <v>102</v>
      </c>
      <c r="I224" s="1102">
        <v>96.2</v>
      </c>
      <c r="J224" s="1102">
        <v>91.7</v>
      </c>
      <c r="K224" s="1102">
        <v>84</v>
      </c>
      <c r="L224" s="1102">
        <v>47.5</v>
      </c>
      <c r="M224" s="1102">
        <v>44.5</v>
      </c>
      <c r="N224" s="1102">
        <v>48.7</v>
      </c>
      <c r="O224" s="1102">
        <v>48.5</v>
      </c>
      <c r="P224" s="1102">
        <v>46.9</v>
      </c>
      <c r="Q224" s="1102">
        <v>44.7</v>
      </c>
      <c r="R224" s="1102">
        <v>44.6</v>
      </c>
      <c r="S224" s="1102">
        <v>45.1</v>
      </c>
      <c r="T224" s="1102">
        <v>46.8</v>
      </c>
      <c r="U224" s="1102">
        <v>48.4</v>
      </c>
      <c r="V224" s="1102">
        <v>50</v>
      </c>
      <c r="W224" s="1102">
        <v>51.5</v>
      </c>
      <c r="X224" s="1102">
        <v>52.9</v>
      </c>
      <c r="Y224" s="1102">
        <v>54.2</v>
      </c>
      <c r="Z224" s="1102">
        <v>55.4</v>
      </c>
      <c r="AA224" s="1102">
        <v>56.6</v>
      </c>
      <c r="AB224" s="1102">
        <v>58.5</v>
      </c>
      <c r="AC224" s="1102">
        <v>60.4</v>
      </c>
      <c r="AD224" s="1102">
        <v>62.1</v>
      </c>
      <c r="AE224" s="1102">
        <v>63.7</v>
      </c>
      <c r="AF224" s="1102">
        <v>65.3</v>
      </c>
      <c r="AG224" s="1102">
        <v>66.7</v>
      </c>
      <c r="AH224" s="1102">
        <v>68.099999999999994</v>
      </c>
      <c r="AI224" s="1102">
        <v>69.400000000000006</v>
      </c>
      <c r="AJ224" s="1102">
        <v>70.7</v>
      </c>
      <c r="AK224" s="1102">
        <v>71.8</v>
      </c>
      <c r="AL224" s="1102">
        <v>73.5</v>
      </c>
      <c r="AM224" s="1102">
        <v>75.099999999999994</v>
      </c>
      <c r="AN224" s="1102">
        <v>76.599999999999994</v>
      </c>
      <c r="AO224" s="1102">
        <v>78</v>
      </c>
      <c r="AP224" s="1102">
        <v>79.3</v>
      </c>
      <c r="AQ224" s="1102">
        <v>80.900000000000006</v>
      </c>
      <c r="AR224" s="1102">
        <v>82.4</v>
      </c>
      <c r="AS224" s="1102">
        <v>83.8</v>
      </c>
      <c r="AT224" s="1102">
        <v>85.1</v>
      </c>
      <c r="AU224" s="1102">
        <v>86.3</v>
      </c>
      <c r="AV224" s="602"/>
      <c r="AW224" s="602"/>
      <c r="AX224" s="602"/>
      <c r="AY224" s="602"/>
      <c r="AZ224" s="602"/>
      <c r="BA224" s="602"/>
    </row>
    <row r="225" spans="2:53" ht="14.4">
      <c r="B225" s="1093"/>
      <c r="C225" s="207" t="s">
        <v>305</v>
      </c>
      <c r="D225" s="206"/>
      <c r="E225" s="1101" t="s">
        <v>303</v>
      </c>
      <c r="F225" s="1101" t="s">
        <v>194</v>
      </c>
      <c r="G225" s="1102">
        <v>44.4</v>
      </c>
      <c r="H225" s="1102">
        <v>46.1</v>
      </c>
      <c r="I225" s="1102">
        <v>55.1</v>
      </c>
      <c r="J225" s="1102">
        <v>54.2</v>
      </c>
      <c r="K225" s="1102">
        <v>45.7</v>
      </c>
      <c r="L225" s="1102">
        <v>44</v>
      </c>
      <c r="M225" s="1102">
        <v>36.799999999999997</v>
      </c>
      <c r="N225" s="1102">
        <v>36.9</v>
      </c>
      <c r="O225" s="1102">
        <v>35.1</v>
      </c>
      <c r="P225" s="571">
        <v>53.94529046338949</v>
      </c>
      <c r="Q225" s="571">
        <v>48.049648253621314</v>
      </c>
      <c r="R225" s="571">
        <v>40.610335042675715</v>
      </c>
      <c r="S225" s="571">
        <v>40.251302428954361</v>
      </c>
      <c r="T225" s="571">
        <v>41.309391764519106</v>
      </c>
      <c r="U225" s="571">
        <v>42.384105929912252</v>
      </c>
      <c r="V225" s="571">
        <v>43.418156429745736</v>
      </c>
      <c r="W225" s="571">
        <v>44.641031928073701</v>
      </c>
      <c r="X225" s="571">
        <v>45.825085716990088</v>
      </c>
      <c r="Y225" s="571">
        <v>46.950294651080164</v>
      </c>
      <c r="Z225" s="571">
        <v>48.047984271449039</v>
      </c>
      <c r="AA225" s="571">
        <v>49.074729484141251</v>
      </c>
      <c r="AB225" s="571">
        <v>50.22027708112531</v>
      </c>
      <c r="AC225" s="571">
        <v>51.310437783572709</v>
      </c>
      <c r="AD225" s="571">
        <v>52.371455269436716</v>
      </c>
      <c r="AE225" s="571">
        <v>53.379487378305292</v>
      </c>
      <c r="AF225" s="571">
        <v>54.366646432213557</v>
      </c>
      <c r="AG225" s="571">
        <v>56.021566478043873</v>
      </c>
      <c r="AH225" s="571">
        <v>56.643484305507364</v>
      </c>
      <c r="AI225" s="571">
        <v>57.206292482675018</v>
      </c>
      <c r="AJ225" s="571">
        <v>57.740541471904386</v>
      </c>
      <c r="AK225" s="571">
        <v>58.226230553747364</v>
      </c>
      <c r="AL225" s="577">
        <f>($AK$217-$AB$217)/10+AK225</f>
        <v>58.273645578784986</v>
      </c>
      <c r="AM225" s="577">
        <f t="shared" ref="AM225:AU225" si="120">($AK$217-$AB$217)/10+AL225</f>
        <v>58.321060603822609</v>
      </c>
      <c r="AN225" s="577">
        <f t="shared" si="120"/>
        <v>58.368475628860232</v>
      </c>
      <c r="AO225" s="577">
        <f t="shared" si="120"/>
        <v>58.415890653897854</v>
      </c>
      <c r="AP225" s="577">
        <f t="shared" si="120"/>
        <v>58.463305678935477</v>
      </c>
      <c r="AQ225" s="577">
        <f t="shared" si="120"/>
        <v>58.510720703973099</v>
      </c>
      <c r="AR225" s="577">
        <f t="shared" si="120"/>
        <v>58.558135729010722</v>
      </c>
      <c r="AS225" s="577">
        <f t="shared" si="120"/>
        <v>58.605550754048345</v>
      </c>
      <c r="AT225" s="577">
        <f t="shared" si="120"/>
        <v>58.652965779085967</v>
      </c>
      <c r="AU225" s="577">
        <f t="shared" si="120"/>
        <v>58.70038080412359</v>
      </c>
      <c r="AV225" s="602"/>
      <c r="AW225" s="602"/>
      <c r="AX225" s="602"/>
      <c r="AY225" s="602"/>
      <c r="AZ225" s="602"/>
      <c r="BA225" s="602"/>
    </row>
    <row r="226" spans="2:53">
      <c r="B226" s="1093"/>
      <c r="C226" s="1103" t="s">
        <v>627</v>
      </c>
      <c r="D226" s="1093"/>
      <c r="E226" s="1093"/>
      <c r="F226" s="1093"/>
      <c r="G226" s="1093"/>
      <c r="H226" s="1093"/>
      <c r="I226" s="1093"/>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602"/>
      <c r="AW226" s="602"/>
      <c r="AX226" s="602"/>
      <c r="AY226" s="602"/>
      <c r="AZ226" s="602"/>
      <c r="BA226" s="602"/>
    </row>
    <row r="227" spans="2:53">
      <c r="B227" s="1093"/>
      <c r="C227" s="1103" t="s">
        <v>632</v>
      </c>
      <c r="D227" s="1093"/>
      <c r="E227" s="1093"/>
      <c r="F227" s="1093"/>
      <c r="G227" s="1093"/>
      <c r="H227" s="1093"/>
      <c r="I227" s="1093"/>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602"/>
      <c r="AW227" s="602"/>
      <c r="AX227" s="602"/>
      <c r="AY227" s="602"/>
      <c r="AZ227" s="602"/>
      <c r="BA227" s="602"/>
    </row>
    <row r="228" spans="2:53">
      <c r="B228" s="1093"/>
      <c r="C228" s="1103" t="s">
        <v>631</v>
      </c>
      <c r="D228" s="1093"/>
      <c r="E228" s="1093"/>
      <c r="F228" s="1093"/>
      <c r="G228" s="1093"/>
      <c r="H228" s="1093"/>
      <c r="I228" s="1093"/>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602"/>
      <c r="AW228" s="602"/>
      <c r="AX228" s="602"/>
      <c r="AY228" s="602"/>
      <c r="AZ228" s="602"/>
      <c r="BA228" s="602"/>
    </row>
    <row r="229" spans="2:53">
      <c r="B229" s="602"/>
      <c r="C229" s="602"/>
      <c r="D229" s="602"/>
      <c r="G229" s="602"/>
      <c r="H229" s="602"/>
      <c r="I229" s="602"/>
      <c r="J229" s="602"/>
      <c r="K229" s="602"/>
      <c r="L229" s="602"/>
      <c r="M229" s="602"/>
      <c r="N229" s="602"/>
      <c r="O229" s="602"/>
      <c r="P229" s="602"/>
      <c r="Q229" s="602"/>
      <c r="R229" s="602"/>
      <c r="S229" s="602"/>
      <c r="T229" s="602"/>
      <c r="U229" s="602"/>
      <c r="V229" s="602"/>
      <c r="W229" s="602"/>
      <c r="X229" s="602"/>
      <c r="Y229" s="602"/>
      <c r="Z229" s="602"/>
      <c r="AA229" s="602"/>
      <c r="AB229" s="602"/>
      <c r="AC229" s="602"/>
      <c r="AD229" s="602"/>
      <c r="AE229" s="602"/>
      <c r="AF229" s="602"/>
      <c r="AG229" s="602"/>
      <c r="AH229" s="602"/>
      <c r="AI229" s="602"/>
      <c r="AJ229" s="602"/>
      <c r="AK229" s="602"/>
      <c r="AL229" s="602"/>
      <c r="AM229" s="602"/>
      <c r="AN229" s="602"/>
      <c r="AO229" s="602"/>
      <c r="AP229" s="602"/>
      <c r="AQ229" s="602"/>
      <c r="AR229" s="602"/>
      <c r="AS229" s="602"/>
      <c r="AT229" s="602"/>
      <c r="AU229" s="602"/>
      <c r="AV229" s="602"/>
      <c r="AW229" s="602"/>
      <c r="AX229" s="602"/>
      <c r="AY229" s="602"/>
      <c r="AZ229" s="602"/>
      <c r="BA229" s="602"/>
    </row>
    <row r="230" spans="2:53" ht="20.399999999999999" thickBot="1">
      <c r="B230" s="602"/>
      <c r="C230" s="200" t="s">
        <v>273</v>
      </c>
      <c r="D230" s="200"/>
      <c r="E230" s="200"/>
      <c r="F230" s="200"/>
      <c r="G230" s="200"/>
      <c r="H230" s="200"/>
      <c r="I230" s="200"/>
      <c r="J230" s="200"/>
      <c r="K230" s="200"/>
      <c r="L230" s="200"/>
      <c r="M230" s="200"/>
      <c r="N230" s="200"/>
      <c r="O230" s="200"/>
      <c r="P230" s="200"/>
      <c r="Q230" s="200"/>
      <c r="R230" s="200"/>
      <c r="S230" s="200"/>
      <c r="T230" s="200"/>
      <c r="U230" s="200"/>
      <c r="V230" s="200"/>
      <c r="W230" s="200"/>
      <c r="X230" s="200"/>
      <c r="Y230" s="200"/>
      <c r="Z230" s="200"/>
      <c r="AA230" s="200"/>
      <c r="AB230" s="200"/>
      <c r="AC230" s="200"/>
      <c r="AD230" s="200"/>
      <c r="AE230" s="200"/>
      <c r="AF230" s="200"/>
      <c r="AG230" s="200"/>
      <c r="AH230" s="200"/>
      <c r="AI230" s="200"/>
      <c r="AJ230" s="200"/>
      <c r="AK230" s="200"/>
      <c r="AL230" s="200"/>
      <c r="AM230" s="200"/>
      <c r="AN230" s="200"/>
      <c r="AO230" s="200"/>
      <c r="AP230" s="200"/>
      <c r="AQ230" s="200"/>
      <c r="AR230" s="200"/>
      <c r="AS230" s="200"/>
      <c r="AT230" s="200"/>
      <c r="AU230" s="200"/>
      <c r="AV230" s="602"/>
      <c r="AW230" s="602"/>
      <c r="AX230" s="602"/>
      <c r="AY230" s="602"/>
      <c r="AZ230" s="602"/>
      <c r="BA230" s="602"/>
    </row>
    <row r="231" spans="2:53" ht="18.600000000000001" thickTop="1" thickBot="1">
      <c r="B231" s="602"/>
      <c r="C231" s="197" t="s">
        <v>259</v>
      </c>
      <c r="D231" s="197"/>
      <c r="E231" s="197"/>
      <c r="F231" s="197"/>
      <c r="G231" s="197"/>
      <c r="H231" s="197"/>
      <c r="I231" s="197"/>
      <c r="J231" s="197"/>
      <c r="K231" s="197"/>
      <c r="L231" s="197"/>
      <c r="M231" s="197"/>
      <c r="N231" s="197"/>
      <c r="O231" s="197"/>
      <c r="P231" s="197"/>
      <c r="Q231" s="197"/>
      <c r="R231" s="197"/>
      <c r="S231" s="197"/>
      <c r="T231" s="197"/>
      <c r="U231" s="197"/>
      <c r="V231" s="197"/>
      <c r="W231" s="197"/>
      <c r="X231" s="197"/>
      <c r="Y231" s="197"/>
      <c r="Z231" s="197"/>
      <c r="AA231" s="197"/>
      <c r="AB231" s="197"/>
      <c r="AC231" s="197"/>
      <c r="AD231" s="197"/>
      <c r="AE231" s="197"/>
      <c r="AF231" s="197"/>
      <c r="AG231" s="197"/>
      <c r="AH231" s="197"/>
      <c r="AI231" s="197"/>
      <c r="AJ231" s="197"/>
      <c r="AK231" s="197"/>
      <c r="AL231" s="197"/>
      <c r="AM231" s="197"/>
      <c r="AN231" s="197"/>
      <c r="AO231" s="197"/>
      <c r="AP231" s="197"/>
      <c r="AQ231" s="197"/>
      <c r="AR231" s="197"/>
      <c r="AS231" s="197"/>
      <c r="AT231" s="197"/>
      <c r="AU231" s="197"/>
      <c r="AV231" s="602"/>
      <c r="AW231" s="602"/>
      <c r="AX231" s="602"/>
      <c r="AY231" s="602"/>
      <c r="AZ231" s="602"/>
      <c r="BA231" s="602"/>
    </row>
    <row r="232" spans="2:53" ht="15" thickTop="1">
      <c r="B232" s="602"/>
      <c r="C232" s="198" t="s">
        <v>260</v>
      </c>
      <c r="D232" s="198"/>
      <c r="E232" s="198"/>
      <c r="F232" s="198"/>
      <c r="G232" s="563">
        <v>2010</v>
      </c>
      <c r="H232" s="563">
        <v>2011</v>
      </c>
      <c r="I232" s="199">
        <v>2012</v>
      </c>
      <c r="J232" s="199">
        <v>2013</v>
      </c>
      <c r="K232" s="199">
        <v>2014</v>
      </c>
      <c r="L232" s="199">
        <v>2015</v>
      </c>
      <c r="M232" s="199">
        <v>2016</v>
      </c>
      <c r="N232" s="199">
        <v>2017</v>
      </c>
      <c r="O232" s="199">
        <v>2018</v>
      </c>
      <c r="P232" s="199">
        <v>2019</v>
      </c>
      <c r="Q232" s="199">
        <v>2020</v>
      </c>
      <c r="R232" s="199">
        <v>2021</v>
      </c>
      <c r="S232" s="199">
        <v>2022</v>
      </c>
      <c r="T232" s="199">
        <v>2023</v>
      </c>
      <c r="U232" s="199">
        <v>2024</v>
      </c>
      <c r="V232" s="199">
        <v>2025</v>
      </c>
      <c r="W232" s="199">
        <v>2026</v>
      </c>
      <c r="X232" s="199">
        <v>2027</v>
      </c>
      <c r="Y232" s="199">
        <v>2028</v>
      </c>
      <c r="Z232" s="199">
        <v>2029</v>
      </c>
      <c r="AA232" s="199">
        <v>2030</v>
      </c>
      <c r="AB232" s="199">
        <v>2031</v>
      </c>
      <c r="AC232" s="199">
        <v>2032</v>
      </c>
      <c r="AD232" s="199">
        <v>2033</v>
      </c>
      <c r="AE232" s="199">
        <v>2034</v>
      </c>
      <c r="AF232" s="199">
        <v>2035</v>
      </c>
      <c r="AG232" s="199">
        <v>2036</v>
      </c>
      <c r="AH232" s="199">
        <v>2037</v>
      </c>
      <c r="AI232" s="199">
        <v>2038</v>
      </c>
      <c r="AJ232" s="199">
        <v>2039</v>
      </c>
      <c r="AK232" s="199">
        <v>2040</v>
      </c>
      <c r="AL232" s="199">
        <v>2041</v>
      </c>
      <c r="AM232" s="199">
        <v>2042</v>
      </c>
      <c r="AN232" s="199">
        <v>2043</v>
      </c>
      <c r="AO232" s="199">
        <v>2044</v>
      </c>
      <c r="AP232" s="199">
        <v>2045</v>
      </c>
      <c r="AQ232" s="199">
        <v>2046</v>
      </c>
      <c r="AR232" s="199">
        <v>2047</v>
      </c>
      <c r="AS232" s="199">
        <v>2048</v>
      </c>
      <c r="AT232" s="199">
        <v>2049</v>
      </c>
      <c r="AU232" s="199">
        <v>2050</v>
      </c>
      <c r="AV232" s="602"/>
      <c r="AW232" s="602"/>
      <c r="AX232" s="602"/>
      <c r="AY232" s="602"/>
      <c r="AZ232" s="602"/>
      <c r="BA232" s="602"/>
    </row>
    <row r="233" spans="2:53" ht="14.4">
      <c r="B233" s="588"/>
      <c r="C233" s="602"/>
      <c r="D233" s="602" t="s">
        <v>261</v>
      </c>
      <c r="E233" s="201">
        <v>2014</v>
      </c>
      <c r="F233" s="485" t="s">
        <v>379</v>
      </c>
      <c r="G233" s="564">
        <f>I233</f>
        <v>46</v>
      </c>
      <c r="H233" s="564">
        <f>I233</f>
        <v>46</v>
      </c>
      <c r="I233" s="202">
        <v>46</v>
      </c>
      <c r="J233" s="202">
        <v>45.7</v>
      </c>
      <c r="K233" s="202">
        <v>45.3</v>
      </c>
      <c r="L233" s="202">
        <v>44.9</v>
      </c>
      <c r="M233" s="202">
        <v>45.4</v>
      </c>
      <c r="N233" s="202">
        <v>45.9</v>
      </c>
      <c r="O233" s="202">
        <v>46.5</v>
      </c>
      <c r="P233" s="574">
        <v>43.426265623811808</v>
      </c>
      <c r="Q233" s="574">
        <v>43.65253654619243</v>
      </c>
      <c r="R233" s="574">
        <v>43.928999158791825</v>
      </c>
      <c r="S233" s="574">
        <v>44.205082849585672</v>
      </c>
      <c r="T233" s="574">
        <v>44.480789827031863</v>
      </c>
      <c r="U233" s="574">
        <v>44.75612229958827</v>
      </c>
      <c r="V233" s="574">
        <v>45.031082475712807</v>
      </c>
      <c r="W233" s="574">
        <v>45.279976467601358</v>
      </c>
      <c r="X233" s="574">
        <v>45.528796659727412</v>
      </c>
      <c r="Y233" s="574">
        <v>45.777543052090969</v>
      </c>
      <c r="Z233" s="574">
        <v>46.02621564469203</v>
      </c>
      <c r="AA233" s="574">
        <v>46.274814437530587</v>
      </c>
      <c r="AB233" s="574">
        <v>46.428246784204831</v>
      </c>
      <c r="AC233" s="574">
        <v>46.581596106146264</v>
      </c>
      <c r="AD233" s="574">
        <v>46.73486240335491</v>
      </c>
      <c r="AE233" s="574">
        <v>46.888045675830739</v>
      </c>
      <c r="AF233" s="574">
        <v>47.041145923573744</v>
      </c>
      <c r="AG233" s="574">
        <v>47.184184641373889</v>
      </c>
      <c r="AH233" s="574">
        <v>47.327158784381858</v>
      </c>
      <c r="AI233" s="574">
        <v>47.470068352597629</v>
      </c>
      <c r="AJ233" s="574">
        <v>47.612913346021223</v>
      </c>
      <c r="AK233" s="574">
        <v>47.755693764652648</v>
      </c>
      <c r="AL233" s="576">
        <f>($AK$217-$AB$217)/10+AK233</f>
        <v>47.80310878969027</v>
      </c>
      <c r="AM233" s="576">
        <f t="shared" ref="AM233:AU233" si="121">($AK$217-$AB$217)/10+AL233</f>
        <v>47.850523814727893</v>
      </c>
      <c r="AN233" s="576">
        <f t="shared" si="121"/>
        <v>47.897938839765516</v>
      </c>
      <c r="AO233" s="576">
        <f t="shared" si="121"/>
        <v>47.945353864803138</v>
      </c>
      <c r="AP233" s="576">
        <f t="shared" si="121"/>
        <v>47.992768889840761</v>
      </c>
      <c r="AQ233" s="576">
        <f t="shared" si="121"/>
        <v>48.040183914878384</v>
      </c>
      <c r="AR233" s="576">
        <f t="shared" si="121"/>
        <v>48.087598939916006</v>
      </c>
      <c r="AS233" s="576">
        <f t="shared" si="121"/>
        <v>48.135013964953629</v>
      </c>
      <c r="AT233" s="576">
        <f t="shared" si="121"/>
        <v>48.182428989991251</v>
      </c>
      <c r="AU233" s="576">
        <f t="shared" si="121"/>
        <v>48.229844015028874</v>
      </c>
      <c r="AV233" s="602"/>
      <c r="AW233" s="602"/>
      <c r="AX233" s="602"/>
      <c r="AY233" s="602"/>
      <c r="AZ233" s="602"/>
      <c r="BA233" s="602"/>
    </row>
    <row r="234" spans="2:53" ht="14.4">
      <c r="B234" s="602"/>
      <c r="C234" s="602"/>
      <c r="D234" s="602" t="s">
        <v>308</v>
      </c>
      <c r="E234" s="201">
        <v>2014</v>
      </c>
      <c r="F234" s="485" t="s">
        <v>379</v>
      </c>
      <c r="G234" s="564">
        <f t="shared" ref="G234:G246" si="122">I234</f>
        <v>41</v>
      </c>
      <c r="H234" s="564">
        <f t="shared" ref="H234:H246" si="123">I234</f>
        <v>41</v>
      </c>
      <c r="I234" s="202">
        <v>41</v>
      </c>
      <c r="J234" s="202">
        <v>41.1</v>
      </c>
      <c r="K234" s="202">
        <v>41.2</v>
      </c>
      <c r="L234" s="202">
        <v>41.4</v>
      </c>
      <c r="M234" s="202">
        <v>41.6</v>
      </c>
      <c r="N234" s="202">
        <v>41.8</v>
      </c>
      <c r="O234" s="202">
        <v>42</v>
      </c>
      <c r="P234" s="202">
        <v>42.2</v>
      </c>
      <c r="Q234" s="202">
        <v>42.4</v>
      </c>
      <c r="R234" s="202">
        <v>42.7</v>
      </c>
      <c r="S234" s="202">
        <v>42.9</v>
      </c>
      <c r="T234" s="202">
        <v>43.2</v>
      </c>
      <c r="U234" s="202">
        <v>43.4</v>
      </c>
      <c r="V234" s="202">
        <v>43.7</v>
      </c>
      <c r="W234" s="202">
        <v>43.9</v>
      </c>
      <c r="X234" s="202">
        <v>44.1</v>
      </c>
      <c r="Y234" s="202">
        <v>44.4</v>
      </c>
      <c r="Z234" s="202">
        <v>44.6</v>
      </c>
      <c r="AA234" s="202">
        <v>44.8</v>
      </c>
      <c r="AB234" s="202">
        <v>45</v>
      </c>
      <c r="AC234" s="202">
        <v>45.1</v>
      </c>
      <c r="AD234" s="202">
        <v>45.2</v>
      </c>
      <c r="AE234" s="202">
        <v>45.4</v>
      </c>
      <c r="AF234" s="202">
        <v>45.5</v>
      </c>
      <c r="AG234" s="202">
        <v>45.6</v>
      </c>
      <c r="AH234" s="202">
        <v>45.8</v>
      </c>
      <c r="AI234" s="202">
        <v>45.9</v>
      </c>
      <c r="AJ234" s="202">
        <v>46</v>
      </c>
      <c r="AK234" s="202">
        <v>46.1</v>
      </c>
      <c r="AL234" s="202">
        <v>46.3</v>
      </c>
      <c r="AM234" s="202">
        <v>46.4</v>
      </c>
      <c r="AN234" s="202">
        <v>46.6</v>
      </c>
      <c r="AO234" s="202">
        <v>46.8</v>
      </c>
      <c r="AP234" s="202">
        <v>46.9</v>
      </c>
      <c r="AQ234" s="202">
        <v>47.1</v>
      </c>
      <c r="AR234" s="202">
        <v>47.4</v>
      </c>
      <c r="AS234" s="202">
        <v>47.6</v>
      </c>
      <c r="AT234" s="202">
        <v>47.8</v>
      </c>
      <c r="AU234" s="202">
        <v>48</v>
      </c>
      <c r="AV234" s="602"/>
      <c r="AW234" s="602"/>
      <c r="AX234" s="602"/>
      <c r="AY234" s="602"/>
      <c r="AZ234" s="602"/>
      <c r="BA234" s="602"/>
    </row>
    <row r="235" spans="2:53" ht="14.4">
      <c r="B235" s="602"/>
      <c r="C235" s="602"/>
      <c r="D235" s="602" t="s">
        <v>262</v>
      </c>
      <c r="E235" s="201">
        <v>2014</v>
      </c>
      <c r="F235" s="485" t="s">
        <v>379</v>
      </c>
      <c r="G235" s="564">
        <f t="shared" si="122"/>
        <v>48.5</v>
      </c>
      <c r="H235" s="564">
        <f t="shared" si="123"/>
        <v>48.5</v>
      </c>
      <c r="I235" s="202">
        <v>48.5</v>
      </c>
      <c r="J235" s="202">
        <v>48.1</v>
      </c>
      <c r="K235" s="202">
        <v>47.7</v>
      </c>
      <c r="L235" s="202">
        <v>47.3</v>
      </c>
      <c r="M235" s="202">
        <v>47.8</v>
      </c>
      <c r="N235" s="202">
        <v>48.3</v>
      </c>
      <c r="O235" s="202">
        <v>48.8</v>
      </c>
      <c r="P235" s="202">
        <v>49.4</v>
      </c>
      <c r="Q235" s="202">
        <v>49.9</v>
      </c>
      <c r="R235" s="202">
        <v>50.6</v>
      </c>
      <c r="S235" s="202">
        <v>51.3</v>
      </c>
      <c r="T235" s="202">
        <v>51.9</v>
      </c>
      <c r="U235" s="202">
        <v>52.6</v>
      </c>
      <c r="V235" s="202">
        <v>53.3</v>
      </c>
      <c r="W235" s="202">
        <v>53.9</v>
      </c>
      <c r="X235" s="202">
        <v>54.4</v>
      </c>
      <c r="Y235" s="202">
        <v>55</v>
      </c>
      <c r="Z235" s="202">
        <v>55.6</v>
      </c>
      <c r="AA235" s="202">
        <v>56.1</v>
      </c>
      <c r="AB235" s="202">
        <v>56.6</v>
      </c>
      <c r="AC235" s="202">
        <v>57.1</v>
      </c>
      <c r="AD235" s="202">
        <v>57.5</v>
      </c>
      <c r="AE235" s="202">
        <v>58</v>
      </c>
      <c r="AF235" s="202">
        <v>58.4</v>
      </c>
      <c r="AG235" s="202">
        <v>58.9</v>
      </c>
      <c r="AH235" s="202">
        <v>59.3</v>
      </c>
      <c r="AI235" s="202">
        <v>59.7</v>
      </c>
      <c r="AJ235" s="202">
        <v>60.1</v>
      </c>
      <c r="AK235" s="202">
        <v>60.6</v>
      </c>
      <c r="AL235" s="202">
        <v>61</v>
      </c>
      <c r="AM235" s="202">
        <v>61.4</v>
      </c>
      <c r="AN235" s="202">
        <v>61.8</v>
      </c>
      <c r="AO235" s="202">
        <v>62.3</v>
      </c>
      <c r="AP235" s="202">
        <v>62.7</v>
      </c>
      <c r="AQ235" s="202">
        <v>63.2</v>
      </c>
      <c r="AR235" s="202">
        <v>63.6</v>
      </c>
      <c r="AS235" s="202">
        <v>64.099999999999994</v>
      </c>
      <c r="AT235" s="202">
        <v>64.599999999999994</v>
      </c>
      <c r="AU235" s="202">
        <v>65</v>
      </c>
      <c r="AV235" s="602"/>
      <c r="AW235" s="602"/>
      <c r="AX235" s="602"/>
      <c r="AY235" s="602"/>
      <c r="AZ235" s="602"/>
      <c r="BA235" s="602"/>
    </row>
    <row r="236" spans="2:53" ht="14.4">
      <c r="B236" s="602"/>
      <c r="C236" s="602"/>
      <c r="D236" s="602" t="s">
        <v>263</v>
      </c>
      <c r="E236" s="201">
        <v>2014</v>
      </c>
      <c r="F236" s="485" t="s">
        <v>379</v>
      </c>
      <c r="G236" s="564">
        <f t="shared" si="122"/>
        <v>47.6</v>
      </c>
      <c r="H236" s="564">
        <f t="shared" si="123"/>
        <v>47.6</v>
      </c>
      <c r="I236" s="202">
        <v>47.6</v>
      </c>
      <c r="J236" s="202">
        <v>47.5</v>
      </c>
      <c r="K236" s="202">
        <v>47.5</v>
      </c>
      <c r="L236" s="202">
        <v>47.4</v>
      </c>
      <c r="M236" s="202">
        <v>47.7</v>
      </c>
      <c r="N236" s="202">
        <v>47.9</v>
      </c>
      <c r="O236" s="202">
        <v>48.2</v>
      </c>
      <c r="P236" s="202">
        <v>48.5</v>
      </c>
      <c r="Q236" s="202">
        <v>48.7</v>
      </c>
      <c r="R236" s="202">
        <v>49.1</v>
      </c>
      <c r="S236" s="202">
        <v>49.4</v>
      </c>
      <c r="T236" s="202">
        <v>49.7</v>
      </c>
      <c r="U236" s="202">
        <v>50.1</v>
      </c>
      <c r="V236" s="202">
        <v>50.4</v>
      </c>
      <c r="W236" s="202">
        <v>50.7</v>
      </c>
      <c r="X236" s="202">
        <v>51</v>
      </c>
      <c r="Y236" s="202">
        <v>51.3</v>
      </c>
      <c r="Z236" s="202">
        <v>51.7</v>
      </c>
      <c r="AA236" s="202">
        <v>52.2</v>
      </c>
      <c r="AB236" s="202">
        <v>52.6</v>
      </c>
      <c r="AC236" s="202">
        <v>53.1</v>
      </c>
      <c r="AD236" s="202">
        <v>53.5</v>
      </c>
      <c r="AE236" s="202">
        <v>53.9</v>
      </c>
      <c r="AF236" s="202">
        <v>54.4</v>
      </c>
      <c r="AG236" s="202">
        <v>54.8</v>
      </c>
      <c r="AH236" s="202">
        <v>55.1</v>
      </c>
      <c r="AI236" s="202">
        <v>55.5</v>
      </c>
      <c r="AJ236" s="202">
        <v>55.9</v>
      </c>
      <c r="AK236" s="202">
        <v>56.3</v>
      </c>
      <c r="AL236" s="202">
        <v>56.7</v>
      </c>
      <c r="AM236" s="202">
        <v>57.1</v>
      </c>
      <c r="AN236" s="202">
        <v>57.5</v>
      </c>
      <c r="AO236" s="202">
        <v>57.9</v>
      </c>
      <c r="AP236" s="202">
        <v>58.3</v>
      </c>
      <c r="AQ236" s="202">
        <v>58.8</v>
      </c>
      <c r="AR236" s="202">
        <v>59.2</v>
      </c>
      <c r="AS236" s="202">
        <v>59.6</v>
      </c>
      <c r="AT236" s="202">
        <v>60.1</v>
      </c>
      <c r="AU236" s="202">
        <v>60.5</v>
      </c>
      <c r="AV236" s="602"/>
      <c r="AW236" s="602"/>
      <c r="AX236" s="602"/>
      <c r="AY236" s="602"/>
      <c r="AZ236" s="602"/>
      <c r="BA236" s="602"/>
    </row>
    <row r="237" spans="2:53" ht="14.4">
      <c r="B237" s="602"/>
      <c r="C237" s="198" t="s">
        <v>264</v>
      </c>
      <c r="D237" s="602"/>
      <c r="E237" s="602"/>
      <c r="G237" s="564">
        <f t="shared" si="122"/>
        <v>0</v>
      </c>
      <c r="H237" s="564">
        <f t="shared" si="123"/>
        <v>0</v>
      </c>
      <c r="I237" s="485"/>
      <c r="J237" s="485"/>
      <c r="K237" s="485"/>
      <c r="L237" s="485"/>
      <c r="M237" s="485"/>
      <c r="N237" s="485"/>
      <c r="O237" s="485"/>
      <c r="P237" s="485"/>
      <c r="Q237" s="485"/>
      <c r="R237" s="485"/>
      <c r="S237" s="485"/>
      <c r="T237" s="485"/>
      <c r="U237" s="485"/>
      <c r="V237" s="485"/>
      <c r="W237" s="485"/>
      <c r="X237" s="485"/>
      <c r="Y237" s="485"/>
      <c r="Z237" s="485"/>
      <c r="AA237" s="485"/>
      <c r="AB237" s="485"/>
      <c r="AC237" s="485"/>
      <c r="AD237" s="485"/>
      <c r="AE237" s="485"/>
      <c r="AF237" s="485"/>
      <c r="AG237" s="485"/>
      <c r="AH237" s="485"/>
      <c r="AI237" s="485"/>
      <c r="AJ237" s="485"/>
      <c r="AK237" s="485"/>
      <c r="AL237" s="485"/>
      <c r="AM237" s="485"/>
      <c r="AN237" s="485"/>
      <c r="AO237" s="485"/>
      <c r="AP237" s="485"/>
      <c r="AQ237" s="485"/>
      <c r="AR237" s="485"/>
      <c r="AS237" s="485"/>
      <c r="AT237" s="485"/>
      <c r="AU237" s="485"/>
      <c r="AV237" s="602"/>
      <c r="AW237" s="602"/>
      <c r="AX237" s="602"/>
      <c r="AY237" s="602"/>
      <c r="AZ237" s="602"/>
      <c r="BA237" s="602"/>
    </row>
    <row r="238" spans="2:53" ht="14.4">
      <c r="B238" s="588"/>
      <c r="C238" s="602"/>
      <c r="D238" s="602" t="s">
        <v>265</v>
      </c>
      <c r="E238" s="201">
        <v>2014</v>
      </c>
      <c r="F238" s="485" t="s">
        <v>379</v>
      </c>
      <c r="G238" s="564">
        <f t="shared" si="122"/>
        <v>64.099999999999994</v>
      </c>
      <c r="H238" s="564">
        <f t="shared" si="123"/>
        <v>64.099999999999994</v>
      </c>
      <c r="I238" s="202">
        <v>64.099999999999994</v>
      </c>
      <c r="J238" s="202">
        <v>63.2</v>
      </c>
      <c r="K238" s="202">
        <v>62.4</v>
      </c>
      <c r="L238" s="202">
        <v>61.5</v>
      </c>
      <c r="M238" s="202">
        <v>61.9</v>
      </c>
      <c r="N238" s="202">
        <v>62.3</v>
      </c>
      <c r="O238" s="202">
        <v>62.7</v>
      </c>
      <c r="P238" s="573">
        <v>65.821840433738927</v>
      </c>
      <c r="Q238" s="573">
        <v>65.047767429918196</v>
      </c>
      <c r="R238" s="573">
        <v>64.835608715110197</v>
      </c>
      <c r="S238" s="573">
        <v>64.697208823830636</v>
      </c>
      <c r="T238" s="573">
        <v>64.59290976534399</v>
      </c>
      <c r="U238" s="573">
        <v>64.531892471531364</v>
      </c>
      <c r="V238" s="573">
        <v>64.464339558720255</v>
      </c>
      <c r="W238" s="573">
        <v>64.710015549840818</v>
      </c>
      <c r="X238" s="573">
        <v>64.955304437852263</v>
      </c>
      <c r="Y238" s="573">
        <v>65.200194985641772</v>
      </c>
      <c r="Z238" s="573">
        <v>65.444676055494327</v>
      </c>
      <c r="AA238" s="573">
        <v>65.688736608355271</v>
      </c>
      <c r="AB238" s="573">
        <v>65.884596633860156</v>
      </c>
      <c r="AC238" s="573">
        <v>66.08036338926722</v>
      </c>
      <c r="AD238" s="573">
        <v>66.276021603357506</v>
      </c>
      <c r="AE238" s="573">
        <v>66.471556138902102</v>
      </c>
      <c r="AF238" s="573">
        <v>66.66695199165018</v>
      </c>
      <c r="AG238" s="573">
        <v>66.829694828730965</v>
      </c>
      <c r="AH238" s="573">
        <v>66.992074665035901</v>
      </c>
      <c r="AI238" s="573">
        <v>67.154082323490499</v>
      </c>
      <c r="AJ238" s="573">
        <v>67.315708706874133</v>
      </c>
      <c r="AK238" s="573">
        <v>67.476944797280851</v>
      </c>
      <c r="AL238" s="576">
        <f>($AK$217-$AB$217)/10+AK238</f>
        <v>67.524359822318473</v>
      </c>
      <c r="AM238" s="576">
        <f t="shared" ref="AM238:AU238" si="124">($AK$217-$AB$217)/10+AL238</f>
        <v>67.571774847356096</v>
      </c>
      <c r="AN238" s="576">
        <f t="shared" si="124"/>
        <v>67.619189872393719</v>
      </c>
      <c r="AO238" s="576">
        <f t="shared" si="124"/>
        <v>67.666604897431341</v>
      </c>
      <c r="AP238" s="576">
        <f t="shared" si="124"/>
        <v>67.714019922468964</v>
      </c>
      <c r="AQ238" s="576">
        <f t="shared" si="124"/>
        <v>67.761434947506586</v>
      </c>
      <c r="AR238" s="576">
        <f t="shared" si="124"/>
        <v>67.808849972544209</v>
      </c>
      <c r="AS238" s="576">
        <f t="shared" si="124"/>
        <v>67.856264997581832</v>
      </c>
      <c r="AT238" s="576">
        <f t="shared" si="124"/>
        <v>67.903680022619454</v>
      </c>
      <c r="AU238" s="576">
        <f t="shared" si="124"/>
        <v>67.951095047657077</v>
      </c>
      <c r="AV238" s="602"/>
      <c r="AW238" s="602"/>
      <c r="AX238" s="602"/>
      <c r="AY238" s="602"/>
      <c r="AZ238" s="602"/>
      <c r="BA238" s="602"/>
    </row>
    <row r="239" spans="2:53" ht="14.4">
      <c r="B239" s="602"/>
      <c r="C239" s="602"/>
      <c r="D239" s="602" t="s">
        <v>266</v>
      </c>
      <c r="E239" s="201">
        <v>2014</v>
      </c>
      <c r="F239" s="485" t="s">
        <v>379</v>
      </c>
      <c r="G239" s="564">
        <f t="shared" si="122"/>
        <v>66.3</v>
      </c>
      <c r="H239" s="564">
        <f t="shared" si="123"/>
        <v>66.3</v>
      </c>
      <c r="I239" s="202">
        <v>66.3</v>
      </c>
      <c r="J239" s="202">
        <v>65.400000000000006</v>
      </c>
      <c r="K239" s="202">
        <v>64.5</v>
      </c>
      <c r="L239" s="202">
        <v>63.6</v>
      </c>
      <c r="M239" s="202">
        <v>64</v>
      </c>
      <c r="N239" s="202">
        <v>64.400000000000006</v>
      </c>
      <c r="O239" s="202">
        <v>64.8</v>
      </c>
      <c r="P239" s="202">
        <v>65.099999999999994</v>
      </c>
      <c r="Q239" s="202">
        <v>65.5</v>
      </c>
      <c r="R239" s="202">
        <v>66</v>
      </c>
      <c r="S239" s="202">
        <v>66.599999999999994</v>
      </c>
      <c r="T239" s="202">
        <v>67.099999999999994</v>
      </c>
      <c r="U239" s="202">
        <v>67.7</v>
      </c>
      <c r="V239" s="202">
        <v>68.2</v>
      </c>
      <c r="W239" s="202">
        <v>68.599999999999994</v>
      </c>
      <c r="X239" s="202">
        <v>69</v>
      </c>
      <c r="Y239" s="202">
        <v>69.5</v>
      </c>
      <c r="Z239" s="202">
        <v>69.900000000000006</v>
      </c>
      <c r="AA239" s="202">
        <v>70.3</v>
      </c>
      <c r="AB239" s="202">
        <v>70.599999999999994</v>
      </c>
      <c r="AC239" s="202">
        <v>70.900000000000006</v>
      </c>
      <c r="AD239" s="202">
        <v>71.3</v>
      </c>
      <c r="AE239" s="202">
        <v>71.599999999999994</v>
      </c>
      <c r="AF239" s="202">
        <v>71.900000000000006</v>
      </c>
      <c r="AG239" s="202">
        <v>72.2</v>
      </c>
      <c r="AH239" s="202">
        <v>72.5</v>
      </c>
      <c r="AI239" s="202">
        <v>72.8</v>
      </c>
      <c r="AJ239" s="202">
        <v>73.099999999999994</v>
      </c>
      <c r="AK239" s="202">
        <v>73.3</v>
      </c>
      <c r="AL239" s="202">
        <v>73.599999999999994</v>
      </c>
      <c r="AM239" s="202">
        <v>73.900000000000006</v>
      </c>
      <c r="AN239" s="202">
        <v>74.2</v>
      </c>
      <c r="AO239" s="202">
        <v>74.400000000000006</v>
      </c>
      <c r="AP239" s="202">
        <v>74.7</v>
      </c>
      <c r="AQ239" s="202">
        <v>75.099999999999994</v>
      </c>
      <c r="AR239" s="202">
        <v>75.5</v>
      </c>
      <c r="AS239" s="202">
        <v>75.8</v>
      </c>
      <c r="AT239" s="202">
        <v>76.2</v>
      </c>
      <c r="AU239" s="202">
        <v>76.5</v>
      </c>
      <c r="AV239" s="602"/>
      <c r="AW239" s="602"/>
      <c r="AX239" s="602"/>
      <c r="AY239" s="602"/>
      <c r="AZ239" s="602"/>
      <c r="BA239" s="602"/>
    </row>
    <row r="240" spans="2:53" ht="14.4">
      <c r="B240" s="602"/>
      <c r="C240" s="602"/>
      <c r="D240" s="602" t="s">
        <v>267</v>
      </c>
      <c r="E240" s="201">
        <v>2014</v>
      </c>
      <c r="F240" s="485" t="s">
        <v>379</v>
      </c>
      <c r="G240" s="564">
        <f t="shared" si="122"/>
        <v>70.900000000000006</v>
      </c>
      <c r="H240" s="564">
        <f t="shared" si="123"/>
        <v>70.900000000000006</v>
      </c>
      <c r="I240" s="202">
        <v>70.900000000000006</v>
      </c>
      <c r="J240" s="202">
        <v>69.900000000000006</v>
      </c>
      <c r="K240" s="202">
        <v>68.900000000000006</v>
      </c>
      <c r="L240" s="202">
        <v>67.900000000000006</v>
      </c>
      <c r="M240" s="202">
        <v>68.3</v>
      </c>
      <c r="N240" s="202">
        <v>68.7</v>
      </c>
      <c r="O240" s="202">
        <v>69.099999999999994</v>
      </c>
      <c r="P240" s="202">
        <v>69.5</v>
      </c>
      <c r="Q240" s="202">
        <v>69.900000000000006</v>
      </c>
      <c r="R240" s="202">
        <v>70.400000000000006</v>
      </c>
      <c r="S240" s="202">
        <v>71</v>
      </c>
      <c r="T240" s="202">
        <v>71.599999999999994</v>
      </c>
      <c r="U240" s="202">
        <v>72.2</v>
      </c>
      <c r="V240" s="202">
        <v>72.8</v>
      </c>
      <c r="W240" s="202">
        <v>73.2</v>
      </c>
      <c r="X240" s="202">
        <v>73.599999999999994</v>
      </c>
      <c r="Y240" s="202">
        <v>74</v>
      </c>
      <c r="Z240" s="202">
        <v>74.5</v>
      </c>
      <c r="AA240" s="202">
        <v>74.900000000000006</v>
      </c>
      <c r="AB240" s="202">
        <v>75.2</v>
      </c>
      <c r="AC240" s="202">
        <v>75.599999999999994</v>
      </c>
      <c r="AD240" s="202">
        <v>75.900000000000006</v>
      </c>
      <c r="AE240" s="202">
        <v>76.3</v>
      </c>
      <c r="AF240" s="202">
        <v>76.599999999999994</v>
      </c>
      <c r="AG240" s="202">
        <v>76.900000000000006</v>
      </c>
      <c r="AH240" s="202">
        <v>77.2</v>
      </c>
      <c r="AI240" s="202">
        <v>77.5</v>
      </c>
      <c r="AJ240" s="202">
        <v>77.8</v>
      </c>
      <c r="AK240" s="202">
        <v>78.099999999999994</v>
      </c>
      <c r="AL240" s="202">
        <v>78.3</v>
      </c>
      <c r="AM240" s="202">
        <v>78.599999999999994</v>
      </c>
      <c r="AN240" s="202">
        <v>78.900000000000006</v>
      </c>
      <c r="AO240" s="202">
        <v>79.2</v>
      </c>
      <c r="AP240" s="202">
        <v>79.5</v>
      </c>
      <c r="AQ240" s="202">
        <v>79.8</v>
      </c>
      <c r="AR240" s="202">
        <v>80.2</v>
      </c>
      <c r="AS240" s="202">
        <v>80.599999999999994</v>
      </c>
      <c r="AT240" s="202">
        <v>80.900000000000006</v>
      </c>
      <c r="AU240" s="202">
        <v>81.3</v>
      </c>
      <c r="AV240" s="602"/>
      <c r="AW240" s="602"/>
      <c r="AX240" s="602"/>
      <c r="AY240" s="602"/>
      <c r="AZ240" s="602"/>
      <c r="BA240" s="602"/>
    </row>
    <row r="241" spans="2:53" ht="14.4">
      <c r="B241" s="602"/>
      <c r="C241" s="198" t="s">
        <v>268</v>
      </c>
      <c r="D241" s="602"/>
      <c r="E241" s="602"/>
      <c r="G241" s="564">
        <f t="shared" si="122"/>
        <v>0</v>
      </c>
      <c r="H241" s="564">
        <f t="shared" si="123"/>
        <v>0</v>
      </c>
      <c r="I241" s="602"/>
      <c r="J241" s="602"/>
      <c r="K241" s="602"/>
      <c r="L241" s="602"/>
      <c r="M241" s="602"/>
      <c r="N241" s="602"/>
      <c r="O241" s="602"/>
      <c r="P241" s="602"/>
      <c r="Q241" s="602"/>
      <c r="R241" s="602"/>
      <c r="S241" s="602"/>
      <c r="T241" s="602"/>
      <c r="U241" s="602"/>
      <c r="V241" s="602"/>
      <c r="W241" s="602"/>
      <c r="X241" s="602"/>
      <c r="Y241" s="602"/>
      <c r="Z241" s="602"/>
      <c r="AA241" s="602"/>
      <c r="AB241" s="602"/>
      <c r="AC241" s="602"/>
      <c r="AD241" s="602"/>
      <c r="AE241" s="602"/>
      <c r="AF241" s="602"/>
      <c r="AG241" s="602"/>
      <c r="AH241" s="602"/>
      <c r="AI241" s="602"/>
      <c r="AJ241" s="602"/>
      <c r="AK241" s="602"/>
      <c r="AL241" s="602"/>
      <c r="AM241" s="602"/>
      <c r="AN241" s="602"/>
      <c r="AO241" s="602"/>
      <c r="AP241" s="602"/>
      <c r="AQ241" s="602"/>
      <c r="AR241" s="602"/>
      <c r="AS241" s="602"/>
      <c r="AT241" s="602"/>
      <c r="AU241" s="602"/>
      <c r="AV241" s="602"/>
      <c r="AW241" s="602"/>
      <c r="AX241" s="602"/>
      <c r="AY241" s="602"/>
      <c r="AZ241" s="602"/>
      <c r="BA241" s="602"/>
    </row>
    <row r="242" spans="2:53" ht="14.4">
      <c r="B242" s="602"/>
      <c r="C242" s="198"/>
      <c r="D242" s="602" t="s">
        <v>309</v>
      </c>
      <c r="E242" s="201">
        <v>2014</v>
      </c>
      <c r="F242" s="485" t="s">
        <v>379</v>
      </c>
      <c r="G242" s="564">
        <f t="shared" si="122"/>
        <v>73.7</v>
      </c>
      <c r="H242" s="564">
        <f t="shared" si="123"/>
        <v>73.7</v>
      </c>
      <c r="I242" s="202">
        <v>73.7</v>
      </c>
      <c r="J242" s="202">
        <v>72.7</v>
      </c>
      <c r="K242" s="202">
        <v>71.8</v>
      </c>
      <c r="L242" s="202">
        <v>70.8</v>
      </c>
      <c r="M242" s="202">
        <v>71.2</v>
      </c>
      <c r="N242" s="202">
        <v>71.599999999999994</v>
      </c>
      <c r="O242" s="202">
        <v>72.099999999999994</v>
      </c>
      <c r="P242" s="574">
        <v>76.091254383044159</v>
      </c>
      <c r="Q242" s="574">
        <v>75.196411798020051</v>
      </c>
      <c r="R242" s="574">
        <v>74.951152433777779</v>
      </c>
      <c r="S242" s="574">
        <v>74.791159621900391</v>
      </c>
      <c r="T242" s="574">
        <v>74.670587997969449</v>
      </c>
      <c r="U242" s="574">
        <v>74.600050887571641</v>
      </c>
      <c r="V242" s="574">
        <v>74.521958481781198</v>
      </c>
      <c r="W242" s="574">
        <v>74.805964431979135</v>
      </c>
      <c r="X242" s="574">
        <v>75.089522883885408</v>
      </c>
      <c r="Y242" s="574">
        <v>75.372620847191584</v>
      </c>
      <c r="Z242" s="574">
        <v>75.65524544649486</v>
      </c>
      <c r="AA242" s="574">
        <v>75.937383920445654</v>
      </c>
      <c r="AB242" s="574">
        <v>76.163801701017505</v>
      </c>
      <c r="AC242" s="574">
        <v>76.390111659646166</v>
      </c>
      <c r="AD242" s="574">
        <v>76.616296142522543</v>
      </c>
      <c r="AE242" s="574">
        <v>76.842337650732446</v>
      </c>
      <c r="AF242" s="574">
        <v>77.068218839086825</v>
      </c>
      <c r="AG242" s="574">
        <v>77.256352542637686</v>
      </c>
      <c r="AH242" s="574">
        <v>77.444066610636042</v>
      </c>
      <c r="AI242" s="574">
        <v>77.631350434215534</v>
      </c>
      <c r="AJ242" s="574">
        <v>77.818193496822346</v>
      </c>
      <c r="AK242" s="574">
        <v>78.004585373591794</v>
      </c>
      <c r="AL242" s="576">
        <f>($AK$217-$AB$217)/10+AK242</f>
        <v>78.052000398629417</v>
      </c>
      <c r="AM242" s="576">
        <f t="shared" ref="AM242:AU242" si="125">($AK$217-$AB$217)/10+AL242</f>
        <v>78.09941542366704</v>
      </c>
      <c r="AN242" s="576">
        <f t="shared" si="125"/>
        <v>78.146830448704662</v>
      </c>
      <c r="AO242" s="576">
        <f t="shared" si="125"/>
        <v>78.194245473742285</v>
      </c>
      <c r="AP242" s="576">
        <f t="shared" si="125"/>
        <v>78.241660498779908</v>
      </c>
      <c r="AQ242" s="576">
        <f t="shared" si="125"/>
        <v>78.28907552381753</v>
      </c>
      <c r="AR242" s="576">
        <f t="shared" si="125"/>
        <v>78.336490548855153</v>
      </c>
      <c r="AS242" s="576">
        <f t="shared" si="125"/>
        <v>78.383905573892775</v>
      </c>
      <c r="AT242" s="576">
        <f t="shared" si="125"/>
        <v>78.431320598930398</v>
      </c>
      <c r="AU242" s="576">
        <f t="shared" si="125"/>
        <v>78.478735623968021</v>
      </c>
      <c r="AV242" s="602"/>
      <c r="AW242" s="602"/>
      <c r="AX242" s="602"/>
      <c r="AY242" s="602"/>
      <c r="AZ242" s="602"/>
      <c r="BA242" s="602"/>
    </row>
    <row r="243" spans="2:53" ht="14.4">
      <c r="B243" s="602"/>
      <c r="C243" s="602"/>
      <c r="D243" s="602" t="s">
        <v>269</v>
      </c>
      <c r="E243" s="201">
        <v>2014</v>
      </c>
      <c r="F243" s="485" t="s">
        <v>379</v>
      </c>
      <c r="G243" s="564">
        <f t="shared" si="122"/>
        <v>106.1</v>
      </c>
      <c r="H243" s="564">
        <f t="shared" si="123"/>
        <v>106.1</v>
      </c>
      <c r="I243" s="202">
        <v>106.1</v>
      </c>
      <c r="J243" s="202">
        <v>104.4</v>
      </c>
      <c r="K243" s="202">
        <v>102.6</v>
      </c>
      <c r="L243" s="202">
        <v>100.9</v>
      </c>
      <c r="M243" s="202">
        <v>101.4</v>
      </c>
      <c r="N243" s="202">
        <v>102</v>
      </c>
      <c r="O243" s="202">
        <v>102.6</v>
      </c>
      <c r="P243" s="202">
        <v>103.1</v>
      </c>
      <c r="Q243" s="202">
        <v>103.7</v>
      </c>
      <c r="R243" s="202">
        <v>104.5</v>
      </c>
      <c r="S243" s="202">
        <v>105.3</v>
      </c>
      <c r="T243" s="202">
        <v>106.2</v>
      </c>
      <c r="U243" s="202">
        <v>107</v>
      </c>
      <c r="V243" s="202">
        <v>107.9</v>
      </c>
      <c r="W243" s="202">
        <v>108.5</v>
      </c>
      <c r="X243" s="202">
        <v>109</v>
      </c>
      <c r="Y243" s="202">
        <v>109.6</v>
      </c>
      <c r="Z243" s="202">
        <v>110.2</v>
      </c>
      <c r="AA243" s="202">
        <v>110.8</v>
      </c>
      <c r="AB243" s="202">
        <v>111.3</v>
      </c>
      <c r="AC243" s="202">
        <v>111.7</v>
      </c>
      <c r="AD243" s="202">
        <v>112.1</v>
      </c>
      <c r="AE243" s="202">
        <v>112.6</v>
      </c>
      <c r="AF243" s="202">
        <v>113</v>
      </c>
      <c r="AG243" s="202">
        <v>113.4</v>
      </c>
      <c r="AH243" s="202">
        <v>113.8</v>
      </c>
      <c r="AI243" s="202">
        <v>114.2</v>
      </c>
      <c r="AJ243" s="202">
        <v>114.5</v>
      </c>
      <c r="AK243" s="202">
        <v>114.9</v>
      </c>
      <c r="AL243" s="202">
        <v>115.3</v>
      </c>
      <c r="AM243" s="202">
        <v>115.6</v>
      </c>
      <c r="AN243" s="202">
        <v>116</v>
      </c>
      <c r="AO243" s="202">
        <v>116.3</v>
      </c>
      <c r="AP243" s="202">
        <v>116.7</v>
      </c>
      <c r="AQ243" s="202">
        <v>117.1</v>
      </c>
      <c r="AR243" s="202">
        <v>117.6</v>
      </c>
      <c r="AS243" s="202">
        <v>118</v>
      </c>
      <c r="AT243" s="202">
        <v>118.5</v>
      </c>
      <c r="AU243" s="202">
        <v>118.9</v>
      </c>
      <c r="AV243" s="602"/>
      <c r="AW243" s="602"/>
      <c r="AX243" s="602"/>
      <c r="AY243" s="602"/>
      <c r="AZ243" s="602"/>
      <c r="BA243" s="602"/>
    </row>
    <row r="244" spans="2:53" ht="14.4">
      <c r="B244" s="602"/>
      <c r="C244" s="198" t="s">
        <v>270</v>
      </c>
      <c r="D244" s="602"/>
      <c r="E244" s="602"/>
      <c r="G244" s="564">
        <f t="shared" si="122"/>
        <v>0</v>
      </c>
      <c r="H244" s="564">
        <f t="shared" si="123"/>
        <v>0</v>
      </c>
      <c r="I244" s="485"/>
      <c r="J244" s="485"/>
      <c r="K244" s="485"/>
      <c r="L244" s="485"/>
      <c r="M244" s="485"/>
      <c r="N244" s="485"/>
      <c r="O244" s="485"/>
      <c r="P244" s="485"/>
      <c r="Q244" s="485"/>
      <c r="R244" s="485"/>
      <c r="S244" s="485"/>
      <c r="T244" s="485"/>
      <c r="U244" s="485"/>
      <c r="V244" s="485"/>
      <c r="W244" s="485"/>
      <c r="X244" s="485"/>
      <c r="Y244" s="485"/>
      <c r="Z244" s="485"/>
      <c r="AA244" s="485"/>
      <c r="AB244" s="485"/>
      <c r="AC244" s="485"/>
      <c r="AD244" s="485"/>
      <c r="AE244" s="485"/>
      <c r="AF244" s="485"/>
      <c r="AG244" s="485"/>
      <c r="AH244" s="485"/>
      <c r="AI244" s="485"/>
      <c r="AJ244" s="485"/>
      <c r="AK244" s="485"/>
      <c r="AL244" s="485"/>
      <c r="AM244" s="485"/>
      <c r="AN244" s="485"/>
      <c r="AO244" s="485"/>
      <c r="AP244" s="485"/>
      <c r="AQ244" s="485"/>
      <c r="AR244" s="485"/>
      <c r="AS244" s="485"/>
      <c r="AT244" s="485"/>
      <c r="AU244" s="485"/>
      <c r="AV244" s="602"/>
      <c r="AW244" s="602"/>
      <c r="AX244" s="602"/>
      <c r="AY244" s="602"/>
      <c r="AZ244" s="602"/>
      <c r="BA244" s="602"/>
    </row>
    <row r="245" spans="2:53" ht="14.4">
      <c r="B245" s="588"/>
      <c r="C245" s="602"/>
      <c r="D245" s="602" t="s">
        <v>271</v>
      </c>
      <c r="E245" s="201">
        <v>2014</v>
      </c>
      <c r="F245" s="485" t="s">
        <v>379</v>
      </c>
      <c r="G245" s="564">
        <f t="shared" si="122"/>
        <v>41.5</v>
      </c>
      <c r="H245" s="564">
        <f t="shared" si="123"/>
        <v>41.5</v>
      </c>
      <c r="I245" s="202">
        <v>41.5</v>
      </c>
      <c r="J245" s="202">
        <v>41.2</v>
      </c>
      <c r="K245" s="202">
        <v>40.799999999999997</v>
      </c>
      <c r="L245" s="202">
        <v>40.5</v>
      </c>
      <c r="M245" s="202">
        <v>40.9</v>
      </c>
      <c r="N245" s="202">
        <v>41.4</v>
      </c>
      <c r="O245" s="202">
        <v>41.8</v>
      </c>
      <c r="P245" s="202">
        <v>42.3</v>
      </c>
      <c r="Q245" s="202">
        <v>42.7</v>
      </c>
      <c r="R245" s="202">
        <v>43.3</v>
      </c>
      <c r="S245" s="202">
        <v>43.9</v>
      </c>
      <c r="T245" s="202">
        <v>44.5</v>
      </c>
      <c r="U245" s="202">
        <v>45</v>
      </c>
      <c r="V245" s="202">
        <v>45.6</v>
      </c>
      <c r="W245" s="202">
        <v>46.1</v>
      </c>
      <c r="X245" s="202">
        <v>46.6</v>
      </c>
      <c r="Y245" s="202">
        <v>47.1</v>
      </c>
      <c r="Z245" s="202">
        <v>47.6</v>
      </c>
      <c r="AA245" s="202">
        <v>48.1</v>
      </c>
      <c r="AB245" s="202">
        <v>48.4</v>
      </c>
      <c r="AC245" s="202">
        <v>48.8</v>
      </c>
      <c r="AD245" s="202">
        <v>49.2</v>
      </c>
      <c r="AE245" s="202">
        <v>49.6</v>
      </c>
      <c r="AF245" s="202">
        <v>50</v>
      </c>
      <c r="AG245" s="202">
        <v>50.4</v>
      </c>
      <c r="AH245" s="202">
        <v>50.7</v>
      </c>
      <c r="AI245" s="202">
        <v>51.1</v>
      </c>
      <c r="AJ245" s="202">
        <v>51.5</v>
      </c>
      <c r="AK245" s="202">
        <v>51.8</v>
      </c>
      <c r="AL245" s="202">
        <v>52.2</v>
      </c>
      <c r="AM245" s="202">
        <v>52.6</v>
      </c>
      <c r="AN245" s="202">
        <v>52.9</v>
      </c>
      <c r="AO245" s="202">
        <v>53.3</v>
      </c>
      <c r="AP245" s="202">
        <v>53.7</v>
      </c>
      <c r="AQ245" s="202">
        <v>54.1</v>
      </c>
      <c r="AR245" s="202">
        <v>54.5</v>
      </c>
      <c r="AS245" s="202">
        <v>54.9</v>
      </c>
      <c r="AT245" s="202">
        <v>55.3</v>
      </c>
      <c r="AU245" s="202">
        <v>55.7</v>
      </c>
      <c r="AV245" s="602"/>
      <c r="AW245" s="602"/>
      <c r="AX245" s="602"/>
      <c r="AY245" s="602"/>
      <c r="AZ245" s="602"/>
      <c r="BA245" s="602"/>
    </row>
    <row r="246" spans="2:53" ht="14.4">
      <c r="B246" s="602"/>
      <c r="C246" s="602"/>
      <c r="D246" s="602" t="s">
        <v>272</v>
      </c>
      <c r="E246" s="201">
        <v>2014</v>
      </c>
      <c r="F246" s="485" t="s">
        <v>379</v>
      </c>
      <c r="G246" s="564">
        <f t="shared" si="122"/>
        <v>39.9</v>
      </c>
      <c r="H246" s="564">
        <f t="shared" si="123"/>
        <v>39.9</v>
      </c>
      <c r="I246" s="202">
        <v>39.9</v>
      </c>
      <c r="J246" s="202">
        <v>39.5</v>
      </c>
      <c r="K246" s="202">
        <v>39.200000000000003</v>
      </c>
      <c r="L246" s="202">
        <v>38.799999999999997</v>
      </c>
      <c r="M246" s="202">
        <v>39.299999999999997</v>
      </c>
      <c r="N246" s="202">
        <v>39.700000000000003</v>
      </c>
      <c r="O246" s="202">
        <v>40.1</v>
      </c>
      <c r="P246" s="202">
        <v>40.6</v>
      </c>
      <c r="Q246" s="202">
        <v>41</v>
      </c>
      <c r="R246" s="202">
        <v>41.6</v>
      </c>
      <c r="S246" s="202">
        <v>42.1</v>
      </c>
      <c r="T246" s="202">
        <v>42.6</v>
      </c>
      <c r="U246" s="202">
        <v>42.9</v>
      </c>
      <c r="V246" s="202">
        <v>43.2</v>
      </c>
      <c r="W246" s="202">
        <v>43.4</v>
      </c>
      <c r="X246" s="202">
        <v>43.6</v>
      </c>
      <c r="Y246" s="202">
        <v>43.9</v>
      </c>
      <c r="Z246" s="202">
        <v>44.3</v>
      </c>
      <c r="AA246" s="202">
        <v>44.7</v>
      </c>
      <c r="AB246" s="202">
        <v>45.1</v>
      </c>
      <c r="AC246" s="202">
        <v>45.4</v>
      </c>
      <c r="AD246" s="202">
        <v>45.8</v>
      </c>
      <c r="AE246" s="202">
        <v>46.2</v>
      </c>
      <c r="AF246" s="202">
        <v>46.5</v>
      </c>
      <c r="AG246" s="202">
        <v>46.9</v>
      </c>
      <c r="AH246" s="202">
        <v>47.2</v>
      </c>
      <c r="AI246" s="202">
        <v>47.5</v>
      </c>
      <c r="AJ246" s="202">
        <v>47.9</v>
      </c>
      <c r="AK246" s="202">
        <v>48.2</v>
      </c>
      <c r="AL246" s="202">
        <v>48.6</v>
      </c>
      <c r="AM246" s="202">
        <v>48.9</v>
      </c>
      <c r="AN246" s="202">
        <v>49.2</v>
      </c>
      <c r="AO246" s="202">
        <v>49.6</v>
      </c>
      <c r="AP246" s="202">
        <v>49.9</v>
      </c>
      <c r="AQ246" s="202">
        <v>50.3</v>
      </c>
      <c r="AR246" s="202">
        <v>50.7</v>
      </c>
      <c r="AS246" s="202">
        <v>51</v>
      </c>
      <c r="AT246" s="202">
        <v>51.4</v>
      </c>
      <c r="AU246" s="202">
        <v>51.8</v>
      </c>
      <c r="AV246" s="602"/>
      <c r="AW246" s="602"/>
      <c r="AX246" s="602"/>
      <c r="AY246" s="602"/>
      <c r="AZ246" s="602"/>
      <c r="BA246" s="602"/>
    </row>
    <row r="247" spans="2:53">
      <c r="B247" s="602"/>
      <c r="C247" s="1103" t="s">
        <v>633</v>
      </c>
      <c r="D247" s="602"/>
      <c r="G247" s="602"/>
      <c r="H247" s="602"/>
      <c r="I247" s="602"/>
      <c r="J247" s="602"/>
      <c r="K247" s="602"/>
      <c r="L247" s="602"/>
      <c r="M247" s="602"/>
      <c r="N247" s="602"/>
      <c r="O247" s="602"/>
      <c r="P247" s="602"/>
      <c r="Q247" s="602"/>
      <c r="R247" s="602"/>
      <c r="S247" s="602"/>
      <c r="T247" s="602"/>
      <c r="U247" s="602"/>
      <c r="V247" s="602"/>
      <c r="W247" s="602"/>
      <c r="X247" s="602"/>
      <c r="Y247" s="602"/>
      <c r="Z247" s="602"/>
      <c r="AA247" s="602"/>
      <c r="AB247" s="602"/>
      <c r="AC247" s="602"/>
      <c r="AD247" s="602"/>
      <c r="AE247" s="602"/>
      <c r="AF247" s="602"/>
      <c r="AG247" s="602"/>
      <c r="AH247" s="602"/>
      <c r="AI247" s="602"/>
      <c r="AJ247" s="602"/>
      <c r="AK247" s="602"/>
      <c r="AL247" s="602"/>
      <c r="AM247" s="602"/>
      <c r="AN247" s="602"/>
      <c r="AO247" s="602"/>
      <c r="AP247" s="602"/>
      <c r="AQ247" s="602"/>
      <c r="AR247" s="602"/>
      <c r="AS247" s="602"/>
      <c r="AT247" s="602"/>
      <c r="AU247" s="602"/>
      <c r="AV247" s="602"/>
      <c r="AW247" s="602"/>
      <c r="AX247" s="602"/>
      <c r="AY247" s="602"/>
      <c r="AZ247" s="602"/>
      <c r="BA247" s="602"/>
    </row>
    <row r="248" spans="2:53">
      <c r="B248" s="602"/>
      <c r="C248" s="1103" t="s">
        <v>634</v>
      </c>
      <c r="D248" s="602"/>
      <c r="G248" s="602"/>
      <c r="H248" s="602"/>
      <c r="I248" s="602"/>
      <c r="J248" s="602"/>
      <c r="K248" s="602"/>
      <c r="L248" s="602"/>
      <c r="M248" s="602"/>
      <c r="N248" s="602"/>
      <c r="O248" s="602"/>
      <c r="P248" s="602"/>
      <c r="Q248" s="602"/>
      <c r="R248" s="602"/>
      <c r="S248" s="602"/>
      <c r="T248" s="602"/>
      <c r="U248" s="602"/>
      <c r="V248" s="602"/>
      <c r="W248" s="602"/>
      <c r="X248" s="602"/>
      <c r="Y248" s="602"/>
      <c r="Z248" s="602"/>
      <c r="AA248" s="602"/>
      <c r="AB248" s="602"/>
      <c r="AC248" s="602"/>
      <c r="AD248" s="602"/>
      <c r="AE248" s="602"/>
      <c r="AF248" s="602"/>
      <c r="AG248" s="602"/>
      <c r="AH248" s="602"/>
      <c r="AI248" s="602"/>
      <c r="AJ248" s="602"/>
      <c r="AK248" s="602"/>
      <c r="AL248" s="602"/>
      <c r="AM248" s="602"/>
      <c r="AN248" s="602"/>
      <c r="AO248" s="602"/>
      <c r="AP248" s="602"/>
      <c r="AQ248" s="602"/>
      <c r="AR248" s="602"/>
      <c r="AS248" s="602"/>
      <c r="AT248" s="602"/>
      <c r="AU248" s="602"/>
      <c r="AV248" s="602"/>
      <c r="AW248" s="602"/>
      <c r="AX248" s="602"/>
      <c r="AY248" s="602"/>
      <c r="AZ248" s="602"/>
      <c r="BA248" s="602"/>
    </row>
    <row r="249" spans="2:53">
      <c r="B249" s="602"/>
      <c r="C249" s="602"/>
      <c r="D249" s="602"/>
      <c r="G249" s="602"/>
      <c r="H249" s="602"/>
      <c r="I249" s="602"/>
      <c r="J249" s="602"/>
      <c r="K249" s="602"/>
      <c r="L249" s="602"/>
      <c r="M249" s="602"/>
      <c r="N249" s="602"/>
      <c r="O249" s="602"/>
      <c r="P249" s="602"/>
      <c r="Q249" s="602"/>
      <c r="R249" s="602"/>
      <c r="S249" s="602"/>
      <c r="T249" s="602"/>
      <c r="U249" s="602"/>
      <c r="V249" s="602"/>
      <c r="W249" s="602"/>
      <c r="X249" s="602"/>
      <c r="Y249" s="602"/>
      <c r="Z249" s="602"/>
      <c r="AA249" s="602"/>
      <c r="AB249" s="602"/>
      <c r="AC249" s="602"/>
      <c r="AD249" s="602"/>
      <c r="AE249" s="602"/>
      <c r="AF249" s="602"/>
      <c r="AG249" s="602"/>
      <c r="AH249" s="602"/>
      <c r="AI249" s="602"/>
      <c r="AJ249" s="602"/>
      <c r="AK249" s="602"/>
      <c r="AL249" s="602"/>
      <c r="AM249" s="602"/>
      <c r="AN249" s="602"/>
      <c r="AO249" s="602"/>
      <c r="AP249" s="602"/>
      <c r="AQ249" s="602"/>
      <c r="AR249" s="602"/>
      <c r="AS249" s="602"/>
      <c r="AT249" s="602"/>
      <c r="AU249" s="602"/>
      <c r="AV249" s="602"/>
      <c r="AW249" s="602"/>
      <c r="AX249" s="602"/>
      <c r="AY249" s="602"/>
      <c r="AZ249" s="602"/>
      <c r="BA249" s="602"/>
    </row>
    <row r="250" spans="2:53">
      <c r="B250" s="602"/>
      <c r="C250" s="602"/>
      <c r="D250" s="602"/>
      <c r="G250" s="602"/>
      <c r="H250" s="602"/>
      <c r="I250" s="602"/>
      <c r="J250" s="602"/>
      <c r="K250" s="602"/>
      <c r="L250" s="602"/>
      <c r="M250" s="602"/>
      <c r="N250" s="602"/>
      <c r="O250" s="602"/>
      <c r="P250" s="602"/>
      <c r="Q250" s="602"/>
      <c r="R250" s="602"/>
      <c r="S250" s="602"/>
      <c r="T250" s="602"/>
      <c r="U250" s="602"/>
      <c r="V250" s="602"/>
      <c r="W250" s="602"/>
      <c r="X250" s="602"/>
      <c r="Y250" s="602"/>
      <c r="Z250" s="602"/>
      <c r="AA250" s="602"/>
      <c r="AB250" s="602"/>
      <c r="AC250" s="602"/>
      <c r="AD250" s="602"/>
      <c r="AE250" s="602"/>
      <c r="AF250" s="602"/>
      <c r="AG250" s="602"/>
      <c r="AH250" s="602"/>
      <c r="AI250" s="602"/>
      <c r="AJ250" s="602"/>
      <c r="AK250" s="602"/>
      <c r="AL250" s="602"/>
      <c r="AM250" s="602"/>
      <c r="AN250" s="602"/>
      <c r="AO250" s="602"/>
      <c r="AP250" s="602"/>
      <c r="AQ250" s="602"/>
      <c r="AR250" s="602"/>
      <c r="AS250" s="602"/>
      <c r="AT250" s="602"/>
      <c r="AU250" s="602"/>
      <c r="AV250" s="602"/>
      <c r="AW250" s="602"/>
      <c r="AX250" s="602"/>
      <c r="AY250" s="602"/>
      <c r="AZ250" s="602"/>
      <c r="BA250" s="602"/>
    </row>
    <row r="251" spans="2:53">
      <c r="B251" s="602"/>
      <c r="C251" s="602"/>
      <c r="D251" s="602"/>
      <c r="G251" s="602"/>
      <c r="H251" s="602"/>
      <c r="I251" s="602"/>
      <c r="J251" s="602"/>
      <c r="K251" s="602"/>
      <c r="L251" s="602"/>
      <c r="M251" s="602"/>
      <c r="N251" s="602"/>
      <c r="O251" s="602"/>
      <c r="P251" s="602"/>
      <c r="Q251" s="602"/>
      <c r="R251" s="602"/>
      <c r="S251" s="602"/>
      <c r="T251" s="602"/>
      <c r="U251" s="602"/>
      <c r="V251" s="602"/>
      <c r="W251" s="602"/>
      <c r="X251" s="602"/>
      <c r="Y251" s="602"/>
      <c r="Z251" s="602"/>
      <c r="AA251" s="602"/>
      <c r="AB251" s="602"/>
      <c r="AC251" s="602"/>
      <c r="AD251" s="602"/>
      <c r="AE251" s="602"/>
      <c r="AF251" s="602"/>
      <c r="AG251" s="602"/>
      <c r="AH251" s="602"/>
      <c r="AI251" s="602"/>
      <c r="AJ251" s="602"/>
      <c r="AK251" s="602"/>
      <c r="AL251" s="602"/>
      <c r="AM251" s="602"/>
      <c r="AN251" s="602"/>
      <c r="AO251" s="602"/>
      <c r="AP251" s="602"/>
      <c r="AQ251" s="602"/>
      <c r="AR251" s="602"/>
      <c r="AS251" s="602"/>
      <c r="AT251" s="602"/>
      <c r="AU251" s="602"/>
      <c r="AV251" s="602"/>
      <c r="AW251" s="602"/>
      <c r="AX251" s="602"/>
      <c r="AY251" s="602"/>
      <c r="AZ251" s="602"/>
      <c r="BA251" s="602"/>
    </row>
    <row r="252" spans="2:53">
      <c r="B252" s="602"/>
      <c r="C252" s="588" t="s">
        <v>837</v>
      </c>
      <c r="D252" s="602"/>
      <c r="G252" s="602"/>
      <c r="H252" s="602"/>
      <c r="I252" s="602"/>
      <c r="J252" s="602"/>
      <c r="K252" s="602"/>
      <c r="L252" s="602"/>
      <c r="M252" s="602"/>
      <c r="N252" s="602"/>
      <c r="O252" s="602"/>
      <c r="P252" s="602"/>
      <c r="Q252" s="602"/>
      <c r="R252" s="602"/>
      <c r="S252" s="602"/>
      <c r="T252" s="602"/>
      <c r="U252" s="602"/>
      <c r="V252" s="602"/>
      <c r="W252" s="602"/>
      <c r="X252" s="602"/>
      <c r="Y252" s="602"/>
      <c r="Z252" s="602"/>
      <c r="AA252" s="602"/>
      <c r="AB252" s="602"/>
      <c r="AC252" s="602"/>
      <c r="AD252" s="602"/>
      <c r="AE252" s="602"/>
      <c r="AF252" s="602"/>
      <c r="AG252" s="602"/>
      <c r="AH252" s="602"/>
      <c r="AI252" s="602"/>
      <c r="AJ252" s="602"/>
      <c r="AK252" s="602"/>
      <c r="AL252" s="602"/>
      <c r="AM252" s="602"/>
      <c r="AN252" s="602"/>
      <c r="AO252" s="602"/>
      <c r="AP252" s="602"/>
      <c r="AQ252" s="602"/>
      <c r="AR252" s="602"/>
      <c r="AS252" s="602"/>
      <c r="AT252" s="602"/>
      <c r="AU252" s="602"/>
      <c r="AV252" s="602"/>
      <c r="AW252" s="602"/>
      <c r="AX252" s="602"/>
      <c r="AY252" s="602"/>
      <c r="AZ252" s="602"/>
      <c r="BA252" s="602"/>
    </row>
    <row r="253" spans="2:53" ht="19.8">
      <c r="B253" s="602"/>
      <c r="C253" s="566" t="s">
        <v>826</v>
      </c>
      <c r="D253" s="567"/>
      <c r="E253" s="567"/>
      <c r="F253" s="567"/>
      <c r="G253" s="567"/>
      <c r="H253" s="567"/>
      <c r="I253" s="567"/>
      <c r="J253" s="567"/>
      <c r="K253" s="567"/>
      <c r="L253" s="567"/>
      <c r="M253" s="567"/>
      <c r="N253" s="567"/>
      <c r="O253" s="567"/>
      <c r="P253" s="602"/>
      <c r="Q253" s="602"/>
      <c r="R253" s="602"/>
      <c r="S253" s="602"/>
      <c r="T253" s="602"/>
      <c r="U253" s="602"/>
      <c r="V253" s="602"/>
      <c r="W253" s="602"/>
      <c r="X253" s="602"/>
      <c r="Y253" s="602"/>
      <c r="Z253" s="602"/>
      <c r="AA253" s="602"/>
      <c r="AB253" s="602"/>
      <c r="AC253" s="602"/>
      <c r="AD253" s="602"/>
      <c r="AE253" s="602"/>
      <c r="AF253" s="602"/>
      <c r="AG253" s="602"/>
      <c r="AH253" s="602"/>
      <c r="AI253" s="602"/>
      <c r="AJ253" s="602"/>
      <c r="AK253" s="602"/>
      <c r="AL253" s="602"/>
      <c r="AM253" s="602"/>
      <c r="AN253" s="602"/>
      <c r="AO253" s="602"/>
      <c r="AP253" s="602"/>
      <c r="AQ253" s="602"/>
      <c r="AR253" s="602"/>
      <c r="AS253" s="602"/>
      <c r="AT253" s="602"/>
      <c r="AU253" s="602"/>
      <c r="AV253" s="602"/>
      <c r="AW253" s="602"/>
      <c r="AX253" s="602"/>
      <c r="AY253" s="602"/>
      <c r="AZ253" s="602"/>
      <c r="BA253" s="602"/>
    </row>
    <row r="254" spans="2:53">
      <c r="B254" s="602"/>
      <c r="C254" s="482"/>
      <c r="D254" s="485"/>
      <c r="E254" s="485"/>
      <c r="G254" s="485"/>
      <c r="H254" s="485"/>
      <c r="I254" s="485"/>
      <c r="J254" s="485"/>
      <c r="K254" s="485"/>
      <c r="L254" s="485"/>
      <c r="M254" s="485"/>
      <c r="N254" s="485"/>
      <c r="O254" s="485"/>
      <c r="P254" s="602"/>
      <c r="Q254" s="602"/>
      <c r="R254" s="602"/>
      <c r="S254" s="602"/>
      <c r="T254" s="602"/>
      <c r="U254" s="602"/>
      <c r="V254" s="602"/>
      <c r="W254" s="602"/>
      <c r="X254" s="602"/>
      <c r="Y254" s="602"/>
      <c r="Z254" s="602"/>
      <c r="AA254" s="602"/>
      <c r="AB254" s="602"/>
      <c r="AC254" s="602"/>
      <c r="AD254" s="602"/>
      <c r="AE254" s="602"/>
      <c r="AF254" s="602"/>
      <c r="AG254" s="602"/>
      <c r="AH254" s="602"/>
      <c r="AI254" s="602"/>
      <c r="AJ254" s="602"/>
      <c r="AK254" s="602"/>
      <c r="AL254" s="602"/>
      <c r="AM254" s="602"/>
      <c r="AN254" s="602"/>
      <c r="AO254" s="602"/>
      <c r="AP254" s="602"/>
      <c r="AQ254" s="602"/>
      <c r="AR254" s="602"/>
      <c r="AS254" s="602"/>
      <c r="AT254" s="602"/>
      <c r="AU254" s="602"/>
      <c r="AV254" s="602"/>
      <c r="AW254" s="602"/>
      <c r="AX254" s="602"/>
      <c r="AY254" s="602"/>
      <c r="AZ254" s="602"/>
      <c r="BA254" s="602"/>
    </row>
    <row r="255" spans="2:53">
      <c r="B255" s="602"/>
      <c r="C255" s="1298" t="s">
        <v>827</v>
      </c>
      <c r="D255" s="1300" t="s">
        <v>828</v>
      </c>
      <c r="E255" s="1301"/>
      <c r="F255" s="1301"/>
      <c r="G255" s="1301"/>
      <c r="H255" s="1301"/>
      <c r="I255" s="1301"/>
      <c r="J255" s="1301"/>
      <c r="K255" s="1301"/>
      <c r="L255" s="1301"/>
      <c r="M255" s="1301"/>
      <c r="N255" s="1302"/>
      <c r="O255" s="1104" t="s">
        <v>829</v>
      </c>
      <c r="P255" s="602"/>
      <c r="Q255" s="602"/>
      <c r="R255" s="602"/>
      <c r="S255" s="602"/>
      <c r="T255" s="602"/>
      <c r="U255" s="602"/>
      <c r="V255" s="602"/>
      <c r="W255" s="602"/>
      <c r="X255" s="602"/>
      <c r="Y255" s="602"/>
      <c r="Z255" s="602"/>
      <c r="AA255" s="602"/>
      <c r="AB255" s="602"/>
      <c r="AC255" s="602"/>
      <c r="AD255" s="602"/>
      <c r="AE255" s="602"/>
      <c r="AF255" s="602"/>
      <c r="AG255" s="602"/>
      <c r="AH255" s="602"/>
      <c r="AI255" s="602"/>
      <c r="AJ255" s="602"/>
      <c r="AK255" s="602"/>
      <c r="AL255" s="602"/>
      <c r="AM255" s="602"/>
      <c r="AN255" s="602"/>
      <c r="AO255" s="602"/>
      <c r="AP255" s="602"/>
      <c r="AQ255" s="602"/>
      <c r="AR255" s="602"/>
      <c r="AS255" s="602"/>
      <c r="AT255" s="602"/>
      <c r="AU255" s="602"/>
      <c r="AV255" s="602"/>
      <c r="AW255" s="602"/>
      <c r="AX255" s="602"/>
      <c r="AY255" s="602"/>
      <c r="AZ255" s="602"/>
      <c r="BA255" s="602"/>
    </row>
    <row r="256" spans="2:53" ht="24">
      <c r="B256" s="602"/>
      <c r="C256" s="1299"/>
      <c r="D256" s="1105" t="s">
        <v>411</v>
      </c>
      <c r="E256" s="1106" t="s">
        <v>405</v>
      </c>
      <c r="F256" s="1105" t="s">
        <v>410</v>
      </c>
      <c r="G256" s="1105" t="s">
        <v>830</v>
      </c>
      <c r="H256" s="1105" t="s">
        <v>831</v>
      </c>
      <c r="I256" s="1105" t="s">
        <v>51</v>
      </c>
      <c r="J256" s="1105" t="s">
        <v>832</v>
      </c>
      <c r="K256" s="1105" t="s">
        <v>195</v>
      </c>
      <c r="L256" s="1106" t="s">
        <v>833</v>
      </c>
      <c r="M256" s="1106" t="s">
        <v>834</v>
      </c>
      <c r="N256" s="1106" t="s">
        <v>835</v>
      </c>
      <c r="O256" s="1106" t="s">
        <v>835</v>
      </c>
      <c r="P256" s="602"/>
      <c r="Q256" s="602"/>
      <c r="R256" s="602"/>
      <c r="S256" s="602"/>
      <c r="T256" s="602"/>
      <c r="U256" s="602"/>
      <c r="V256" s="602"/>
      <c r="W256" s="602"/>
      <c r="X256" s="602"/>
      <c r="Y256" s="602"/>
      <c r="Z256" s="602"/>
      <c r="AA256" s="602"/>
      <c r="AB256" s="602"/>
      <c r="AC256" s="602"/>
      <c r="AD256" s="602"/>
      <c r="AE256" s="602"/>
      <c r="AF256" s="602"/>
      <c r="AG256" s="602"/>
      <c r="AH256" s="602"/>
      <c r="AI256" s="602"/>
      <c r="AJ256" s="602"/>
      <c r="AK256" s="602"/>
      <c r="AL256" s="602"/>
      <c r="AM256" s="602"/>
      <c r="AN256" s="602"/>
      <c r="AO256" s="602"/>
      <c r="AP256" s="602"/>
      <c r="AQ256" s="602"/>
      <c r="AR256" s="602"/>
      <c r="AS256" s="602"/>
      <c r="AT256" s="602"/>
      <c r="AU256" s="602"/>
      <c r="AV256" s="602"/>
      <c r="AW256" s="602"/>
      <c r="AX256" s="602"/>
      <c r="AY256" s="602"/>
      <c r="AZ256" s="602"/>
      <c r="BA256" s="602"/>
    </row>
    <row r="257" spans="2:53">
      <c r="B257" s="602"/>
      <c r="C257" s="1107">
        <v>2019</v>
      </c>
      <c r="D257" s="1108">
        <v>73.880467131059874</v>
      </c>
      <c r="E257" s="1108">
        <v>53.94529046338949</v>
      </c>
      <c r="F257" s="1108">
        <v>23.406929880021178</v>
      </c>
      <c r="G257" s="1108">
        <v>59.650894850098339</v>
      </c>
      <c r="H257" s="1108">
        <v>93.420285058277415</v>
      </c>
      <c r="I257" s="1108">
        <v>93.420285058277415</v>
      </c>
      <c r="J257" s="1108">
        <v>95.583697574109408</v>
      </c>
      <c r="K257" s="1108">
        <v>90.831954056376134</v>
      </c>
      <c r="L257" s="1108">
        <v>65.821840433738927</v>
      </c>
      <c r="M257" s="1108">
        <v>76.091254383044159</v>
      </c>
      <c r="N257" s="1108">
        <v>48.13702532536383</v>
      </c>
      <c r="O257" s="1108">
        <v>43.426265623811808</v>
      </c>
      <c r="P257" s="602"/>
      <c r="Q257" s="602"/>
      <c r="R257" s="602"/>
      <c r="S257" s="602"/>
      <c r="T257" s="602"/>
      <c r="U257" s="602"/>
      <c r="V257" s="602"/>
      <c r="W257" s="602"/>
      <c r="X257" s="602"/>
      <c r="Y257" s="602"/>
      <c r="Z257" s="602"/>
      <c r="AA257" s="602"/>
      <c r="AB257" s="602"/>
      <c r="AC257" s="602"/>
      <c r="AD257" s="602"/>
      <c r="AE257" s="602"/>
      <c r="AF257" s="602"/>
      <c r="AG257" s="602"/>
      <c r="AH257" s="602"/>
      <c r="AI257" s="602"/>
      <c r="AJ257" s="602"/>
      <c r="AK257" s="602"/>
      <c r="AL257" s="602"/>
      <c r="AM257" s="602"/>
      <c r="AN257" s="602"/>
      <c r="AO257" s="602"/>
      <c r="AP257" s="602"/>
      <c r="AQ257" s="602"/>
      <c r="AR257" s="602"/>
      <c r="AS257" s="602"/>
      <c r="AT257" s="602"/>
      <c r="AU257" s="602"/>
      <c r="AV257" s="602"/>
      <c r="AW257" s="602"/>
      <c r="AX257" s="602"/>
      <c r="AY257" s="602"/>
      <c r="AZ257" s="602"/>
      <c r="BA257" s="602"/>
    </row>
    <row r="258" spans="2:53">
      <c r="B258" s="602"/>
      <c r="C258" s="1107">
        <v>2020</v>
      </c>
      <c r="D258" s="1108">
        <v>75.931459523916047</v>
      </c>
      <c r="E258" s="1108">
        <v>48.049648253621314</v>
      </c>
      <c r="F258" s="1108">
        <v>22.320750500826144</v>
      </c>
      <c r="G258" s="1108">
        <v>61.701887242954513</v>
      </c>
      <c r="H258" s="1108">
        <v>95.471277451133588</v>
      </c>
      <c r="I258" s="1108">
        <v>95.471277451133588</v>
      </c>
      <c r="J258" s="1108">
        <v>97.634689966965581</v>
      </c>
      <c r="K258" s="1108">
        <v>92.882946449232307</v>
      </c>
      <c r="L258" s="1108">
        <v>65.047767429918196</v>
      </c>
      <c r="M258" s="1108">
        <v>75.196411798020051</v>
      </c>
      <c r="N258" s="1108">
        <v>48.528146948789889</v>
      </c>
      <c r="O258" s="1108">
        <v>43.65253654619243</v>
      </c>
      <c r="P258" s="602"/>
      <c r="Q258" s="602"/>
      <c r="R258" s="602"/>
      <c r="S258" s="602"/>
      <c r="T258" s="602"/>
      <c r="U258" s="602"/>
      <c r="V258" s="602"/>
      <c r="W258" s="602"/>
      <c r="X258" s="602"/>
      <c r="Y258" s="602"/>
      <c r="Z258" s="602"/>
      <c r="AA258" s="602"/>
      <c r="AB258" s="602"/>
      <c r="AC258" s="602"/>
      <c r="AD258" s="602"/>
      <c r="AE258" s="602"/>
      <c r="AF258" s="602"/>
      <c r="AG258" s="602"/>
      <c r="AH258" s="602"/>
      <c r="AI258" s="602"/>
      <c r="AJ258" s="602"/>
      <c r="AK258" s="602"/>
      <c r="AL258" s="602"/>
      <c r="AM258" s="602"/>
      <c r="AN258" s="602"/>
      <c r="AO258" s="602"/>
      <c r="AP258" s="602"/>
      <c r="AQ258" s="602"/>
      <c r="AR258" s="602"/>
      <c r="AS258" s="602"/>
      <c r="AT258" s="602"/>
      <c r="AU258" s="602"/>
      <c r="AV258" s="602"/>
      <c r="AW258" s="602"/>
      <c r="AX258" s="602"/>
      <c r="AY258" s="602"/>
      <c r="AZ258" s="602"/>
      <c r="BA258" s="602"/>
    </row>
    <row r="259" spans="2:53">
      <c r="B259" s="602"/>
      <c r="C259" s="1107">
        <v>2021</v>
      </c>
      <c r="D259" s="1108">
        <v>77.701364104651802</v>
      </c>
      <c r="E259" s="1108">
        <v>40.610335042675715</v>
      </c>
      <c r="F259" s="1108">
        <v>22.4152337792803</v>
      </c>
      <c r="G259" s="1108">
        <v>63.471791823690268</v>
      </c>
      <c r="H259" s="1108">
        <v>97.241182031869343</v>
      </c>
      <c r="I259" s="1108">
        <v>97.241182031869343</v>
      </c>
      <c r="J259" s="1108">
        <v>99.404594547701336</v>
      </c>
      <c r="K259" s="1108">
        <v>94.652851029968062</v>
      </c>
      <c r="L259" s="1108">
        <v>64.835608715110197</v>
      </c>
      <c r="M259" s="1108">
        <v>74.951152433777779</v>
      </c>
      <c r="N259" s="1108">
        <v>49.029117231990426</v>
      </c>
      <c r="O259" s="1108">
        <v>43.928999158791825</v>
      </c>
      <c r="P259" s="602"/>
      <c r="Q259" s="602"/>
      <c r="R259" s="602"/>
      <c r="S259" s="602"/>
      <c r="T259" s="602"/>
      <c r="U259" s="602"/>
      <c r="V259" s="602"/>
      <c r="W259" s="602"/>
      <c r="X259" s="602"/>
      <c r="Y259" s="602"/>
      <c r="Z259" s="602"/>
      <c r="AA259" s="602"/>
      <c r="AB259" s="602"/>
      <c r="AC259" s="602"/>
      <c r="AD259" s="602"/>
      <c r="AE259" s="602"/>
      <c r="AF259" s="602"/>
      <c r="AG259" s="602"/>
      <c r="AH259" s="602"/>
      <c r="AI259" s="602"/>
      <c r="AJ259" s="602"/>
      <c r="AK259" s="602"/>
      <c r="AL259" s="602"/>
      <c r="AM259" s="602"/>
      <c r="AN259" s="602"/>
      <c r="AO259" s="602"/>
      <c r="AP259" s="602"/>
      <c r="AQ259" s="602"/>
      <c r="AR259" s="602"/>
      <c r="AS259" s="602"/>
      <c r="AT259" s="602"/>
      <c r="AU259" s="602"/>
      <c r="AV259" s="602"/>
      <c r="AW259" s="602"/>
      <c r="AX259" s="602"/>
      <c r="AY259" s="602"/>
      <c r="AZ259" s="602"/>
      <c r="BA259" s="602"/>
    </row>
    <row r="260" spans="2:53">
      <c r="B260" s="602"/>
      <c r="C260" s="1107">
        <v>2022</v>
      </c>
      <c r="D260" s="1108">
        <v>79.289025348102882</v>
      </c>
      <c r="E260" s="1108">
        <v>40.251302428954361</v>
      </c>
      <c r="F260" s="1108">
        <v>21.958696459631067</v>
      </c>
      <c r="G260" s="1108">
        <v>65.059453067141348</v>
      </c>
      <c r="H260" s="1108">
        <v>98.828843275320423</v>
      </c>
      <c r="I260" s="1108">
        <v>98.828843275320423</v>
      </c>
      <c r="J260" s="1108">
        <v>100.99225579115242</v>
      </c>
      <c r="K260" s="1108">
        <v>96.240512273419142</v>
      </c>
      <c r="L260" s="1108">
        <v>64.697208823830636</v>
      </c>
      <c r="M260" s="1108">
        <v>74.791159621900391</v>
      </c>
      <c r="N260" s="1108">
        <v>49.532405602008467</v>
      </c>
      <c r="O260" s="1108">
        <v>44.205082849585672</v>
      </c>
      <c r="P260" s="602"/>
      <c r="Q260" s="602"/>
      <c r="R260" s="602"/>
      <c r="S260" s="602"/>
      <c r="T260" s="602"/>
      <c r="U260" s="602"/>
      <c r="V260" s="602"/>
      <c r="W260" s="602"/>
      <c r="X260" s="602"/>
      <c r="Y260" s="602"/>
      <c r="Z260" s="602"/>
      <c r="AA260" s="602"/>
      <c r="AB260" s="602"/>
      <c r="AC260" s="602"/>
      <c r="AD260" s="602"/>
      <c r="AE260" s="602"/>
      <c r="AF260" s="602"/>
      <c r="AG260" s="602"/>
      <c r="AH260" s="602"/>
      <c r="AI260" s="602"/>
      <c r="AJ260" s="602"/>
      <c r="AK260" s="602"/>
      <c r="AL260" s="602"/>
      <c r="AM260" s="602"/>
      <c r="AN260" s="602"/>
      <c r="AO260" s="602"/>
      <c r="AP260" s="602"/>
      <c r="AQ260" s="602"/>
      <c r="AR260" s="602"/>
      <c r="AS260" s="602"/>
      <c r="AT260" s="602"/>
      <c r="AU260" s="602"/>
      <c r="AV260" s="602"/>
      <c r="AW260" s="602"/>
      <c r="AX260" s="602"/>
      <c r="AY260" s="602"/>
      <c r="AZ260" s="602"/>
      <c r="BA260" s="602"/>
    </row>
    <row r="261" spans="2:53">
      <c r="B261" s="602"/>
      <c r="C261" s="1107">
        <v>2023</v>
      </c>
      <c r="D261" s="1108">
        <v>81.023644009316811</v>
      </c>
      <c r="E261" s="1108">
        <v>41.309391764519106</v>
      </c>
      <c r="F261" s="1108">
        <v>21.264781225277929</v>
      </c>
      <c r="G261" s="1108">
        <v>66.794071728355277</v>
      </c>
      <c r="H261" s="1108">
        <v>100.56346193653435</v>
      </c>
      <c r="I261" s="1108">
        <v>100.56346193653435</v>
      </c>
      <c r="J261" s="1108">
        <v>102.72687445236635</v>
      </c>
      <c r="K261" s="1108">
        <v>97.975130934633071</v>
      </c>
      <c r="L261" s="1108">
        <v>64.59290976534399</v>
      </c>
      <c r="M261" s="1108">
        <v>74.670587997969449</v>
      </c>
      <c r="N261" s="1108">
        <v>50.037858127615173</v>
      </c>
      <c r="O261" s="1108">
        <v>44.480789827031863</v>
      </c>
      <c r="P261" s="602"/>
      <c r="Q261" s="602"/>
      <c r="R261" s="602"/>
      <c r="S261" s="602"/>
      <c r="T261" s="602"/>
      <c r="U261" s="602"/>
      <c r="V261" s="602"/>
      <c r="W261" s="602"/>
      <c r="X261" s="602"/>
      <c r="Y261" s="602"/>
      <c r="Z261" s="602"/>
      <c r="AA261" s="602"/>
      <c r="AB261" s="602"/>
      <c r="AC261" s="602"/>
      <c r="AD261" s="602"/>
      <c r="AE261" s="602"/>
      <c r="AF261" s="602"/>
      <c r="AG261" s="602"/>
      <c r="AH261" s="602"/>
      <c r="AI261" s="602"/>
      <c r="AJ261" s="602"/>
      <c r="AK261" s="602"/>
      <c r="AL261" s="602"/>
      <c r="AM261" s="602"/>
      <c r="AN261" s="602"/>
      <c r="AO261" s="602"/>
      <c r="AP261" s="602"/>
      <c r="AQ261" s="602"/>
      <c r="AR261" s="602"/>
      <c r="AS261" s="602"/>
      <c r="AT261" s="602"/>
      <c r="AU261" s="602"/>
      <c r="AV261" s="602"/>
      <c r="AW261" s="602"/>
      <c r="AX261" s="602"/>
      <c r="AY261" s="602"/>
      <c r="AZ261" s="602"/>
      <c r="BA261" s="602"/>
    </row>
    <row r="262" spans="2:53">
      <c r="B262" s="602"/>
      <c r="C262" s="1107">
        <v>2024</v>
      </c>
      <c r="D262" s="1108">
        <v>82.712910272747436</v>
      </c>
      <c r="E262" s="1108">
        <v>42.384105929912252</v>
      </c>
      <c r="F262" s="1108">
        <v>20.867962592605565</v>
      </c>
      <c r="G262" s="1108">
        <v>68.483337991785902</v>
      </c>
      <c r="H262" s="1108">
        <v>102.25272819996498</v>
      </c>
      <c r="I262" s="1108">
        <v>102.25272819996498</v>
      </c>
      <c r="J262" s="1108">
        <v>104.41614071579697</v>
      </c>
      <c r="K262" s="1108">
        <v>99.664397198063696</v>
      </c>
      <c r="L262" s="1108">
        <v>64.531892471531364</v>
      </c>
      <c r="M262" s="1108">
        <v>74.600050887571641</v>
      </c>
      <c r="N262" s="1108">
        <v>50.545323014619093</v>
      </c>
      <c r="O262" s="1108">
        <v>44.75612229958827</v>
      </c>
      <c r="P262" s="602"/>
      <c r="Q262" s="602"/>
      <c r="R262" s="602"/>
      <c r="S262" s="602"/>
      <c r="T262" s="602"/>
      <c r="U262" s="602"/>
      <c r="V262" s="602"/>
      <c r="W262" s="602"/>
      <c r="X262" s="602"/>
      <c r="Y262" s="602"/>
      <c r="Z262" s="602"/>
      <c r="AA262" s="602"/>
      <c r="AB262" s="602"/>
      <c r="AC262" s="602"/>
      <c r="AD262" s="602"/>
      <c r="AE262" s="602"/>
      <c r="AF262" s="602"/>
      <c r="AG262" s="602"/>
      <c r="AH262" s="602"/>
      <c r="AI262" s="602"/>
      <c r="AJ262" s="602"/>
      <c r="AK262" s="602"/>
      <c r="AL262" s="602"/>
      <c r="AM262" s="602"/>
      <c r="AN262" s="602"/>
      <c r="AO262" s="602"/>
      <c r="AP262" s="602"/>
      <c r="AQ262" s="602"/>
      <c r="AR262" s="602"/>
      <c r="AS262" s="602"/>
      <c r="AT262" s="602"/>
      <c r="AU262" s="602"/>
      <c r="AV262" s="602"/>
      <c r="AW262" s="602"/>
      <c r="AX262" s="602"/>
      <c r="AY262" s="602"/>
      <c r="AZ262" s="602"/>
      <c r="BA262" s="602"/>
    </row>
    <row r="263" spans="2:53">
      <c r="B263" s="602"/>
      <c r="C263" s="1107">
        <v>2025</v>
      </c>
      <c r="D263" s="1108">
        <v>84.053105996878713</v>
      </c>
      <c r="E263" s="1108">
        <v>43.418156429745736</v>
      </c>
      <c r="F263" s="1108">
        <v>20.782407107600484</v>
      </c>
      <c r="G263" s="1108">
        <v>69.823533715917179</v>
      </c>
      <c r="H263" s="1108">
        <v>103.59292392409625</v>
      </c>
      <c r="I263" s="1108">
        <v>103.59292392409625</v>
      </c>
      <c r="J263" s="1108">
        <v>105.75633643992825</v>
      </c>
      <c r="K263" s="1108">
        <v>101.00459292219497</v>
      </c>
      <c r="L263" s="1108">
        <v>64.464339558720255</v>
      </c>
      <c r="M263" s="1108">
        <v>74.521958481781198</v>
      </c>
      <c r="N263" s="1108">
        <v>51.054650583706497</v>
      </c>
      <c r="O263" s="1108">
        <v>45.031082475712807</v>
      </c>
      <c r="P263" s="602"/>
      <c r="Q263" s="602"/>
      <c r="R263" s="602"/>
      <c r="S263" s="602"/>
      <c r="T263" s="602"/>
      <c r="U263" s="602"/>
      <c r="V263" s="602"/>
      <c r="W263" s="602"/>
      <c r="X263" s="602"/>
      <c r="Y263" s="602"/>
      <c r="Z263" s="602"/>
      <c r="AA263" s="602"/>
      <c r="AB263" s="602"/>
      <c r="AC263" s="602"/>
      <c r="AD263" s="602"/>
      <c r="AE263" s="602"/>
      <c r="AF263" s="602"/>
      <c r="AG263" s="602"/>
      <c r="AH263" s="602"/>
      <c r="AI263" s="602"/>
      <c r="AJ263" s="602"/>
      <c r="AK263" s="602"/>
      <c r="AL263" s="602"/>
      <c r="AM263" s="602"/>
      <c r="AN263" s="602"/>
      <c r="AO263" s="602"/>
      <c r="AP263" s="602"/>
      <c r="AQ263" s="602"/>
      <c r="AR263" s="602"/>
      <c r="AS263" s="602"/>
      <c r="AT263" s="602"/>
      <c r="AU263" s="602"/>
      <c r="AV263" s="602"/>
      <c r="AW263" s="602"/>
      <c r="AX263" s="602"/>
      <c r="AY263" s="602"/>
      <c r="AZ263" s="602"/>
      <c r="BA263" s="602"/>
    </row>
    <row r="264" spans="2:53">
      <c r="B264" s="602"/>
      <c r="C264" s="1107">
        <v>2026</v>
      </c>
      <c r="D264" s="1108">
        <v>86.676571233184688</v>
      </c>
      <c r="E264" s="1108">
        <v>44.641031928073701</v>
      </c>
      <c r="F264" s="1108">
        <v>20.995445244296899</v>
      </c>
      <c r="G264" s="1108">
        <v>72.446998952223154</v>
      </c>
      <c r="H264" s="1108">
        <v>106.21638916040223</v>
      </c>
      <c r="I264" s="1108">
        <v>106.21638916040223</v>
      </c>
      <c r="J264" s="1108">
        <v>108.37980167623422</v>
      </c>
      <c r="K264" s="1108">
        <v>103.62805815850095</v>
      </c>
      <c r="L264" s="1108">
        <v>64.710015549840818</v>
      </c>
      <c r="M264" s="1108">
        <v>74.805964431979135</v>
      </c>
      <c r="N264" s="1108">
        <v>51.365726036392111</v>
      </c>
      <c r="O264" s="1108">
        <v>45.279976467601358</v>
      </c>
      <c r="P264" s="602"/>
      <c r="Q264" s="602"/>
      <c r="R264" s="602"/>
      <c r="S264" s="602"/>
      <c r="T264" s="602"/>
      <c r="U264" s="602"/>
      <c r="V264" s="602"/>
      <c r="W264" s="602"/>
      <c r="X264" s="602"/>
      <c r="Y264" s="602"/>
      <c r="Z264" s="602"/>
      <c r="AA264" s="602"/>
      <c r="AB264" s="602"/>
      <c r="AC264" s="602"/>
      <c r="AD264" s="602"/>
      <c r="AE264" s="602"/>
      <c r="AF264" s="602"/>
      <c r="AG264" s="602"/>
      <c r="AH264" s="602"/>
      <c r="AI264" s="602"/>
      <c r="AJ264" s="602"/>
      <c r="AK264" s="602"/>
      <c r="AL264" s="602"/>
      <c r="AM264" s="602"/>
      <c r="AN264" s="602"/>
      <c r="AO264" s="602"/>
      <c r="AP264" s="602"/>
      <c r="AQ264" s="602"/>
      <c r="AR264" s="602"/>
      <c r="AS264" s="602"/>
      <c r="AT264" s="602"/>
      <c r="AU264" s="602"/>
      <c r="AV264" s="602"/>
      <c r="AW264" s="602"/>
      <c r="AX264" s="602"/>
      <c r="AY264" s="602"/>
      <c r="AZ264" s="602"/>
      <c r="BA264" s="602"/>
    </row>
    <row r="265" spans="2:53">
      <c r="B265" s="602"/>
      <c r="C265" s="1107">
        <v>2027</v>
      </c>
      <c r="D265" s="1108">
        <v>88.186071195293991</v>
      </c>
      <c r="E265" s="1108">
        <v>45.825085716990088</v>
      </c>
      <c r="F265" s="1108">
        <v>21.195931843995432</v>
      </c>
      <c r="G265" s="1108">
        <v>73.956498914332457</v>
      </c>
      <c r="H265" s="1108">
        <v>107.72588912251153</v>
      </c>
      <c r="I265" s="1108">
        <v>107.72588912251153</v>
      </c>
      <c r="J265" s="1108">
        <v>109.88930163834353</v>
      </c>
      <c r="K265" s="1108">
        <v>105.13755812061025</v>
      </c>
      <c r="L265" s="1108">
        <v>64.955304437852263</v>
      </c>
      <c r="M265" s="1108">
        <v>75.089522883885408</v>
      </c>
      <c r="N265" s="1108">
        <v>51.677058261479885</v>
      </c>
      <c r="O265" s="1108">
        <v>45.528796659727412</v>
      </c>
      <c r="P265" s="602"/>
      <c r="Q265" s="602"/>
      <c r="R265" s="602"/>
      <c r="S265" s="602"/>
      <c r="T265" s="602"/>
      <c r="U265" s="602"/>
      <c r="V265" s="602"/>
      <c r="W265" s="602"/>
      <c r="X265" s="602"/>
      <c r="Y265" s="602"/>
      <c r="Z265" s="602"/>
      <c r="AA265" s="602"/>
      <c r="AB265" s="602"/>
      <c r="AC265" s="602"/>
      <c r="AD265" s="602"/>
      <c r="AE265" s="602"/>
      <c r="AF265" s="602"/>
      <c r="AG265" s="602"/>
      <c r="AH265" s="602"/>
      <c r="AI265" s="602"/>
      <c r="AJ265" s="602"/>
      <c r="AK265" s="602"/>
      <c r="AL265" s="602"/>
      <c r="AM265" s="602"/>
      <c r="AN265" s="602"/>
      <c r="AO265" s="602"/>
      <c r="AP265" s="602"/>
      <c r="AQ265" s="602"/>
      <c r="AR265" s="602"/>
      <c r="AS265" s="602"/>
      <c r="AT265" s="602"/>
      <c r="AU265" s="602"/>
      <c r="AV265" s="602"/>
      <c r="AW265" s="602"/>
      <c r="AX265" s="602"/>
      <c r="AY265" s="602"/>
      <c r="AZ265" s="602"/>
      <c r="BA265" s="602"/>
    </row>
    <row r="266" spans="2:53">
      <c r="B266" s="602"/>
      <c r="C266" s="1107">
        <v>2028</v>
      </c>
      <c r="D266" s="1108">
        <v>89.586356147981405</v>
      </c>
      <c r="E266" s="1108">
        <v>46.950294651080164</v>
      </c>
      <c r="F266" s="1108">
        <v>21.376250794374826</v>
      </c>
      <c r="G266" s="1108">
        <v>75.356783867019871</v>
      </c>
      <c r="H266" s="1108">
        <v>109.12617407519895</v>
      </c>
      <c r="I266" s="1108">
        <v>109.12617407519895</v>
      </c>
      <c r="J266" s="1108">
        <v>111.28958659103094</v>
      </c>
      <c r="K266" s="1108">
        <v>106.53784307329767</v>
      </c>
      <c r="L266" s="1108">
        <v>65.200194985641772</v>
      </c>
      <c r="M266" s="1108">
        <v>75.372620847191584</v>
      </c>
      <c r="N266" s="1108">
        <v>51.988642280065065</v>
      </c>
      <c r="O266" s="1108">
        <v>45.777543052090969</v>
      </c>
      <c r="P266" s="602"/>
      <c r="Q266" s="602"/>
      <c r="R266" s="602"/>
      <c r="S266" s="602"/>
      <c r="T266" s="602"/>
      <c r="U266" s="602"/>
      <c r="V266" s="602"/>
      <c r="W266" s="602"/>
      <c r="X266" s="602"/>
      <c r="Y266" s="602"/>
      <c r="Z266" s="602"/>
      <c r="AA266" s="602"/>
      <c r="AB266" s="602"/>
      <c r="AC266" s="602"/>
      <c r="AD266" s="602"/>
      <c r="AE266" s="602"/>
      <c r="AF266" s="602"/>
      <c r="AG266" s="602"/>
      <c r="AH266" s="602"/>
      <c r="AI266" s="602"/>
      <c r="AJ266" s="602"/>
      <c r="AK266" s="602"/>
      <c r="AL266" s="602"/>
      <c r="AM266" s="602"/>
      <c r="AN266" s="602"/>
      <c r="AO266" s="602"/>
      <c r="AP266" s="602"/>
      <c r="AQ266" s="602"/>
      <c r="AR266" s="602"/>
      <c r="AS266" s="602"/>
      <c r="AT266" s="602"/>
      <c r="AU266" s="602"/>
      <c r="AV266" s="602"/>
      <c r="AW266" s="602"/>
      <c r="AX266" s="602"/>
      <c r="AY266" s="602"/>
      <c r="AZ266" s="602"/>
      <c r="BA266" s="602"/>
    </row>
    <row r="267" spans="2:53">
      <c r="B267" s="602"/>
      <c r="C267" s="1107">
        <v>2029</v>
      </c>
      <c r="D267" s="1108">
        <v>90.92803677830058</v>
      </c>
      <c r="E267" s="1108">
        <v>48.047984271449039</v>
      </c>
      <c r="F267" s="1108">
        <v>21.548170886437006</v>
      </c>
      <c r="G267" s="1108">
        <v>76.698464497339046</v>
      </c>
      <c r="H267" s="1108">
        <v>110.46785470551812</v>
      </c>
      <c r="I267" s="1108">
        <v>110.46785470551812</v>
      </c>
      <c r="J267" s="1108">
        <v>112.63126722135011</v>
      </c>
      <c r="K267" s="1108">
        <v>107.87952370361684</v>
      </c>
      <c r="L267" s="1108">
        <v>65.444676055494327</v>
      </c>
      <c r="M267" s="1108">
        <v>75.65524544649486</v>
      </c>
      <c r="N267" s="1108">
        <v>52.300473165558273</v>
      </c>
      <c r="O267" s="1108">
        <v>46.02621564469203</v>
      </c>
      <c r="P267" s="602"/>
      <c r="Q267" s="602"/>
      <c r="R267" s="602"/>
      <c r="S267" s="602"/>
      <c r="T267" s="602"/>
      <c r="U267" s="602"/>
      <c r="V267" s="602"/>
      <c r="W267" s="602"/>
      <c r="X267" s="602"/>
      <c r="Y267" s="602"/>
      <c r="Z267" s="602"/>
      <c r="AA267" s="602"/>
      <c r="AB267" s="602"/>
      <c r="AC267" s="602"/>
      <c r="AD267" s="602"/>
      <c r="AE267" s="602"/>
      <c r="AF267" s="602"/>
      <c r="AG267" s="602"/>
      <c r="AH267" s="602"/>
      <c r="AI267" s="602"/>
      <c r="AJ267" s="602"/>
      <c r="AK267" s="602"/>
      <c r="AL267" s="602"/>
      <c r="AM267" s="602"/>
      <c r="AN267" s="602"/>
      <c r="AO267" s="602"/>
      <c r="AP267" s="602"/>
      <c r="AQ267" s="602"/>
      <c r="AR267" s="602"/>
      <c r="AS267" s="602"/>
      <c r="AT267" s="602"/>
      <c r="AU267" s="602"/>
      <c r="AV267" s="602"/>
      <c r="AW267" s="602"/>
      <c r="AX267" s="602"/>
      <c r="AY267" s="602"/>
      <c r="AZ267" s="602"/>
      <c r="BA267" s="602"/>
    </row>
    <row r="268" spans="2:53">
      <c r="B268" s="602"/>
      <c r="C268" s="1107">
        <v>2030</v>
      </c>
      <c r="D268" s="1108">
        <v>92.141387034323401</v>
      </c>
      <c r="E268" s="1108">
        <v>49.074729484141251</v>
      </c>
      <c r="F268" s="1108">
        <v>21.695318201462513</v>
      </c>
      <c r="G268" s="1108">
        <v>77.911814753361867</v>
      </c>
      <c r="H268" s="1108">
        <v>111.68120496154094</v>
      </c>
      <c r="I268" s="1108">
        <v>111.68120496154094</v>
      </c>
      <c r="J268" s="1108">
        <v>113.84461747737294</v>
      </c>
      <c r="K268" s="1108">
        <v>109.09287395963966</v>
      </c>
      <c r="L268" s="1108">
        <v>65.688736608355271</v>
      </c>
      <c r="M268" s="1108">
        <v>75.937383920445654</v>
      </c>
      <c r="N268" s="1108">
        <v>52.612546043058984</v>
      </c>
      <c r="O268" s="1108">
        <v>46.274814437530587</v>
      </c>
      <c r="P268" s="602"/>
      <c r="Q268" s="602"/>
      <c r="R268" s="602"/>
      <c r="S268" s="602"/>
      <c r="T268" s="602"/>
      <c r="U268" s="602"/>
      <c r="V268" s="602"/>
      <c r="W268" s="602"/>
      <c r="X268" s="602"/>
      <c r="Y268" s="602"/>
      <c r="Z268" s="602"/>
      <c r="AA268" s="602"/>
      <c r="AB268" s="602"/>
      <c r="AC268" s="602"/>
      <c r="AD268" s="602"/>
      <c r="AE268" s="602"/>
      <c r="AF268" s="602"/>
      <c r="AG268" s="602"/>
      <c r="AH268" s="602"/>
      <c r="AI268" s="602"/>
      <c r="AJ268" s="602"/>
      <c r="AK268" s="602"/>
      <c r="AL268" s="602"/>
      <c r="AM268" s="602"/>
      <c r="AN268" s="602"/>
      <c r="AO268" s="602"/>
      <c r="AP268" s="602"/>
      <c r="AQ268" s="602"/>
      <c r="AR268" s="602"/>
      <c r="AS268" s="602"/>
      <c r="AT268" s="602"/>
      <c r="AU268" s="602"/>
      <c r="AV268" s="602"/>
      <c r="AW268" s="602"/>
      <c r="AX268" s="602"/>
      <c r="AY268" s="602"/>
      <c r="AZ268" s="602"/>
      <c r="BA268" s="602"/>
    </row>
    <row r="269" spans="2:53">
      <c r="B269" s="602"/>
      <c r="C269" s="1107">
        <v>2031</v>
      </c>
      <c r="D269" s="1108">
        <v>93.692750413107319</v>
      </c>
      <c r="E269" s="1108">
        <v>50.22027708112531</v>
      </c>
      <c r="F269" s="1108">
        <v>21.767199086953433</v>
      </c>
      <c r="G269" s="1108">
        <v>79.463178132145785</v>
      </c>
      <c r="H269" s="1108">
        <v>113.23256834032486</v>
      </c>
      <c r="I269" s="1108">
        <v>113.23256834032486</v>
      </c>
      <c r="J269" s="1108">
        <v>115.39598085615685</v>
      </c>
      <c r="K269" s="1108">
        <v>110.64423733842358</v>
      </c>
      <c r="L269" s="1108">
        <v>65.884596633860156</v>
      </c>
      <c r="M269" s="1108">
        <v>76.163801701017505</v>
      </c>
      <c r="N269" s="1108">
        <v>52.875302226231177</v>
      </c>
      <c r="O269" s="1108">
        <v>46.428246784204831</v>
      </c>
      <c r="P269" s="602"/>
      <c r="Q269" s="602"/>
      <c r="R269" s="602"/>
      <c r="S269" s="602"/>
      <c r="T269" s="602"/>
      <c r="U269" s="602"/>
      <c r="V269" s="602"/>
      <c r="W269" s="602"/>
      <c r="X269" s="602"/>
      <c r="Y269" s="602"/>
      <c r="Z269" s="602"/>
      <c r="AA269" s="602"/>
      <c r="AB269" s="602"/>
      <c r="AC269" s="602"/>
      <c r="AD269" s="602"/>
      <c r="AE269" s="602"/>
      <c r="AF269" s="602"/>
      <c r="AG269" s="602"/>
      <c r="AH269" s="602"/>
      <c r="AI269" s="602"/>
      <c r="AJ269" s="602"/>
      <c r="AK269" s="602"/>
      <c r="AL269" s="602"/>
      <c r="AM269" s="602"/>
      <c r="AN269" s="602"/>
      <c r="AO269" s="602"/>
      <c r="AP269" s="602"/>
      <c r="AQ269" s="602"/>
      <c r="AR269" s="602"/>
      <c r="AS269" s="602"/>
      <c r="AT269" s="602"/>
      <c r="AU269" s="602"/>
      <c r="AV269" s="602"/>
      <c r="AW269" s="602"/>
      <c r="AX269" s="602"/>
      <c r="AY269" s="602"/>
      <c r="AZ269" s="602"/>
      <c r="BA269" s="602"/>
    </row>
    <row r="270" spans="2:53">
      <c r="B270" s="602"/>
      <c r="C270" s="1107">
        <v>2032</v>
      </c>
      <c r="D270" s="1108">
        <v>95.558328708367895</v>
      </c>
      <c r="E270" s="1108">
        <v>51.310437783572709</v>
      </c>
      <c r="F270" s="1108">
        <v>21.825017030148729</v>
      </c>
      <c r="G270" s="1108">
        <v>81.328756427406361</v>
      </c>
      <c r="H270" s="1108">
        <v>115.09814663558544</v>
      </c>
      <c r="I270" s="1108">
        <v>115.09814663558544</v>
      </c>
      <c r="J270" s="1108">
        <v>117.26155915141743</v>
      </c>
      <c r="K270" s="1108">
        <v>112.50981563368416</v>
      </c>
      <c r="L270" s="1108">
        <v>66.08036338926722</v>
      </c>
      <c r="M270" s="1108">
        <v>76.390111659646166</v>
      </c>
      <c r="N270" s="1108">
        <v>53.138403281373272</v>
      </c>
      <c r="O270" s="1108">
        <v>46.581596106146264</v>
      </c>
      <c r="P270" s="602"/>
      <c r="Q270" s="602"/>
      <c r="R270" s="602"/>
      <c r="S270" s="602"/>
      <c r="T270" s="602"/>
      <c r="U270" s="602"/>
      <c r="V270" s="602"/>
      <c r="W270" s="602"/>
      <c r="X270" s="602"/>
      <c r="Y270" s="602"/>
      <c r="Z270" s="602"/>
      <c r="AA270" s="602"/>
      <c r="AB270" s="602"/>
      <c r="AC270" s="602"/>
      <c r="AD270" s="602"/>
      <c r="AE270" s="602"/>
      <c r="AF270" s="602"/>
      <c r="AG270" s="602"/>
      <c r="AH270" s="602"/>
      <c r="AI270" s="602"/>
      <c r="AJ270" s="602"/>
      <c r="AK270" s="602"/>
      <c r="AL270" s="602"/>
      <c r="AM270" s="602"/>
      <c r="AN270" s="602"/>
      <c r="AO270" s="602"/>
      <c r="AP270" s="602"/>
      <c r="AQ270" s="602"/>
      <c r="AR270" s="602"/>
      <c r="AS270" s="602"/>
      <c r="AT270" s="602"/>
      <c r="AU270" s="602"/>
      <c r="AV270" s="602"/>
      <c r="AW270" s="602"/>
      <c r="AX270" s="602"/>
      <c r="AY270" s="602"/>
      <c r="AZ270" s="602"/>
      <c r="BA270" s="602"/>
    </row>
    <row r="271" spans="2:53">
      <c r="B271" s="602"/>
      <c r="C271" s="1107">
        <v>2033</v>
      </c>
      <c r="D271" s="1108">
        <v>97.341047888333435</v>
      </c>
      <c r="E271" s="1108">
        <v>52.371455269436716</v>
      </c>
      <c r="F271" s="1108">
        <v>21.878276139633737</v>
      </c>
      <c r="G271" s="1108">
        <v>83.111475607371901</v>
      </c>
      <c r="H271" s="1108">
        <v>116.88086581555098</v>
      </c>
      <c r="I271" s="1108">
        <v>116.88086581555098</v>
      </c>
      <c r="J271" s="1108">
        <v>119.04427833138297</v>
      </c>
      <c r="K271" s="1108">
        <v>114.2925348136497</v>
      </c>
      <c r="L271" s="1108">
        <v>66.276021603357506</v>
      </c>
      <c r="M271" s="1108">
        <v>76.616296142522543</v>
      </c>
      <c r="N271" s="1108">
        <v>53.40184179508779</v>
      </c>
      <c r="O271" s="1108">
        <v>46.73486240335491</v>
      </c>
      <c r="P271" s="602"/>
      <c r="Q271" s="602"/>
      <c r="R271" s="602"/>
      <c r="S271" s="602"/>
      <c r="T271" s="602"/>
      <c r="U271" s="602"/>
      <c r="V271" s="602"/>
      <c r="W271" s="602"/>
      <c r="X271" s="602"/>
      <c r="Y271" s="602"/>
      <c r="Z271" s="602"/>
      <c r="AA271" s="602"/>
      <c r="AB271" s="602"/>
      <c r="AC271" s="602"/>
      <c r="AD271" s="602"/>
      <c r="AE271" s="602"/>
      <c r="AF271" s="602"/>
      <c r="AG271" s="602"/>
      <c r="AH271" s="602"/>
      <c r="AI271" s="602"/>
      <c r="AJ271" s="602"/>
      <c r="AK271" s="602"/>
      <c r="AL271" s="602"/>
      <c r="AM271" s="602"/>
      <c r="AN271" s="602"/>
      <c r="AO271" s="602"/>
      <c r="AP271" s="602"/>
      <c r="AQ271" s="602"/>
      <c r="AR271" s="602"/>
      <c r="AS271" s="602"/>
      <c r="AT271" s="602"/>
      <c r="AU271" s="602"/>
      <c r="AV271" s="602"/>
      <c r="AW271" s="602"/>
      <c r="AX271" s="602"/>
      <c r="AY271" s="602"/>
      <c r="AZ271" s="602"/>
      <c r="BA271" s="602"/>
    </row>
    <row r="272" spans="2:53">
      <c r="B272" s="602"/>
      <c r="C272" s="1107">
        <v>2034</v>
      </c>
      <c r="D272" s="1108">
        <v>99.002693402790925</v>
      </c>
      <c r="E272" s="1108">
        <v>53.379487378305292</v>
      </c>
      <c r="F272" s="1108">
        <v>21.917992887383534</v>
      </c>
      <c r="G272" s="1108">
        <v>84.773121121829391</v>
      </c>
      <c r="H272" s="1108">
        <v>118.54251133000847</v>
      </c>
      <c r="I272" s="1108">
        <v>118.54251133000847</v>
      </c>
      <c r="J272" s="1108">
        <v>120.70592384584046</v>
      </c>
      <c r="K272" s="1108">
        <v>115.95418032810719</v>
      </c>
      <c r="L272" s="1108">
        <v>66.471556138902102</v>
      </c>
      <c r="M272" s="1108">
        <v>76.842337650732446</v>
      </c>
      <c r="N272" s="1108">
        <v>53.665610427022969</v>
      </c>
      <c r="O272" s="1108">
        <v>46.888045675830739</v>
      </c>
      <c r="P272" s="602"/>
      <c r="Q272" s="602"/>
      <c r="R272" s="602"/>
      <c r="S272" s="602"/>
      <c r="T272" s="602"/>
      <c r="U272" s="602"/>
      <c r="V272" s="602"/>
      <c r="W272" s="602"/>
      <c r="X272" s="602"/>
      <c r="Y272" s="602"/>
      <c r="Z272" s="602"/>
      <c r="AA272" s="602"/>
      <c r="AB272" s="602"/>
      <c r="AC272" s="602"/>
      <c r="AD272" s="602"/>
      <c r="AE272" s="602"/>
      <c r="AF272" s="602"/>
      <c r="AG272" s="602"/>
      <c r="AH272" s="602"/>
      <c r="AI272" s="602"/>
      <c r="AJ272" s="602"/>
      <c r="AK272" s="602"/>
      <c r="AL272" s="602"/>
      <c r="AM272" s="602"/>
      <c r="AN272" s="602"/>
      <c r="AO272" s="602"/>
      <c r="AP272" s="602"/>
      <c r="AQ272" s="602"/>
      <c r="AR272" s="602"/>
      <c r="AS272" s="602"/>
      <c r="AT272" s="602"/>
      <c r="AU272" s="602"/>
      <c r="AV272" s="602"/>
      <c r="AW272" s="602"/>
      <c r="AX272" s="602"/>
      <c r="AY272" s="602"/>
      <c r="AZ272" s="602"/>
      <c r="BA272" s="602"/>
    </row>
    <row r="273" spans="2:53">
      <c r="B273" s="602"/>
      <c r="C273" s="1107">
        <v>2035</v>
      </c>
      <c r="D273" s="1108">
        <v>100.59799469913287</v>
      </c>
      <c r="E273" s="1108">
        <v>54.366646432213557</v>
      </c>
      <c r="F273" s="1108">
        <v>21.9556878669204</v>
      </c>
      <c r="G273" s="1108">
        <v>86.368422418171335</v>
      </c>
      <c r="H273" s="1108">
        <v>120.13781262635041</v>
      </c>
      <c r="I273" s="1108">
        <v>120.13781262635041</v>
      </c>
      <c r="J273" s="1108">
        <v>122.3012251421824</v>
      </c>
      <c r="K273" s="1108">
        <v>117.54948162444913</v>
      </c>
      <c r="L273" s="1108">
        <v>66.66695199165018</v>
      </c>
      <c r="M273" s="1108">
        <v>77.068218839086825</v>
      </c>
      <c r="N273" s="1108">
        <v>53.929701909080514</v>
      </c>
      <c r="O273" s="1108">
        <v>47.041145923573744</v>
      </c>
      <c r="P273" s="602"/>
      <c r="Q273" s="602"/>
      <c r="R273" s="602"/>
      <c r="S273" s="602"/>
      <c r="T273" s="602"/>
      <c r="U273" s="602"/>
      <c r="V273" s="602"/>
      <c r="W273" s="602"/>
      <c r="X273" s="602"/>
      <c r="Y273" s="602"/>
      <c r="Z273" s="602"/>
      <c r="AA273" s="602"/>
      <c r="AB273" s="602"/>
      <c r="AC273" s="602"/>
      <c r="AD273" s="602"/>
      <c r="AE273" s="602"/>
      <c r="AF273" s="602"/>
      <c r="AG273" s="602"/>
      <c r="AH273" s="602"/>
      <c r="AI273" s="602"/>
      <c r="AJ273" s="602"/>
      <c r="AK273" s="602"/>
      <c r="AL273" s="602"/>
      <c r="AM273" s="602"/>
      <c r="AN273" s="602"/>
      <c r="AO273" s="602"/>
      <c r="AP273" s="602"/>
      <c r="AQ273" s="602"/>
      <c r="AR273" s="602"/>
      <c r="AS273" s="602"/>
      <c r="AT273" s="602"/>
      <c r="AU273" s="602"/>
      <c r="AV273" s="602"/>
      <c r="AW273" s="602"/>
      <c r="AX273" s="602"/>
      <c r="AY273" s="602"/>
      <c r="AZ273" s="602"/>
      <c r="BA273" s="602"/>
    </row>
    <row r="274" spans="2:53">
      <c r="B274" s="602"/>
      <c r="C274" s="1107">
        <v>2036</v>
      </c>
      <c r="D274" s="1108">
        <v>102.09020115332861</v>
      </c>
      <c r="E274" s="1108">
        <v>56.021566478043873</v>
      </c>
      <c r="F274" s="1108">
        <v>22.029714738820417</v>
      </c>
      <c r="G274" s="1108">
        <v>87.860628872367073</v>
      </c>
      <c r="H274" s="1108">
        <v>121.63001908054615</v>
      </c>
      <c r="I274" s="1108">
        <v>121.63001908054615</v>
      </c>
      <c r="J274" s="1108">
        <v>123.79343159637814</v>
      </c>
      <c r="K274" s="1108">
        <v>119.04168807864487</v>
      </c>
      <c r="L274" s="1108">
        <v>66.829694828730965</v>
      </c>
      <c r="M274" s="1108">
        <v>77.256352542637686</v>
      </c>
      <c r="N274" s="1108">
        <v>54.174250889852274</v>
      </c>
      <c r="O274" s="1108">
        <v>47.184184641373889</v>
      </c>
      <c r="P274" s="602"/>
      <c r="Q274" s="602"/>
      <c r="R274" s="602"/>
      <c r="S274" s="602"/>
      <c r="T274" s="602"/>
      <c r="U274" s="602"/>
      <c r="V274" s="602"/>
      <c r="W274" s="602"/>
      <c r="X274" s="602"/>
      <c r="Y274" s="602"/>
      <c r="Z274" s="602"/>
      <c r="AA274" s="602"/>
      <c r="AB274" s="602"/>
      <c r="AC274" s="602"/>
      <c r="AD274" s="602"/>
      <c r="AE274" s="602"/>
      <c r="AF274" s="602"/>
      <c r="AG274" s="602"/>
      <c r="AH274" s="602"/>
      <c r="AI274" s="602"/>
      <c r="AJ274" s="602"/>
      <c r="AK274" s="602"/>
      <c r="AL274" s="602"/>
      <c r="AM274" s="602"/>
      <c r="AN274" s="602"/>
      <c r="AO274" s="602"/>
      <c r="AP274" s="602"/>
      <c r="AQ274" s="602"/>
      <c r="AR274" s="602"/>
      <c r="AS274" s="602"/>
      <c r="AT274" s="602"/>
      <c r="AU274" s="602"/>
      <c r="AV274" s="602"/>
      <c r="AW274" s="602"/>
      <c r="AX274" s="602"/>
      <c r="AY274" s="602"/>
      <c r="AZ274" s="602"/>
      <c r="BA274" s="602"/>
    </row>
    <row r="275" spans="2:53">
      <c r="B275" s="602"/>
      <c r="C275" s="1107">
        <v>2037</v>
      </c>
      <c r="D275" s="1108">
        <v>103.53602848432692</v>
      </c>
      <c r="E275" s="1108">
        <v>56.643484305507364</v>
      </c>
      <c r="F275" s="1108">
        <v>22.099296654325173</v>
      </c>
      <c r="G275" s="1108">
        <v>89.306456203365386</v>
      </c>
      <c r="H275" s="1108">
        <v>123.07584641154446</v>
      </c>
      <c r="I275" s="1108">
        <v>123.07584641154446</v>
      </c>
      <c r="J275" s="1108">
        <v>125.23925892737645</v>
      </c>
      <c r="K275" s="1108">
        <v>120.48751540964318</v>
      </c>
      <c r="L275" s="1108">
        <v>66.992074665035901</v>
      </c>
      <c r="M275" s="1108">
        <v>77.444066610636042</v>
      </c>
      <c r="N275" s="1108">
        <v>54.41888572733636</v>
      </c>
      <c r="O275" s="1108">
        <v>47.327158784381858</v>
      </c>
      <c r="P275" s="602"/>
      <c r="Q275" s="602"/>
      <c r="R275" s="602"/>
      <c r="S275" s="602"/>
      <c r="T275" s="602"/>
      <c r="U275" s="602"/>
      <c r="V275" s="602"/>
      <c r="W275" s="602"/>
      <c r="X275" s="602"/>
      <c r="Y275" s="602"/>
      <c r="Z275" s="602"/>
      <c r="AA275" s="602"/>
      <c r="AB275" s="602"/>
      <c r="AC275" s="602"/>
      <c r="AD275" s="602"/>
      <c r="AE275" s="602"/>
      <c r="AF275" s="602"/>
      <c r="AG275" s="602"/>
      <c r="AH275" s="602"/>
      <c r="AI275" s="602"/>
      <c r="AJ275" s="602"/>
      <c r="AK275" s="602"/>
      <c r="AL275" s="602"/>
      <c r="AM275" s="602"/>
      <c r="AN275" s="602"/>
      <c r="AO275" s="602"/>
      <c r="AP275" s="602"/>
      <c r="AQ275" s="602"/>
      <c r="AR275" s="602"/>
      <c r="AS275" s="602"/>
      <c r="AT275" s="602"/>
      <c r="AU275" s="602"/>
      <c r="AV275" s="602"/>
      <c r="AW275" s="602"/>
      <c r="AX275" s="602"/>
      <c r="AY275" s="602"/>
      <c r="AZ275" s="602"/>
      <c r="BA275" s="602"/>
    </row>
    <row r="276" spans="2:53">
      <c r="B276" s="602"/>
      <c r="C276" s="1107">
        <v>2038</v>
      </c>
      <c r="D276" s="1108">
        <v>104.86648319780612</v>
      </c>
      <c r="E276" s="1108">
        <v>57.206292482675018</v>
      </c>
      <c r="F276" s="1108">
        <v>22.153632116105896</v>
      </c>
      <c r="G276" s="1108">
        <v>90.636910916844585</v>
      </c>
      <c r="H276" s="1108">
        <v>124.40630112502366</v>
      </c>
      <c r="I276" s="1108">
        <v>124.40630112502366</v>
      </c>
      <c r="J276" s="1108">
        <v>126.56971364085565</v>
      </c>
      <c r="K276" s="1108">
        <v>121.81797012312238</v>
      </c>
      <c r="L276" s="1108">
        <v>67.154082323490499</v>
      </c>
      <c r="M276" s="1108">
        <v>77.631350434215534</v>
      </c>
      <c r="N276" s="1108">
        <v>54.663599201289209</v>
      </c>
      <c r="O276" s="1108">
        <v>47.470068352597629</v>
      </c>
      <c r="P276" s="602"/>
      <c r="Q276" s="602"/>
      <c r="R276" s="602"/>
      <c r="S276" s="602"/>
      <c r="T276" s="602"/>
      <c r="U276" s="602"/>
      <c r="V276" s="602"/>
      <c r="W276" s="602"/>
      <c r="X276" s="602"/>
      <c r="Y276" s="602"/>
      <c r="Z276" s="602"/>
      <c r="AA276" s="602"/>
      <c r="AB276" s="602"/>
      <c r="AC276" s="602"/>
      <c r="AD276" s="602"/>
      <c r="AE276" s="602"/>
      <c r="AF276" s="602"/>
      <c r="AG276" s="602"/>
      <c r="AH276" s="602"/>
      <c r="AI276" s="602"/>
      <c r="AJ276" s="602"/>
      <c r="AK276" s="602"/>
      <c r="AL276" s="602"/>
      <c r="AM276" s="602"/>
      <c r="AN276" s="602"/>
      <c r="AO276" s="602"/>
      <c r="AP276" s="602"/>
      <c r="AQ276" s="602"/>
      <c r="AR276" s="602"/>
      <c r="AS276" s="602"/>
      <c r="AT276" s="602"/>
      <c r="AU276" s="602"/>
      <c r="AV276" s="602"/>
      <c r="AW276" s="602"/>
      <c r="AX276" s="602"/>
      <c r="AY276" s="602"/>
      <c r="AZ276" s="602"/>
      <c r="BA276" s="602"/>
    </row>
    <row r="277" spans="2:53">
      <c r="B277" s="602"/>
      <c r="C277" s="1107">
        <v>2039</v>
      </c>
      <c r="D277" s="1108">
        <v>106.13404097693454</v>
      </c>
      <c r="E277" s="1108">
        <v>57.740541471904386</v>
      </c>
      <c r="F277" s="1108">
        <v>22.203402762241502</v>
      </c>
      <c r="G277" s="1108">
        <v>91.904468695973009</v>
      </c>
      <c r="H277" s="1108">
        <v>125.67385890415208</v>
      </c>
      <c r="I277" s="1108">
        <v>125.67385890415208</v>
      </c>
      <c r="J277" s="1108">
        <v>127.83727141998408</v>
      </c>
      <c r="K277" s="1108">
        <v>123.0855279022508</v>
      </c>
      <c r="L277" s="1108">
        <v>67.315708706874133</v>
      </c>
      <c r="M277" s="1108">
        <v>77.818193496822346</v>
      </c>
      <c r="N277" s="1108">
        <v>54.908384160416688</v>
      </c>
      <c r="O277" s="1108">
        <v>47.612913346021223</v>
      </c>
      <c r="P277" s="602"/>
      <c r="Q277" s="602"/>
      <c r="R277" s="602"/>
      <c r="S277" s="602"/>
      <c r="T277" s="602"/>
      <c r="U277" s="602"/>
      <c r="V277" s="602"/>
      <c r="W277" s="602"/>
      <c r="X277" s="602"/>
      <c r="Y277" s="602"/>
      <c r="Z277" s="602"/>
      <c r="AA277" s="602"/>
      <c r="AB277" s="602"/>
      <c r="AC277" s="602"/>
      <c r="AD277" s="602"/>
      <c r="AE277" s="602"/>
      <c r="AF277" s="602"/>
      <c r="AG277" s="602"/>
      <c r="AH277" s="602"/>
      <c r="AI277" s="602"/>
      <c r="AJ277" s="602"/>
      <c r="AK277" s="602"/>
      <c r="AL277" s="602"/>
      <c r="AM277" s="602"/>
      <c r="AN277" s="602"/>
      <c r="AO277" s="602"/>
      <c r="AP277" s="602"/>
      <c r="AQ277" s="602"/>
      <c r="AR277" s="602"/>
      <c r="AS277" s="602"/>
      <c r="AT277" s="602"/>
      <c r="AU277" s="602"/>
      <c r="AV277" s="602"/>
      <c r="AW277" s="602"/>
      <c r="AX277" s="602"/>
      <c r="AY277" s="602"/>
      <c r="AZ277" s="602"/>
      <c r="BA277" s="602"/>
    </row>
    <row r="278" spans="2:53">
      <c r="B278" s="602"/>
      <c r="C278" s="1107">
        <v>2040</v>
      </c>
      <c r="D278" s="1108">
        <v>107.30502693993807</v>
      </c>
      <c r="E278" s="1108">
        <v>58.226230553747364</v>
      </c>
      <c r="F278" s="1108">
        <v>22.241349337329673</v>
      </c>
      <c r="G278" s="1108">
        <v>93.07545465897654</v>
      </c>
      <c r="H278" s="1108">
        <v>126.84484486715562</v>
      </c>
      <c r="I278" s="1108">
        <v>126.84484486715562</v>
      </c>
      <c r="J278" s="1108">
        <v>129.00825738298761</v>
      </c>
      <c r="K278" s="1108">
        <v>124.25651386525433</v>
      </c>
      <c r="L278" s="1108">
        <v>67.476944797280851</v>
      </c>
      <c r="M278" s="1108">
        <v>78.004585373591794</v>
      </c>
      <c r="N278" s="1108">
        <v>55.153233521655096</v>
      </c>
      <c r="O278" s="1108">
        <v>47.755693764652648</v>
      </c>
      <c r="P278" s="602"/>
      <c r="Q278" s="602"/>
      <c r="R278" s="602"/>
      <c r="S278" s="602"/>
      <c r="T278" s="602"/>
      <c r="U278" s="602"/>
      <c r="V278" s="602"/>
      <c r="W278" s="602"/>
      <c r="X278" s="602"/>
      <c r="Y278" s="602"/>
      <c r="Z278" s="602"/>
      <c r="AA278" s="602"/>
      <c r="AB278" s="602"/>
      <c r="AC278" s="602"/>
      <c r="AD278" s="602"/>
      <c r="AE278" s="602"/>
      <c r="AF278" s="602"/>
      <c r="AG278" s="602"/>
      <c r="AH278" s="602"/>
      <c r="AI278" s="602"/>
      <c r="AJ278" s="602"/>
      <c r="AK278" s="602"/>
      <c r="AL278" s="602"/>
      <c r="AM278" s="602"/>
      <c r="AN278" s="602"/>
      <c r="AO278" s="602"/>
      <c r="AP278" s="602"/>
      <c r="AQ278" s="602"/>
      <c r="AR278" s="602"/>
      <c r="AS278" s="602"/>
      <c r="AT278" s="602"/>
      <c r="AU278" s="602"/>
      <c r="AV278" s="602"/>
      <c r="AW278" s="602"/>
      <c r="AX278" s="602"/>
      <c r="AY278" s="602"/>
      <c r="AZ278" s="602"/>
      <c r="BA278" s="602"/>
    </row>
    <row r="279" spans="2:53" ht="13.8">
      <c r="B279" s="602"/>
      <c r="C279" s="569" t="s">
        <v>836</v>
      </c>
      <c r="D279" s="485"/>
      <c r="E279" s="485"/>
      <c r="G279" s="485"/>
      <c r="H279" s="485"/>
      <c r="I279" s="485"/>
      <c r="J279" s="485"/>
      <c r="K279" s="485"/>
      <c r="L279" s="485"/>
      <c r="M279" s="485"/>
      <c r="N279" s="485"/>
      <c r="O279" s="485"/>
      <c r="P279" s="602"/>
      <c r="Q279" s="602"/>
      <c r="R279" s="602"/>
      <c r="S279" s="602"/>
      <c r="T279" s="602"/>
      <c r="U279" s="602"/>
      <c r="V279" s="602"/>
      <c r="W279" s="602"/>
      <c r="X279" s="602"/>
      <c r="Y279" s="602"/>
      <c r="Z279" s="602"/>
      <c r="AA279" s="602"/>
      <c r="AB279" s="602"/>
      <c r="AC279" s="602"/>
      <c r="AD279" s="602"/>
      <c r="AE279" s="602"/>
      <c r="AF279" s="602"/>
      <c r="AG279" s="602"/>
      <c r="AH279" s="602"/>
      <c r="AI279" s="602"/>
      <c r="AJ279" s="602"/>
      <c r="AK279" s="602"/>
      <c r="AL279" s="602"/>
      <c r="AM279" s="602"/>
      <c r="AN279" s="602"/>
      <c r="AO279" s="602"/>
      <c r="AP279" s="602"/>
      <c r="AQ279" s="602"/>
      <c r="AR279" s="602"/>
      <c r="AS279" s="602"/>
      <c r="AT279" s="602"/>
      <c r="AU279" s="602"/>
      <c r="AV279" s="602"/>
      <c r="AW279" s="602"/>
      <c r="AX279" s="602"/>
      <c r="AY279" s="602"/>
      <c r="AZ279" s="602"/>
      <c r="BA279" s="602"/>
    </row>
    <row r="280" spans="2:53">
      <c r="B280" s="602"/>
      <c r="C280" s="482"/>
      <c r="D280" s="485"/>
      <c r="E280" s="485"/>
      <c r="G280" s="485"/>
      <c r="H280" s="485"/>
      <c r="I280" s="485"/>
      <c r="J280" s="485"/>
      <c r="K280" s="485"/>
      <c r="L280" s="485"/>
      <c r="M280" s="485"/>
      <c r="N280" s="485"/>
      <c r="O280" s="485"/>
      <c r="P280" s="602"/>
      <c r="Q280" s="602"/>
      <c r="R280" s="602"/>
      <c r="S280" s="602"/>
      <c r="T280" s="602"/>
      <c r="U280" s="602"/>
      <c r="V280" s="602"/>
      <c r="W280" s="602"/>
      <c r="X280" s="602"/>
      <c r="Y280" s="602"/>
      <c r="Z280" s="602"/>
      <c r="AA280" s="602"/>
      <c r="AB280" s="602"/>
      <c r="AC280" s="602"/>
      <c r="AD280" s="602"/>
      <c r="AE280" s="602"/>
      <c r="AF280" s="602"/>
      <c r="AG280" s="602"/>
      <c r="AH280" s="602"/>
      <c r="AI280" s="602"/>
      <c r="AJ280" s="602"/>
      <c r="AK280" s="602"/>
      <c r="AL280" s="602"/>
      <c r="AM280" s="602"/>
      <c r="AN280" s="602"/>
      <c r="AO280" s="602"/>
      <c r="AP280" s="602"/>
      <c r="AQ280" s="602"/>
      <c r="AR280" s="602"/>
      <c r="AS280" s="602"/>
      <c r="AT280" s="602"/>
      <c r="AU280" s="602"/>
      <c r="AV280" s="602"/>
      <c r="AW280" s="602"/>
      <c r="AX280" s="602"/>
      <c r="AY280" s="602"/>
      <c r="AZ280" s="602"/>
      <c r="BA280" s="602"/>
    </row>
    <row r="281" spans="2:53">
      <c r="B281" s="602"/>
      <c r="C281" s="602"/>
      <c r="D281" s="602"/>
      <c r="G281" s="602"/>
      <c r="H281" s="602"/>
      <c r="I281" s="602"/>
      <c r="J281" s="602"/>
      <c r="K281" s="602"/>
      <c r="L281" s="602"/>
      <c r="M281" s="602"/>
      <c r="N281" s="602"/>
      <c r="O281" s="602"/>
      <c r="P281" s="602"/>
      <c r="Q281" s="602"/>
      <c r="R281" s="602"/>
      <c r="S281" s="602"/>
      <c r="T281" s="602"/>
      <c r="U281" s="602"/>
      <c r="V281" s="602"/>
      <c r="W281" s="602"/>
      <c r="X281" s="602"/>
      <c r="Y281" s="602"/>
      <c r="Z281" s="602"/>
      <c r="AA281" s="602"/>
      <c r="AB281" s="602"/>
      <c r="AC281" s="602"/>
      <c r="AD281" s="602"/>
      <c r="AE281" s="602"/>
      <c r="AF281" s="602"/>
      <c r="AG281" s="602"/>
      <c r="AH281" s="602"/>
      <c r="AI281" s="602"/>
      <c r="AJ281" s="602"/>
      <c r="AK281" s="602"/>
      <c r="AL281" s="602"/>
      <c r="AM281" s="602"/>
      <c r="AN281" s="602"/>
      <c r="AO281" s="602"/>
      <c r="AP281" s="602"/>
      <c r="AQ281" s="602"/>
      <c r="AR281" s="602"/>
      <c r="AS281" s="602"/>
      <c r="AT281" s="602"/>
      <c r="AU281" s="602"/>
      <c r="AV281" s="602"/>
      <c r="AW281" s="602"/>
      <c r="AX281" s="602"/>
      <c r="AY281" s="602"/>
      <c r="AZ281" s="602"/>
      <c r="BA281" s="602"/>
    </row>
    <row r="282" spans="2:53">
      <c r="B282" s="602"/>
      <c r="C282" s="602"/>
      <c r="D282" s="602"/>
      <c r="G282" s="602"/>
      <c r="H282" s="602"/>
      <c r="I282" s="602"/>
      <c r="J282" s="602"/>
      <c r="K282" s="602"/>
      <c r="L282" s="602"/>
      <c r="M282" s="602"/>
      <c r="N282" s="602"/>
      <c r="O282" s="602"/>
      <c r="P282" s="602"/>
      <c r="Q282" s="602"/>
      <c r="R282" s="602"/>
      <c r="S282" s="602"/>
      <c r="T282" s="602"/>
      <c r="U282" s="602"/>
      <c r="V282" s="602"/>
      <c r="W282" s="602"/>
      <c r="X282" s="602"/>
      <c r="Y282" s="602"/>
      <c r="Z282" s="602"/>
      <c r="AA282" s="602"/>
      <c r="AB282" s="602"/>
      <c r="AC282" s="602"/>
      <c r="AD282" s="602"/>
      <c r="AE282" s="602"/>
      <c r="AF282" s="602"/>
      <c r="AG282" s="602"/>
      <c r="AH282" s="602"/>
      <c r="AI282" s="602"/>
      <c r="AJ282" s="602"/>
      <c r="AK282" s="602"/>
      <c r="AL282" s="602"/>
      <c r="AM282" s="602"/>
      <c r="AN282" s="602"/>
      <c r="AO282" s="602"/>
      <c r="AP282" s="602"/>
      <c r="AQ282" s="602"/>
      <c r="AR282" s="602"/>
      <c r="AS282" s="602"/>
      <c r="AT282" s="602"/>
      <c r="AU282" s="602"/>
      <c r="AV282" s="602"/>
      <c r="AW282" s="602"/>
      <c r="AX282" s="602"/>
      <c r="AY282" s="602"/>
      <c r="AZ282" s="602"/>
      <c r="BA282" s="602"/>
    </row>
    <row r="283" spans="2:53" ht="21">
      <c r="B283" s="602"/>
      <c r="C283" s="1109" t="s">
        <v>1620</v>
      </c>
      <c r="D283" s="602" t="s">
        <v>93</v>
      </c>
      <c r="E283" s="602" t="s">
        <v>41</v>
      </c>
      <c r="F283" s="602" t="s">
        <v>40</v>
      </c>
      <c r="G283" s="602" t="s">
        <v>44</v>
      </c>
      <c r="H283" s="602"/>
      <c r="I283" s="602" t="s">
        <v>45</v>
      </c>
      <c r="J283" s="602" t="s">
        <v>76</v>
      </c>
      <c r="K283" s="602" t="s">
        <v>79</v>
      </c>
      <c r="L283" s="602"/>
      <c r="M283" s="602" t="s">
        <v>72</v>
      </c>
      <c r="N283" s="602" t="s">
        <v>73</v>
      </c>
      <c r="O283" s="602" t="s">
        <v>43</v>
      </c>
      <c r="P283" s="602"/>
      <c r="Q283" s="602"/>
      <c r="R283" s="602"/>
      <c r="S283" s="602"/>
      <c r="T283" s="602"/>
      <c r="U283" s="602"/>
      <c r="V283" s="602"/>
      <c r="W283" s="602"/>
      <c r="X283" s="602"/>
      <c r="Y283" s="602"/>
      <c r="Z283" s="602"/>
      <c r="AA283" s="602"/>
      <c r="AB283" s="602"/>
      <c r="AC283" s="602"/>
      <c r="AD283" s="602"/>
      <c r="AE283" s="602"/>
      <c r="AF283" s="602"/>
      <c r="AG283" s="602"/>
      <c r="AH283" s="602"/>
      <c r="AI283" s="602"/>
      <c r="AJ283" s="602"/>
      <c r="AK283" s="602"/>
      <c r="AL283" s="602"/>
      <c r="AM283" s="602"/>
      <c r="AN283" s="602"/>
      <c r="AO283" s="602"/>
      <c r="AP283" s="602"/>
      <c r="AQ283" s="602"/>
      <c r="AR283" s="602"/>
      <c r="AS283" s="602"/>
      <c r="AT283" s="602"/>
      <c r="AU283" s="602"/>
      <c r="AV283" s="602"/>
      <c r="AW283" s="602"/>
      <c r="AX283" s="602"/>
      <c r="AY283" s="602"/>
      <c r="AZ283" s="602"/>
      <c r="BA283" s="602"/>
    </row>
    <row r="284" spans="2:53">
      <c r="B284" s="602"/>
      <c r="C284" s="1110" t="s">
        <v>827</v>
      </c>
      <c r="D284" s="1111"/>
      <c r="E284" s="1112"/>
      <c r="F284" s="1112"/>
      <c r="G284" s="1112"/>
      <c r="H284" s="1112"/>
      <c r="I284" s="1112"/>
      <c r="J284" s="1112"/>
      <c r="K284" s="1112"/>
      <c r="L284" s="1112"/>
      <c r="M284" s="1112"/>
      <c r="N284" s="1113"/>
      <c r="O284" s="1114"/>
      <c r="P284" s="602"/>
      <c r="Q284" s="602"/>
      <c r="R284" s="602"/>
      <c r="S284" s="602"/>
      <c r="T284" s="602"/>
      <c r="U284" s="602"/>
      <c r="V284" s="602"/>
      <c r="W284" s="602"/>
      <c r="X284" s="602"/>
      <c r="Y284" s="602"/>
      <c r="Z284" s="602"/>
      <c r="AA284" s="602"/>
      <c r="AB284" s="602"/>
      <c r="AC284" s="602"/>
      <c r="AD284" s="602"/>
      <c r="AE284" s="602"/>
      <c r="AF284" s="602"/>
      <c r="AG284" s="602"/>
      <c r="AH284" s="602"/>
      <c r="AI284" s="602"/>
      <c r="AJ284" s="602"/>
      <c r="AK284" s="602"/>
      <c r="AL284" s="602"/>
      <c r="AM284" s="602"/>
      <c r="AN284" s="602"/>
      <c r="AO284" s="602"/>
      <c r="AP284" s="602"/>
      <c r="AQ284" s="602"/>
      <c r="AR284" s="602"/>
      <c r="AS284" s="602"/>
      <c r="AT284" s="602"/>
      <c r="AU284" s="602"/>
      <c r="AV284" s="602"/>
      <c r="AW284" s="602"/>
      <c r="AX284" s="602"/>
      <c r="AY284" s="602"/>
      <c r="AZ284" s="602"/>
      <c r="BA284" s="602"/>
    </row>
    <row r="285" spans="2:53" ht="24.6" thickBot="1">
      <c r="B285" s="602"/>
      <c r="C285" s="1110"/>
      <c r="D285" s="1105" t="s">
        <v>411</v>
      </c>
      <c r="E285" s="1106" t="s">
        <v>405</v>
      </c>
      <c r="F285" s="1105" t="s">
        <v>410</v>
      </c>
      <c r="G285" s="1105" t="s">
        <v>830</v>
      </c>
      <c r="H285" s="1105" t="s">
        <v>831</v>
      </c>
      <c r="I285" s="1105" t="s">
        <v>51</v>
      </c>
      <c r="J285" s="1105" t="s">
        <v>832</v>
      </c>
      <c r="K285" s="1105" t="s">
        <v>195</v>
      </c>
      <c r="L285" s="1106" t="s">
        <v>833</v>
      </c>
      <c r="M285" s="1106" t="s">
        <v>834</v>
      </c>
      <c r="N285" s="1106" t="s">
        <v>835</v>
      </c>
      <c r="O285" s="1114" t="s">
        <v>403</v>
      </c>
      <c r="P285" s="1106" t="s">
        <v>1621</v>
      </c>
      <c r="Q285" s="602"/>
      <c r="R285" s="602"/>
      <c r="S285" s="602"/>
      <c r="T285" s="602"/>
      <c r="U285" s="602"/>
      <c r="V285" s="602"/>
      <c r="W285" s="602"/>
      <c r="X285" s="602"/>
      <c r="Y285" s="602"/>
      <c r="Z285" s="602"/>
      <c r="AA285" s="602"/>
      <c r="AB285" s="602"/>
      <c r="AC285" s="602"/>
      <c r="AD285" s="602"/>
      <c r="AE285" s="602"/>
      <c r="AF285" s="602"/>
      <c r="AG285" s="602"/>
      <c r="AH285" s="602"/>
      <c r="AI285" s="602"/>
      <c r="AJ285" s="602"/>
      <c r="AK285" s="602"/>
      <c r="AL285" s="602"/>
      <c r="AM285" s="602"/>
      <c r="AN285" s="602"/>
      <c r="AO285" s="602"/>
      <c r="AP285" s="602"/>
      <c r="AQ285" s="602"/>
      <c r="AR285" s="602"/>
      <c r="AS285" s="602"/>
      <c r="AT285" s="602"/>
      <c r="AU285" s="602"/>
      <c r="AV285" s="602"/>
      <c r="AW285" s="602"/>
      <c r="AX285" s="602"/>
      <c r="AY285" s="602"/>
      <c r="AZ285" s="602"/>
      <c r="BA285" s="602"/>
    </row>
    <row r="286" spans="2:53" ht="13.8" thickBot="1">
      <c r="B286" s="602"/>
      <c r="C286" s="1107">
        <v>2018</v>
      </c>
      <c r="D286" s="1108">
        <v>78.592912119302227</v>
      </c>
      <c r="E286" s="1115">
        <v>53.422183381850253</v>
      </c>
      <c r="F286" s="1115">
        <v>22.935796128023767</v>
      </c>
      <c r="G286" s="1115">
        <v>67.735141438725293</v>
      </c>
      <c r="H286" s="1115">
        <v>101.50107579472352</v>
      </c>
      <c r="I286" s="1108">
        <v>101.50107579472352</v>
      </c>
      <c r="J286" s="1108">
        <v>102.40107579472352</v>
      </c>
      <c r="K286" s="1108">
        <v>99.501075794723519</v>
      </c>
      <c r="L286" s="1108">
        <v>69.494890781791952</v>
      </c>
      <c r="M286" s="1108">
        <v>69.494890781791952</v>
      </c>
      <c r="N286" s="1108">
        <v>45.179472202489855</v>
      </c>
      <c r="O286" s="1116">
        <v>41.634898055339931</v>
      </c>
      <c r="P286" s="1108">
        <v>1.018306654608963</v>
      </c>
      <c r="Q286" s="602"/>
      <c r="R286" s="602"/>
      <c r="S286" s="602"/>
      <c r="T286" s="602"/>
      <c r="U286" s="602"/>
      <c r="V286" s="602"/>
      <c r="W286" s="602"/>
      <c r="X286" s="602"/>
      <c r="Y286" s="602"/>
      <c r="Z286" s="602"/>
      <c r="AA286" s="602"/>
      <c r="AB286" s="602"/>
      <c r="AC286" s="602"/>
      <c r="AD286" s="602"/>
      <c r="AE286" s="602"/>
      <c r="AF286" s="602"/>
      <c r="AG286" s="602"/>
      <c r="AH286" s="602"/>
      <c r="AI286" s="602"/>
      <c r="AJ286" s="602"/>
      <c r="AK286" s="602"/>
      <c r="AL286" s="602"/>
      <c r="AM286" s="602"/>
      <c r="AN286" s="602"/>
      <c r="AO286" s="602"/>
      <c r="AP286" s="602"/>
      <c r="AQ286" s="602"/>
      <c r="AR286" s="602"/>
      <c r="AS286" s="602"/>
      <c r="AT286" s="602"/>
      <c r="AU286" s="602"/>
      <c r="AV286" s="602"/>
      <c r="AW286" s="602"/>
      <c r="AX286" s="602"/>
      <c r="AY286" s="602"/>
      <c r="AZ286" s="602"/>
      <c r="BA286" s="602"/>
    </row>
    <row r="287" spans="2:53">
      <c r="B287" s="602"/>
      <c r="C287" s="1107">
        <v>2019</v>
      </c>
      <c r="D287" s="1108">
        <v>72.66780821917807</v>
      </c>
      <c r="E287" s="1115">
        <v>34.261011240620462</v>
      </c>
      <c r="F287" s="1115">
        <v>15.532766006190153</v>
      </c>
      <c r="G287" s="1115">
        <v>61.821029259474152</v>
      </c>
      <c r="H287" s="1115">
        <v>95.586963615472371</v>
      </c>
      <c r="I287" s="1108">
        <v>95.586963615472371</v>
      </c>
      <c r="J287" s="1108">
        <v>97.746963615472367</v>
      </c>
      <c r="K287" s="1108">
        <v>92.996963615472367</v>
      </c>
      <c r="L287" s="1108">
        <v>69.433019142282461</v>
      </c>
      <c r="M287" s="1108">
        <v>79.702433091587693</v>
      </c>
      <c r="N287" s="1108">
        <v>45.117600562980392</v>
      </c>
      <c r="O287" s="1116">
        <v>41.634898055339931</v>
      </c>
      <c r="P287" s="1108">
        <v>0.99989766317485917</v>
      </c>
      <c r="Q287" s="602"/>
      <c r="R287" s="602"/>
      <c r="S287" s="602"/>
      <c r="T287" s="602"/>
      <c r="U287" s="602"/>
      <c r="V287" s="602"/>
      <c r="W287" s="602"/>
      <c r="X287" s="602"/>
      <c r="Y287" s="602"/>
      <c r="Z287" s="602"/>
      <c r="AA287" s="602"/>
      <c r="AB287" s="602"/>
      <c r="AC287" s="602"/>
      <c r="AD287" s="602"/>
      <c r="AE287" s="602"/>
      <c r="AF287" s="602"/>
      <c r="AG287" s="602"/>
      <c r="AH287" s="602"/>
      <c r="AI287" s="602"/>
      <c r="AJ287" s="602"/>
      <c r="AK287" s="602"/>
      <c r="AL287" s="602"/>
      <c r="AM287" s="602"/>
      <c r="AN287" s="602"/>
      <c r="AO287" s="602"/>
      <c r="AP287" s="602"/>
      <c r="AQ287" s="602"/>
      <c r="AR287" s="602"/>
      <c r="AS287" s="602"/>
      <c r="AT287" s="602"/>
      <c r="AU287" s="602"/>
      <c r="AV287" s="602"/>
      <c r="AW287" s="602"/>
      <c r="AX287" s="602"/>
      <c r="AY287" s="602"/>
      <c r="AZ287" s="602"/>
      <c r="BA287" s="602"/>
    </row>
    <row r="288" spans="2:53">
      <c r="B288" s="602"/>
      <c r="C288" s="1107">
        <v>2020</v>
      </c>
      <c r="D288" s="1108">
        <v>71.191547947610658</v>
      </c>
      <c r="E288" s="1115">
        <v>33.397849986482257</v>
      </c>
      <c r="F288" s="1115">
        <v>12.929551889587877</v>
      </c>
      <c r="G288" s="1115">
        <v>60.341090730548601</v>
      </c>
      <c r="H288" s="1115">
        <v>94.107025086546813</v>
      </c>
      <c r="I288" s="1108">
        <v>94.107025086546813</v>
      </c>
      <c r="J288" s="1108">
        <v>96.267025086546809</v>
      </c>
      <c r="K288" s="1108">
        <v>91.517025086546809</v>
      </c>
      <c r="L288" s="1108">
        <v>59.910194122791161</v>
      </c>
      <c r="M288" s="1108">
        <v>70.05883849089301</v>
      </c>
      <c r="N288" s="1108">
        <v>45.248389703133633</v>
      </c>
      <c r="O288" s="1117">
        <v>41.962449107096752</v>
      </c>
      <c r="P288" s="1108">
        <v>0.97786502855281787</v>
      </c>
      <c r="Q288" s="602"/>
      <c r="R288" s="602"/>
      <c r="S288" s="602"/>
      <c r="T288" s="602"/>
      <c r="U288" s="602"/>
      <c r="V288" s="602"/>
      <c r="W288" s="602"/>
      <c r="X288" s="602"/>
      <c r="Y288" s="602"/>
      <c r="Z288" s="602"/>
      <c r="AA288" s="602"/>
      <c r="AB288" s="602"/>
      <c r="AC288" s="602"/>
      <c r="AD288" s="602"/>
      <c r="AE288" s="602"/>
      <c r="AF288" s="602"/>
      <c r="AG288" s="602"/>
      <c r="AH288" s="602"/>
      <c r="AI288" s="602"/>
      <c r="AJ288" s="602"/>
      <c r="AK288" s="602"/>
      <c r="AL288" s="602"/>
      <c r="AM288" s="602"/>
      <c r="AN288" s="602"/>
      <c r="AO288" s="602"/>
      <c r="AP288" s="602"/>
      <c r="AQ288" s="602"/>
      <c r="AR288" s="602"/>
      <c r="AS288" s="602"/>
      <c r="AT288" s="602"/>
      <c r="AU288" s="602"/>
      <c r="AV288" s="602"/>
      <c r="AW288" s="602"/>
      <c r="AX288" s="602"/>
      <c r="AY288" s="602"/>
      <c r="AZ288" s="602"/>
      <c r="BA288" s="602"/>
    </row>
    <row r="289" spans="2:53">
      <c r="B289" s="602"/>
      <c r="C289" s="1107">
        <v>2021</v>
      </c>
      <c r="D289" s="1108">
        <v>49.181117057429148</v>
      </c>
      <c r="E289" s="1115">
        <v>31.525290025438199</v>
      </c>
      <c r="F289" s="1115">
        <v>13.166058954324894</v>
      </c>
      <c r="G289" s="1115">
        <v>38.35700531918522</v>
      </c>
      <c r="H289" s="1115">
        <v>72.122939675183432</v>
      </c>
      <c r="I289" s="1108">
        <v>72.122939675183432</v>
      </c>
      <c r="J289" s="1108">
        <v>74.282939675183428</v>
      </c>
      <c r="K289" s="1108">
        <v>69.532939675183428</v>
      </c>
      <c r="L289" s="1108">
        <v>62.854344413402906</v>
      </c>
      <c r="M289" s="1108">
        <v>72.96988813207048</v>
      </c>
      <c r="N289" s="1108">
        <v>45.190250127598674</v>
      </c>
      <c r="O289" s="1117">
        <v>42.37591413450582</v>
      </c>
      <c r="P289" s="1108">
        <v>0.96452741381447771</v>
      </c>
      <c r="Q289" s="602"/>
      <c r="R289" s="602"/>
      <c r="S289" s="602"/>
      <c r="T289" s="602"/>
      <c r="U289" s="602"/>
      <c r="V289" s="602"/>
      <c r="W289" s="602"/>
      <c r="X289" s="602"/>
      <c r="Y289" s="602"/>
      <c r="Z289" s="602"/>
      <c r="AA289" s="602"/>
      <c r="AB289" s="602"/>
      <c r="AC289" s="602"/>
      <c r="AD289" s="602"/>
      <c r="AE289" s="602"/>
      <c r="AF289" s="602"/>
      <c r="AG289" s="602"/>
      <c r="AH289" s="602"/>
      <c r="AI289" s="602"/>
      <c r="AJ289" s="602"/>
      <c r="AK289" s="602"/>
      <c r="AL289" s="602"/>
      <c r="AM289" s="602"/>
      <c r="AN289" s="602"/>
      <c r="AO289" s="602"/>
      <c r="AP289" s="602"/>
      <c r="AQ289" s="602"/>
      <c r="AR289" s="602"/>
      <c r="AS289" s="602"/>
      <c r="AT289" s="602"/>
      <c r="AU289" s="602"/>
      <c r="AV289" s="602"/>
      <c r="AW289" s="602"/>
      <c r="AX289" s="602"/>
      <c r="AY289" s="602"/>
      <c r="AZ289" s="602"/>
      <c r="BA289" s="602"/>
    </row>
    <row r="290" spans="2:53">
      <c r="B290" s="602"/>
      <c r="C290" s="1107">
        <v>2022</v>
      </c>
      <c r="D290" s="1108">
        <v>52.581323432074825</v>
      </c>
      <c r="E290" s="1115">
        <v>32.762548621541896</v>
      </c>
      <c r="F290" s="1115">
        <v>13.673473481430243</v>
      </c>
      <c r="G290" s="1115">
        <v>41.765504189889249</v>
      </c>
      <c r="H290" s="1115">
        <v>75.531438545887454</v>
      </c>
      <c r="I290" s="1108">
        <v>75.531438545887454</v>
      </c>
      <c r="J290" s="1108">
        <v>77.691438545887451</v>
      </c>
      <c r="K290" s="1108">
        <v>72.941438545887451</v>
      </c>
      <c r="L290" s="1108">
        <v>63.172513966646889</v>
      </c>
      <c r="M290" s="1108">
        <v>73.266464764716645</v>
      </c>
      <c r="N290" s="1108">
        <v>45.392121473736516</v>
      </c>
      <c r="O290" s="1117">
        <v>42.791201303703261</v>
      </c>
      <c r="P290" s="1108">
        <v>0.94807328173912164</v>
      </c>
      <c r="Q290" s="602"/>
      <c r="R290" s="602"/>
      <c r="S290" s="602"/>
      <c r="T290" s="602"/>
      <c r="U290" s="602"/>
      <c r="V290" s="602"/>
      <c r="W290" s="602"/>
      <c r="X290" s="602"/>
      <c r="Y290" s="602"/>
      <c r="Z290" s="602"/>
      <c r="AA290" s="602"/>
      <c r="AB290" s="602"/>
      <c r="AC290" s="602"/>
      <c r="AD290" s="602"/>
      <c r="AE290" s="602"/>
      <c r="AF290" s="602"/>
      <c r="AG290" s="602"/>
      <c r="AH290" s="602"/>
      <c r="AI290" s="602"/>
      <c r="AJ290" s="602"/>
      <c r="AK290" s="602"/>
      <c r="AL290" s="602"/>
      <c r="AM290" s="602"/>
      <c r="AN290" s="602"/>
      <c r="AO290" s="602"/>
      <c r="AP290" s="602"/>
      <c r="AQ290" s="602"/>
      <c r="AR290" s="602"/>
      <c r="AS290" s="602"/>
      <c r="AT290" s="602"/>
      <c r="AU290" s="602"/>
      <c r="AV290" s="602"/>
      <c r="AW290" s="602"/>
      <c r="AX290" s="602"/>
      <c r="AY290" s="602"/>
      <c r="AZ290" s="602"/>
      <c r="BA290" s="602"/>
    </row>
    <row r="291" spans="2:53">
      <c r="B291" s="602"/>
      <c r="C291" s="1107">
        <v>2023</v>
      </c>
      <c r="D291" s="1108">
        <v>54.889966476332738</v>
      </c>
      <c r="E291" s="1115">
        <v>33.367688312875465</v>
      </c>
      <c r="F291" s="1115">
        <v>14.173926683886389</v>
      </c>
      <c r="G291" s="1115">
        <v>44.088588085044584</v>
      </c>
      <c r="H291" s="1115">
        <v>77.854522441042789</v>
      </c>
      <c r="I291" s="1108">
        <v>77.854522441042789</v>
      </c>
      <c r="J291" s="1108">
        <v>80.014522441042786</v>
      </c>
      <c r="K291" s="1108">
        <v>75.264522441042786</v>
      </c>
      <c r="L291" s="1108">
        <v>62.478874618815077</v>
      </c>
      <c r="M291" s="1108">
        <v>72.556552851440529</v>
      </c>
      <c r="N291" s="1108">
        <v>45.644433925671841</v>
      </c>
      <c r="O291" s="1117">
        <v>43.208184541451871</v>
      </c>
      <c r="P291" s="1108">
        <v>0.93311916436423892</v>
      </c>
      <c r="Q291" s="602"/>
      <c r="R291" s="602"/>
      <c r="S291" s="602"/>
      <c r="T291" s="602"/>
      <c r="U291" s="602"/>
      <c r="V291" s="602"/>
      <c r="W291" s="602"/>
      <c r="X291" s="602"/>
      <c r="Y291" s="602"/>
      <c r="Z291" s="602"/>
      <c r="AA291" s="602"/>
      <c r="AB291" s="602"/>
      <c r="AC291" s="602"/>
      <c r="AD291" s="602"/>
      <c r="AE291" s="602"/>
      <c r="AF291" s="602"/>
      <c r="AG291" s="602"/>
      <c r="AH291" s="602"/>
      <c r="AI291" s="602"/>
      <c r="AJ291" s="602"/>
      <c r="AK291" s="602"/>
      <c r="AL291" s="602"/>
      <c r="AM291" s="602"/>
      <c r="AN291" s="602"/>
      <c r="AO291" s="602"/>
      <c r="AP291" s="602"/>
      <c r="AQ291" s="602"/>
      <c r="AR291" s="602"/>
      <c r="AS291" s="602"/>
      <c r="AT291" s="602"/>
      <c r="AU291" s="602"/>
      <c r="AV291" s="602"/>
      <c r="AW291" s="602"/>
      <c r="AX291" s="602"/>
      <c r="AY291" s="602"/>
      <c r="AZ291" s="602"/>
      <c r="BA291" s="602"/>
    </row>
    <row r="292" spans="2:53">
      <c r="B292" s="602"/>
      <c r="C292" s="1107">
        <v>2024</v>
      </c>
      <c r="D292" s="1108">
        <v>56.568388062461416</v>
      </c>
      <c r="E292" s="1115">
        <v>33.567123920362071</v>
      </c>
      <c r="F292" s="1115">
        <v>14.64740072098045</v>
      </c>
      <c r="G292" s="1115">
        <v>45.786797230009718</v>
      </c>
      <c r="H292" s="1115">
        <v>79.552731586007937</v>
      </c>
      <c r="I292" s="1108">
        <v>79.552731586007937</v>
      </c>
      <c r="J292" s="1108">
        <v>81.712731586007934</v>
      </c>
      <c r="K292" s="1108">
        <v>76.962731586007934</v>
      </c>
      <c r="L292" s="1108">
        <v>62.142339464339834</v>
      </c>
      <c r="M292" s="1108">
        <v>72.210497880380103</v>
      </c>
      <c r="N292" s="1108">
        <v>45.923015098100862</v>
      </c>
      <c r="O292" s="1117">
        <v>43.626739530646304</v>
      </c>
      <c r="P292" s="1108">
        <v>0.92005871726274913</v>
      </c>
      <c r="Q292" s="602"/>
      <c r="R292" s="602"/>
      <c r="S292" s="602"/>
      <c r="T292" s="602"/>
      <c r="U292" s="602"/>
      <c r="V292" s="602"/>
      <c r="W292" s="602"/>
      <c r="X292" s="602"/>
      <c r="Y292" s="602"/>
      <c r="Z292" s="602"/>
      <c r="AA292" s="602"/>
      <c r="AB292" s="602"/>
      <c r="AC292" s="602"/>
      <c r="AD292" s="602"/>
      <c r="AE292" s="602"/>
      <c r="AF292" s="602"/>
      <c r="AG292" s="602"/>
      <c r="AH292" s="602"/>
      <c r="AI292" s="602"/>
      <c r="AJ292" s="602"/>
      <c r="AK292" s="602"/>
      <c r="AL292" s="602"/>
      <c r="AM292" s="602"/>
      <c r="AN292" s="602"/>
      <c r="AO292" s="602"/>
      <c r="AP292" s="602"/>
      <c r="AQ292" s="602"/>
      <c r="AR292" s="602"/>
      <c r="AS292" s="602"/>
      <c r="AT292" s="602"/>
      <c r="AU292" s="602"/>
      <c r="AV292" s="602"/>
      <c r="AW292" s="602"/>
      <c r="AX292" s="602"/>
      <c r="AY292" s="602"/>
      <c r="AZ292" s="602"/>
      <c r="BA292" s="602"/>
    </row>
    <row r="293" spans="2:53">
      <c r="B293" s="602"/>
      <c r="C293" s="1107">
        <v>2025</v>
      </c>
      <c r="D293" s="1108">
        <v>57.786429057350325</v>
      </c>
      <c r="E293" s="1115">
        <v>33.506083462913665</v>
      </c>
      <c r="F293" s="1115">
        <v>14.580898828103843</v>
      </c>
      <c r="G293" s="1115">
        <v>47.023275056537912</v>
      </c>
      <c r="H293" s="1115">
        <v>80.789209412536124</v>
      </c>
      <c r="I293" s="1108">
        <v>80.789209412536124</v>
      </c>
      <c r="J293" s="1108">
        <v>82.949209412536121</v>
      </c>
      <c r="K293" s="1108">
        <v>78.199209412536121</v>
      </c>
      <c r="L293" s="1108">
        <v>61.840436911371611</v>
      </c>
      <c r="M293" s="1108">
        <v>71.898055834432554</v>
      </c>
      <c r="N293" s="1108">
        <v>46.207001444406053</v>
      </c>
      <c r="O293" s="1117">
        <v>44.046743692103149</v>
      </c>
      <c r="P293" s="1108">
        <v>0.90676241471011532</v>
      </c>
      <c r="Q293" s="602"/>
      <c r="R293" s="602"/>
      <c r="S293" s="602"/>
      <c r="T293" s="602"/>
      <c r="U293" s="602"/>
      <c r="V293" s="602"/>
      <c r="W293" s="602"/>
      <c r="X293" s="602"/>
      <c r="Y293" s="602"/>
      <c r="Z293" s="602"/>
      <c r="AA293" s="602"/>
      <c r="AB293" s="602"/>
      <c r="AC293" s="602"/>
      <c r="AD293" s="602"/>
      <c r="AE293" s="602"/>
      <c r="AF293" s="602"/>
      <c r="AG293" s="602"/>
      <c r="AH293" s="602"/>
      <c r="AI293" s="602"/>
      <c r="AJ293" s="602"/>
      <c r="AK293" s="602"/>
      <c r="AL293" s="602"/>
      <c r="AM293" s="602"/>
      <c r="AN293" s="602"/>
      <c r="AO293" s="602"/>
      <c r="AP293" s="602"/>
      <c r="AQ293" s="602"/>
      <c r="AR293" s="602"/>
      <c r="AS293" s="602"/>
      <c r="AT293" s="602"/>
      <c r="AU293" s="602"/>
      <c r="AV293" s="602"/>
      <c r="AW293" s="602"/>
      <c r="AX293" s="602"/>
      <c r="AY293" s="602"/>
      <c r="AZ293" s="602"/>
      <c r="BA293" s="602"/>
    </row>
    <row r="294" spans="2:53">
      <c r="B294" s="602"/>
      <c r="C294" s="1107">
        <v>2026</v>
      </c>
      <c r="D294" s="1108">
        <v>59.146270171698553</v>
      </c>
      <c r="E294" s="1115">
        <v>33.467639204304064</v>
      </c>
      <c r="F294" s="1115">
        <v>14.5316584938834</v>
      </c>
      <c r="G294" s="1115">
        <v>48.388738394847046</v>
      </c>
      <c r="H294" s="1115">
        <v>82.154672750845265</v>
      </c>
      <c r="I294" s="1108">
        <v>82.154672750845265</v>
      </c>
      <c r="J294" s="1108">
        <v>84.314672750845261</v>
      </c>
      <c r="K294" s="1108">
        <v>79.564672750845261</v>
      </c>
      <c r="L294" s="1108">
        <v>61.559038676176264</v>
      </c>
      <c r="M294" s="1108">
        <v>71.654987558314588</v>
      </c>
      <c r="N294" s="1108">
        <v>46.419730980267232</v>
      </c>
      <c r="O294" s="1117">
        <v>44.303492323512977</v>
      </c>
      <c r="P294" s="1108">
        <v>0.89032177619719322</v>
      </c>
      <c r="Q294" s="602"/>
      <c r="R294" s="602"/>
      <c r="S294" s="602"/>
      <c r="T294" s="602"/>
      <c r="U294" s="602"/>
      <c r="V294" s="602"/>
      <c r="W294" s="602"/>
      <c r="X294" s="602"/>
      <c r="Y294" s="602"/>
      <c r="Z294" s="602"/>
      <c r="AA294" s="602"/>
      <c r="AB294" s="602"/>
      <c r="AC294" s="602"/>
      <c r="AD294" s="602"/>
      <c r="AE294" s="602"/>
      <c r="AF294" s="602"/>
      <c r="AG294" s="602"/>
      <c r="AH294" s="602"/>
      <c r="AI294" s="602"/>
      <c r="AJ294" s="602"/>
      <c r="AK294" s="602"/>
      <c r="AL294" s="602"/>
      <c r="AM294" s="602"/>
      <c r="AN294" s="602"/>
      <c r="AO294" s="602"/>
      <c r="AP294" s="602"/>
      <c r="AQ294" s="602"/>
      <c r="AR294" s="602"/>
      <c r="AS294" s="602"/>
      <c r="AT294" s="602"/>
      <c r="AU294" s="602"/>
      <c r="AV294" s="602"/>
      <c r="AW294" s="602"/>
      <c r="AX294" s="602"/>
      <c r="AY294" s="602"/>
      <c r="AZ294" s="602"/>
      <c r="BA294" s="602"/>
    </row>
    <row r="295" spans="2:53">
      <c r="B295" s="602"/>
      <c r="C295" s="1107">
        <v>2027</v>
      </c>
      <c r="D295" s="1108">
        <v>60.478046986869018</v>
      </c>
      <c r="E295" s="1115">
        <v>33.442947086231669</v>
      </c>
      <c r="F295" s="1115">
        <v>14.477230593088336</v>
      </c>
      <c r="G295" s="1115">
        <v>49.726877161691675</v>
      </c>
      <c r="H295" s="1115">
        <v>83.492811517689887</v>
      </c>
      <c r="I295" s="1108">
        <v>83.492811517689887</v>
      </c>
      <c r="J295" s="1108">
        <v>85.652811517689884</v>
      </c>
      <c r="K295" s="1108">
        <v>80.902811517689884</v>
      </c>
      <c r="L295" s="1108">
        <v>61.304552221855602</v>
      </c>
      <c r="M295" s="1108">
        <v>71.438770667888747</v>
      </c>
      <c r="N295" s="1108">
        <v>46.631059323825987</v>
      </c>
      <c r="O295" s="1117">
        <v>44.56044844066794</v>
      </c>
      <c r="P295" s="1108">
        <v>0.87425828973292308</v>
      </c>
      <c r="Q295" s="602"/>
      <c r="R295" s="602"/>
      <c r="S295" s="602"/>
      <c r="T295" s="602"/>
      <c r="U295" s="602"/>
      <c r="V295" s="602"/>
      <c r="W295" s="602"/>
      <c r="X295" s="602"/>
      <c r="Y295" s="602"/>
      <c r="Z295" s="602"/>
      <c r="AA295" s="602"/>
      <c r="AB295" s="602"/>
      <c r="AC295" s="602"/>
      <c r="AD295" s="602"/>
      <c r="AE295" s="602"/>
      <c r="AF295" s="602"/>
      <c r="AG295" s="602"/>
      <c r="AH295" s="602"/>
      <c r="AI295" s="602"/>
      <c r="AJ295" s="602"/>
      <c r="AK295" s="602"/>
      <c r="AL295" s="602"/>
      <c r="AM295" s="602"/>
      <c r="AN295" s="602"/>
      <c r="AO295" s="602"/>
      <c r="AP295" s="602"/>
      <c r="AQ295" s="602"/>
      <c r="AR295" s="602"/>
      <c r="AS295" s="602"/>
      <c r="AT295" s="602"/>
      <c r="AU295" s="602"/>
      <c r="AV295" s="602"/>
      <c r="AW295" s="602"/>
      <c r="AX295" s="602"/>
      <c r="AY295" s="602"/>
      <c r="AZ295" s="602"/>
      <c r="BA295" s="602"/>
    </row>
    <row r="296" spans="2:53">
      <c r="B296" s="602"/>
      <c r="C296" s="1107">
        <v>2028</v>
      </c>
      <c r="D296" s="1108">
        <v>61.703174257304624</v>
      </c>
      <c r="E296" s="1115">
        <v>33.42179959045346</v>
      </c>
      <c r="F296" s="1115">
        <v>14.413190648189367</v>
      </c>
      <c r="G296" s="1115">
        <v>50.957998458731836</v>
      </c>
      <c r="H296" s="1115">
        <v>84.723932814730048</v>
      </c>
      <c r="I296" s="1108">
        <v>84.723932814730048</v>
      </c>
      <c r="J296" s="1108">
        <v>86.883932814730045</v>
      </c>
      <c r="K296" s="1108">
        <v>82.133932814730045</v>
      </c>
      <c r="L296" s="1108">
        <v>61.075127920444082</v>
      </c>
      <c r="M296" s="1108">
        <v>71.247553781993901</v>
      </c>
      <c r="N296" s="1108">
        <v>46.839924523073165</v>
      </c>
      <c r="O296" s="1117">
        <v>44.817607952103295</v>
      </c>
      <c r="P296" s="1108">
        <v>0.85823047344328252</v>
      </c>
      <c r="Q296" s="602"/>
      <c r="R296" s="602"/>
      <c r="S296" s="602"/>
      <c r="T296" s="602"/>
      <c r="U296" s="602"/>
      <c r="V296" s="602"/>
      <c r="W296" s="602"/>
      <c r="X296" s="602"/>
      <c r="Y296" s="602"/>
      <c r="Z296" s="602"/>
      <c r="AA296" s="602"/>
      <c r="AB296" s="602"/>
      <c r="AC296" s="602"/>
      <c r="AD296" s="602"/>
      <c r="AE296" s="602"/>
      <c r="AF296" s="602"/>
      <c r="AG296" s="602"/>
      <c r="AH296" s="602"/>
      <c r="AI296" s="602"/>
      <c r="AJ296" s="602"/>
      <c r="AK296" s="602"/>
      <c r="AL296" s="602"/>
      <c r="AM296" s="602"/>
      <c r="AN296" s="602"/>
      <c r="AO296" s="602"/>
      <c r="AP296" s="602"/>
      <c r="AQ296" s="602"/>
      <c r="AR296" s="602"/>
      <c r="AS296" s="602"/>
      <c r="AT296" s="602"/>
      <c r="AU296" s="602"/>
      <c r="AV296" s="602"/>
      <c r="AW296" s="602"/>
      <c r="AX296" s="602"/>
      <c r="AY296" s="602"/>
      <c r="AZ296" s="602"/>
      <c r="BA296" s="602"/>
    </row>
    <row r="297" spans="2:53">
      <c r="B297" s="602"/>
      <c r="C297" s="1107">
        <v>2029</v>
      </c>
      <c r="D297" s="1108">
        <v>62.989602327697277</v>
      </c>
      <c r="E297" s="1115">
        <v>33.414220248022303</v>
      </c>
      <c r="F297" s="1115">
        <v>14.343963605486476</v>
      </c>
      <c r="G297" s="1115">
        <v>52.250750345664912</v>
      </c>
      <c r="H297" s="1115">
        <v>86.016684701663124</v>
      </c>
      <c r="I297" s="1108">
        <v>86.016684701663124</v>
      </c>
      <c r="J297" s="1108">
        <v>88.17668470166312</v>
      </c>
      <c r="K297" s="1108">
        <v>83.42668470166312</v>
      </c>
      <c r="L297" s="1108">
        <v>60.879811326662022</v>
      </c>
      <c r="M297" s="1108">
        <v>71.090380717662555</v>
      </c>
      <c r="N297" s="1108">
        <v>47.054043906757286</v>
      </c>
      <c r="O297" s="1117">
        <v>45.074966809344929</v>
      </c>
      <c r="P297" s="1108">
        <v>0.84270389124070177</v>
      </c>
      <c r="Q297" s="602"/>
      <c r="R297" s="602"/>
      <c r="S297" s="602"/>
      <c r="T297" s="602"/>
      <c r="U297" s="602"/>
      <c r="V297" s="602"/>
      <c r="W297" s="602"/>
      <c r="X297" s="602"/>
      <c r="Y297" s="602"/>
      <c r="Z297" s="602"/>
      <c r="AA297" s="602"/>
      <c r="AB297" s="602"/>
      <c r="AC297" s="602"/>
      <c r="AD297" s="602"/>
      <c r="AE297" s="602"/>
      <c r="AF297" s="602"/>
      <c r="AG297" s="602"/>
      <c r="AH297" s="602"/>
      <c r="AI297" s="602"/>
      <c r="AJ297" s="602"/>
      <c r="AK297" s="602"/>
      <c r="AL297" s="602"/>
      <c r="AM297" s="602"/>
      <c r="AN297" s="602"/>
      <c r="AO297" s="602"/>
      <c r="AP297" s="602"/>
      <c r="AQ297" s="602"/>
      <c r="AR297" s="602"/>
      <c r="AS297" s="602"/>
      <c r="AT297" s="602"/>
      <c r="AU297" s="602"/>
      <c r="AV297" s="602"/>
      <c r="AW297" s="602"/>
      <c r="AX297" s="602"/>
      <c r="AY297" s="602"/>
      <c r="AZ297" s="602"/>
      <c r="BA297" s="602"/>
    </row>
    <row r="298" spans="2:53">
      <c r="B298" s="602"/>
      <c r="C298" s="1107">
        <v>2030</v>
      </c>
      <c r="D298" s="1108">
        <v>64.209121548162642</v>
      </c>
      <c r="E298" s="1115">
        <v>33.412152610409883</v>
      </c>
      <c r="F298" s="1115">
        <v>14.266503152082981</v>
      </c>
      <c r="G298" s="1115">
        <v>53.473940246602353</v>
      </c>
      <c r="H298" s="1115">
        <v>87.239874602600565</v>
      </c>
      <c r="I298" s="1108">
        <v>87.239874602600565</v>
      </c>
      <c r="J298" s="1108">
        <v>89.399874602600562</v>
      </c>
      <c r="K298" s="1108">
        <v>84.649874602600562</v>
      </c>
      <c r="L298" s="1108">
        <v>60.705878120268423</v>
      </c>
      <c r="M298" s="1108">
        <v>70.954525432358807</v>
      </c>
      <c r="N298" s="1108">
        <v>47.263106384197172</v>
      </c>
      <c r="O298" s="1117">
        <v>45.332521006394593</v>
      </c>
      <c r="P298" s="1108">
        <v>0.8270052796536449</v>
      </c>
      <c r="Q298" s="602"/>
      <c r="R298" s="602"/>
      <c r="S298" s="602"/>
      <c r="T298" s="602"/>
      <c r="U298" s="602"/>
      <c r="V298" s="602"/>
      <c r="W298" s="602"/>
      <c r="X298" s="602"/>
      <c r="Y298" s="602"/>
      <c r="Z298" s="602"/>
      <c r="AA298" s="602"/>
      <c r="AB298" s="602"/>
      <c r="AC298" s="602"/>
      <c r="AD298" s="602"/>
      <c r="AE298" s="602"/>
      <c r="AF298" s="602"/>
      <c r="AG298" s="602"/>
      <c r="AH298" s="602"/>
      <c r="AI298" s="602"/>
      <c r="AJ298" s="602"/>
      <c r="AK298" s="602"/>
      <c r="AL298" s="602"/>
      <c r="AM298" s="602"/>
      <c r="AN298" s="602"/>
      <c r="AO298" s="602"/>
      <c r="AP298" s="602"/>
      <c r="AQ298" s="602"/>
      <c r="AR298" s="602"/>
      <c r="AS298" s="602"/>
      <c r="AT298" s="602"/>
      <c r="AU298" s="602"/>
      <c r="AV298" s="602"/>
      <c r="AW298" s="602"/>
      <c r="AX298" s="602"/>
      <c r="AY298" s="602"/>
      <c r="AZ298" s="602"/>
      <c r="BA298" s="602"/>
    </row>
    <row r="299" spans="2:53">
      <c r="B299" s="602"/>
      <c r="C299" s="1107">
        <v>2031</v>
      </c>
      <c r="D299" s="1108">
        <v>63.901532941943884</v>
      </c>
      <c r="E299" s="1115">
        <v>33.458238338148384</v>
      </c>
      <c r="F299" s="1115">
        <v>14.23069306413351</v>
      </c>
      <c r="G299" s="1115">
        <v>53.16779648439951</v>
      </c>
      <c r="H299" s="1115">
        <v>86.933730840397715</v>
      </c>
      <c r="I299" s="1108">
        <v>86.933730840397715</v>
      </c>
      <c r="J299" s="1108">
        <v>89.093730840397711</v>
      </c>
      <c r="K299" s="1108">
        <v>84.343730840397711</v>
      </c>
      <c r="L299" s="1108">
        <v>60.70433047636952</v>
      </c>
      <c r="M299" s="1108">
        <v>70.98353554352687</v>
      </c>
      <c r="N299" s="1108">
        <v>47.363169268373781</v>
      </c>
      <c r="O299" s="1117">
        <v>45.549544275390517</v>
      </c>
      <c r="P299" s="1108">
        <v>0.81075933244600917</v>
      </c>
      <c r="Q299" s="602"/>
      <c r="R299" s="602"/>
      <c r="S299" s="602"/>
      <c r="T299" s="602"/>
      <c r="U299" s="602"/>
      <c r="V299" s="602"/>
      <c r="W299" s="602"/>
      <c r="X299" s="602"/>
      <c r="Y299" s="602"/>
      <c r="Z299" s="602"/>
      <c r="AA299" s="602"/>
      <c r="AB299" s="602"/>
      <c r="AC299" s="602"/>
      <c r="AD299" s="602"/>
      <c r="AE299" s="602"/>
      <c r="AF299" s="602"/>
      <c r="AG299" s="602"/>
      <c r="AH299" s="602"/>
      <c r="AI299" s="602"/>
      <c r="AJ299" s="602"/>
      <c r="AK299" s="602"/>
      <c r="AL299" s="602"/>
      <c r="AM299" s="602"/>
      <c r="AN299" s="602"/>
      <c r="AO299" s="602"/>
      <c r="AP299" s="602"/>
      <c r="AQ299" s="602"/>
      <c r="AR299" s="602"/>
      <c r="AS299" s="602"/>
      <c r="AT299" s="602"/>
      <c r="AU299" s="602"/>
      <c r="AV299" s="602"/>
      <c r="AW299" s="602"/>
      <c r="AX299" s="602"/>
      <c r="AY299" s="602"/>
      <c r="AZ299" s="602"/>
      <c r="BA299" s="602"/>
    </row>
    <row r="300" spans="2:53">
      <c r="B300" s="602"/>
      <c r="C300" s="1107">
        <v>2032</v>
      </c>
      <c r="D300" s="1108">
        <v>63.593944335725141</v>
      </c>
      <c r="E300" s="1115">
        <v>33.504324065886884</v>
      </c>
      <c r="F300" s="1115">
        <v>14.195037264254136</v>
      </c>
      <c r="G300" s="1115">
        <v>52.860920537900107</v>
      </c>
      <c r="H300" s="1115">
        <v>86.626854893898326</v>
      </c>
      <c r="I300" s="1108">
        <v>86.626854893898326</v>
      </c>
      <c r="J300" s="1108">
        <v>88.786854893898322</v>
      </c>
      <c r="K300" s="1108">
        <v>84.036854893898322</v>
      </c>
      <c r="L300" s="1108">
        <v>60.702548817291905</v>
      </c>
      <c r="M300" s="1108">
        <v>71.012297087670845</v>
      </c>
      <c r="N300" s="1108">
        <v>47.463048827686151</v>
      </c>
      <c r="O300" s="1117">
        <v>45.766845997017583</v>
      </c>
      <c r="P300" s="1108">
        <v>0.79472100056409223</v>
      </c>
      <c r="Q300" s="602"/>
      <c r="R300" s="602"/>
      <c r="S300" s="602"/>
      <c r="T300" s="602"/>
      <c r="U300" s="602"/>
      <c r="V300" s="602"/>
      <c r="W300" s="602"/>
      <c r="X300" s="602"/>
      <c r="Y300" s="602"/>
      <c r="Z300" s="602"/>
      <c r="AA300" s="602"/>
      <c r="AB300" s="602"/>
      <c r="AC300" s="602"/>
      <c r="AD300" s="602"/>
      <c r="AE300" s="602"/>
      <c r="AF300" s="602"/>
      <c r="AG300" s="602"/>
      <c r="AH300" s="602"/>
      <c r="AI300" s="602"/>
      <c r="AJ300" s="602"/>
      <c r="AK300" s="602"/>
      <c r="AL300" s="602"/>
      <c r="AM300" s="602"/>
      <c r="AN300" s="602"/>
      <c r="AO300" s="602"/>
      <c r="AP300" s="602"/>
      <c r="AQ300" s="602"/>
      <c r="AR300" s="602"/>
      <c r="AS300" s="602"/>
      <c r="AT300" s="602"/>
      <c r="AU300" s="602"/>
      <c r="AV300" s="602"/>
      <c r="AW300" s="602"/>
      <c r="AX300" s="602"/>
      <c r="AY300" s="602"/>
      <c r="AZ300" s="602"/>
      <c r="BA300" s="602"/>
    </row>
    <row r="301" spans="2:53">
      <c r="B301" s="602"/>
      <c r="C301" s="1107">
        <v>2033</v>
      </c>
      <c r="D301" s="1108">
        <v>63.286355729506404</v>
      </c>
      <c r="E301" s="1115">
        <v>33.550409793625377</v>
      </c>
      <c r="F301" s="1115">
        <v>14.159114470166005</v>
      </c>
      <c r="G301" s="1115">
        <v>52.55531163017308</v>
      </c>
      <c r="H301" s="1115">
        <v>86.321245986171292</v>
      </c>
      <c r="I301" s="1108">
        <v>86.321245986171292</v>
      </c>
      <c r="J301" s="1108">
        <v>88.481245986171288</v>
      </c>
      <c r="K301" s="1108">
        <v>83.731245986171288</v>
      </c>
      <c r="L301" s="1108">
        <v>60.700536499539886</v>
      </c>
      <c r="M301" s="1108">
        <v>71.040811038704931</v>
      </c>
      <c r="N301" s="1108">
        <v>47.562746231205452</v>
      </c>
      <c r="O301" s="1117">
        <v>45.93621057509371</v>
      </c>
      <c r="P301" s="1108">
        <v>0.77922098994212197</v>
      </c>
      <c r="Q301" s="602"/>
      <c r="R301" s="602"/>
      <c r="S301" s="602"/>
      <c r="T301" s="602"/>
      <c r="U301" s="602"/>
      <c r="V301" s="602"/>
      <c r="W301" s="602"/>
      <c r="X301" s="602"/>
      <c r="Y301" s="602"/>
      <c r="Z301" s="602"/>
      <c r="AA301" s="602"/>
      <c r="AB301" s="602"/>
      <c r="AC301" s="602"/>
      <c r="AD301" s="602"/>
      <c r="AE301" s="602"/>
      <c r="AF301" s="602"/>
      <c r="AG301" s="602"/>
      <c r="AH301" s="602"/>
      <c r="AI301" s="602"/>
      <c r="AJ301" s="602"/>
      <c r="AK301" s="602"/>
      <c r="AL301" s="602"/>
      <c r="AM301" s="602"/>
      <c r="AN301" s="602"/>
      <c r="AO301" s="602"/>
      <c r="AP301" s="602"/>
      <c r="AQ301" s="602"/>
      <c r="AR301" s="602"/>
      <c r="AS301" s="602"/>
      <c r="AT301" s="602"/>
      <c r="AU301" s="602"/>
      <c r="AV301" s="602"/>
      <c r="AW301" s="602"/>
      <c r="AX301" s="602"/>
      <c r="AY301" s="602"/>
      <c r="AZ301" s="602"/>
      <c r="BA301" s="602"/>
    </row>
    <row r="302" spans="2:53">
      <c r="B302" s="602"/>
      <c r="C302" s="1107">
        <v>2034</v>
      </c>
      <c r="D302" s="1108">
        <v>62.978767123287653</v>
      </c>
      <c r="E302" s="1115">
        <v>33.59649552136387</v>
      </c>
      <c r="F302" s="1115">
        <v>14.123353426479357</v>
      </c>
      <c r="G302" s="1115">
        <v>52.248935125159633</v>
      </c>
      <c r="H302" s="1115">
        <v>86.014869481157845</v>
      </c>
      <c r="I302" s="1108">
        <v>86.014869481157845</v>
      </c>
      <c r="J302" s="1108">
        <v>88.174869481157842</v>
      </c>
      <c r="K302" s="1108">
        <v>83.424869481157842</v>
      </c>
      <c r="L302" s="1108">
        <v>60.698296822060883</v>
      </c>
      <c r="M302" s="1108">
        <v>71.069078333891227</v>
      </c>
      <c r="N302" s="1108">
        <v>47.662262629564232</v>
      </c>
      <c r="O302" s="1117">
        <v>46.091987325464736</v>
      </c>
      <c r="P302" s="1108">
        <v>0.76390612340968655</v>
      </c>
      <c r="Q302" s="602"/>
      <c r="R302" s="602"/>
      <c r="S302" s="602"/>
      <c r="T302" s="602"/>
      <c r="U302" s="602"/>
      <c r="V302" s="602"/>
      <c r="W302" s="602"/>
      <c r="X302" s="602"/>
      <c r="Y302" s="602"/>
      <c r="Z302" s="602"/>
      <c r="AA302" s="602"/>
      <c r="AB302" s="602"/>
      <c r="AC302" s="602"/>
      <c r="AD302" s="602"/>
      <c r="AE302" s="602"/>
      <c r="AF302" s="602"/>
      <c r="AG302" s="602"/>
      <c r="AH302" s="602"/>
      <c r="AI302" s="602"/>
      <c r="AJ302" s="602"/>
      <c r="AK302" s="602"/>
      <c r="AL302" s="602"/>
      <c r="AM302" s="602"/>
      <c r="AN302" s="602"/>
      <c r="AO302" s="602"/>
      <c r="AP302" s="602"/>
      <c r="AQ302" s="602"/>
      <c r="AR302" s="602"/>
      <c r="AS302" s="602"/>
      <c r="AT302" s="602"/>
      <c r="AU302" s="602"/>
      <c r="AV302" s="602"/>
      <c r="AW302" s="602"/>
      <c r="AX302" s="602"/>
      <c r="AY302" s="602"/>
      <c r="AZ302" s="602"/>
      <c r="BA302" s="602"/>
    </row>
    <row r="303" spans="2:53">
      <c r="B303" s="602"/>
      <c r="C303" s="1107">
        <v>2035</v>
      </c>
      <c r="D303" s="1108">
        <v>62.671178517068917</v>
      </c>
      <c r="E303" s="1115">
        <v>33.642581249102378</v>
      </c>
      <c r="F303" s="1115">
        <v>14.087572006623748</v>
      </c>
      <c r="G303" s="1115">
        <v>51.942655316610988</v>
      </c>
      <c r="H303" s="1115">
        <v>85.708589672609207</v>
      </c>
      <c r="I303" s="1108">
        <v>85.708589672609207</v>
      </c>
      <c r="J303" s="1108">
        <v>87.868589672609204</v>
      </c>
      <c r="K303" s="1108">
        <v>83.118589672609204</v>
      </c>
      <c r="L303" s="1108">
        <v>60.695833026853684</v>
      </c>
      <c r="M303" s="1108">
        <v>71.097099874290336</v>
      </c>
      <c r="N303" s="1108">
        <v>47.761599155151828</v>
      </c>
      <c r="O303" s="1117">
        <v>46.247727566987081</v>
      </c>
      <c r="P303" s="1108">
        <v>0.74916462069632617</v>
      </c>
      <c r="Q303" s="602"/>
      <c r="R303" s="602"/>
      <c r="S303" s="602"/>
      <c r="T303" s="602"/>
      <c r="U303" s="602"/>
      <c r="V303" s="602"/>
      <c r="W303" s="602"/>
      <c r="X303" s="602"/>
      <c r="Y303" s="602"/>
      <c r="Z303" s="602"/>
      <c r="AA303" s="602"/>
      <c r="AB303" s="602"/>
      <c r="AC303" s="602"/>
      <c r="AD303" s="602"/>
      <c r="AE303" s="602"/>
      <c r="AF303" s="602"/>
      <c r="AG303" s="602"/>
      <c r="AH303" s="602"/>
      <c r="AI303" s="602"/>
      <c r="AJ303" s="602"/>
      <c r="AK303" s="602"/>
      <c r="AL303" s="602"/>
      <c r="AM303" s="602"/>
      <c r="AN303" s="602"/>
      <c r="AO303" s="602"/>
      <c r="AP303" s="602"/>
      <c r="AQ303" s="602"/>
      <c r="AR303" s="602"/>
      <c r="AS303" s="602"/>
      <c r="AT303" s="602"/>
      <c r="AU303" s="602"/>
      <c r="AV303" s="602"/>
      <c r="AW303" s="602"/>
      <c r="AX303" s="602"/>
      <c r="AY303" s="602"/>
      <c r="AZ303" s="602"/>
      <c r="BA303" s="602"/>
    </row>
    <row r="304" spans="2:53">
      <c r="B304" s="602"/>
      <c r="C304" s="1107">
        <v>2036</v>
      </c>
      <c r="D304" s="1108">
        <v>62.363589910850173</v>
      </c>
      <c r="E304" s="1115">
        <v>33.688666976840878</v>
      </c>
      <c r="F304" s="1115">
        <v>14.051985690698709</v>
      </c>
      <c r="G304" s="1115">
        <v>51.635449629385747</v>
      </c>
      <c r="H304" s="1115">
        <v>85.401383985383958</v>
      </c>
      <c r="I304" s="1108">
        <v>85.401383985383958</v>
      </c>
      <c r="J304" s="1108">
        <v>87.561383985383955</v>
      </c>
      <c r="K304" s="1108">
        <v>82.811383985383955</v>
      </c>
      <c r="L304" s="1108">
        <v>60.689945389690699</v>
      </c>
      <c r="M304" s="1108">
        <v>71.116603103597413</v>
      </c>
      <c r="N304" s="1108">
        <v>47.861557709026719</v>
      </c>
      <c r="O304" s="1117">
        <v>46.390503884981669</v>
      </c>
      <c r="P304" s="1108">
        <v>0.73451354156952464</v>
      </c>
      <c r="Q304" s="602"/>
      <c r="R304" s="602"/>
      <c r="S304" s="602"/>
      <c r="T304" s="602"/>
      <c r="U304" s="602"/>
      <c r="V304" s="602"/>
      <c r="W304" s="602"/>
      <c r="X304" s="602"/>
      <c r="Y304" s="602"/>
      <c r="Z304" s="602"/>
      <c r="AA304" s="602"/>
      <c r="AB304" s="602"/>
      <c r="AC304" s="602"/>
      <c r="AD304" s="602"/>
      <c r="AE304" s="602"/>
      <c r="AF304" s="602"/>
      <c r="AG304" s="602"/>
      <c r="AH304" s="602"/>
      <c r="AI304" s="602"/>
      <c r="AJ304" s="602"/>
      <c r="AK304" s="602"/>
      <c r="AL304" s="602"/>
      <c r="AM304" s="602"/>
      <c r="AN304" s="602"/>
      <c r="AO304" s="602"/>
      <c r="AP304" s="602"/>
      <c r="AQ304" s="602"/>
      <c r="AR304" s="602"/>
      <c r="AS304" s="602"/>
      <c r="AT304" s="602"/>
      <c r="AU304" s="602"/>
      <c r="AV304" s="602"/>
      <c r="AW304" s="602"/>
      <c r="AX304" s="602"/>
      <c r="AY304" s="602"/>
      <c r="AZ304" s="602"/>
      <c r="BA304" s="602"/>
    </row>
    <row r="305" spans="2:53">
      <c r="B305" s="602"/>
      <c r="C305" s="1107">
        <v>2037</v>
      </c>
      <c r="D305" s="1108">
        <v>62.056001304631437</v>
      </c>
      <c r="E305" s="1115">
        <v>33.734752704579364</v>
      </c>
      <c r="F305" s="1115">
        <v>14.016171250456402</v>
      </c>
      <c r="G305" s="1115">
        <v>51.329326521277956</v>
      </c>
      <c r="H305" s="1115">
        <v>85.095260877276161</v>
      </c>
      <c r="I305" s="1108">
        <v>85.095260877276161</v>
      </c>
      <c r="J305" s="1108">
        <v>87.255260877276157</v>
      </c>
      <c r="K305" s="1108">
        <v>82.505260877276157</v>
      </c>
      <c r="L305" s="1108">
        <v>60.683892039969457</v>
      </c>
      <c r="M305" s="1108">
        <v>71.135883985569592</v>
      </c>
      <c r="N305" s="1108">
        <v>47.961224086497161</v>
      </c>
      <c r="O305" s="1117">
        <v>46.533237561648519</v>
      </c>
      <c r="P305" s="1108">
        <v>0.7203713017339497</v>
      </c>
      <c r="Q305" s="602"/>
      <c r="R305" s="602"/>
      <c r="S305" s="602"/>
      <c r="T305" s="602"/>
      <c r="U305" s="602"/>
      <c r="V305" s="602"/>
      <c r="W305" s="602"/>
      <c r="X305" s="602"/>
      <c r="Y305" s="602"/>
      <c r="Z305" s="602"/>
      <c r="AA305" s="602"/>
      <c r="AB305" s="602"/>
      <c r="AC305" s="602"/>
      <c r="AD305" s="602"/>
      <c r="AE305" s="602"/>
      <c r="AF305" s="602"/>
      <c r="AG305" s="602"/>
      <c r="AH305" s="602"/>
      <c r="AI305" s="602"/>
      <c r="AJ305" s="602"/>
      <c r="AK305" s="602"/>
      <c r="AL305" s="602"/>
      <c r="AM305" s="602"/>
      <c r="AN305" s="602"/>
      <c r="AO305" s="602"/>
      <c r="AP305" s="602"/>
      <c r="AQ305" s="602"/>
      <c r="AR305" s="602"/>
      <c r="AS305" s="602"/>
      <c r="AT305" s="602"/>
      <c r="AU305" s="602"/>
      <c r="AV305" s="602"/>
      <c r="AW305" s="602"/>
      <c r="AX305" s="602"/>
      <c r="AY305" s="602"/>
      <c r="AZ305" s="602"/>
      <c r="BA305" s="602"/>
    </row>
    <row r="306" spans="2:53">
      <c r="B306" s="602"/>
      <c r="C306" s="1107">
        <v>2038</v>
      </c>
      <c r="D306" s="1108">
        <v>61.7484126984127</v>
      </c>
      <c r="E306" s="1115">
        <v>33.780838432317864</v>
      </c>
      <c r="F306" s="1115">
        <v>13.980510738351196</v>
      </c>
      <c r="G306" s="1115">
        <v>51.022472936959623</v>
      </c>
      <c r="H306" s="1115">
        <v>84.788407292957842</v>
      </c>
      <c r="I306" s="1108">
        <v>84.788407292957842</v>
      </c>
      <c r="J306" s="1108">
        <v>86.948407292957839</v>
      </c>
      <c r="K306" s="1108">
        <v>82.198407292957839</v>
      </c>
      <c r="L306" s="1108">
        <v>60.677675969854107</v>
      </c>
      <c r="M306" s="1108">
        <v>71.154944080579142</v>
      </c>
      <c r="N306" s="1108">
        <v>48.06060022028862</v>
      </c>
      <c r="O306" s="1117">
        <v>46.675927978934773</v>
      </c>
      <c r="P306" s="1108">
        <v>0.70635417245409327</v>
      </c>
      <c r="Q306" s="602"/>
      <c r="R306" s="602"/>
      <c r="S306" s="602"/>
      <c r="T306" s="602"/>
      <c r="U306" s="602"/>
      <c r="V306" s="602"/>
      <c r="W306" s="602"/>
      <c r="X306" s="602"/>
      <c r="Y306" s="602"/>
      <c r="Z306" s="602"/>
      <c r="AA306" s="602"/>
      <c r="AB306" s="602"/>
      <c r="AC306" s="602"/>
      <c r="AD306" s="602"/>
      <c r="AE306" s="602"/>
      <c r="AF306" s="602"/>
      <c r="AG306" s="602"/>
      <c r="AH306" s="602"/>
      <c r="AI306" s="602"/>
      <c r="AJ306" s="602"/>
      <c r="AK306" s="602"/>
      <c r="AL306" s="602"/>
      <c r="AM306" s="602"/>
      <c r="AN306" s="602"/>
      <c r="AO306" s="602"/>
      <c r="AP306" s="602"/>
      <c r="AQ306" s="602"/>
      <c r="AR306" s="602"/>
      <c r="AS306" s="602"/>
      <c r="AT306" s="602"/>
      <c r="AU306" s="602"/>
      <c r="AV306" s="602"/>
      <c r="AW306" s="602"/>
      <c r="AX306" s="602"/>
      <c r="AY306" s="602"/>
      <c r="AZ306" s="602"/>
      <c r="BA306" s="602"/>
    </row>
    <row r="307" spans="2:53">
      <c r="B307" s="602"/>
      <c r="C307" s="1107">
        <v>2039</v>
      </c>
      <c r="D307" s="1108">
        <v>61.440824092193949</v>
      </c>
      <c r="E307" s="1115">
        <v>33.82692416005635</v>
      </c>
      <c r="F307" s="1115">
        <v>13.944654498795146</v>
      </c>
      <c r="G307" s="1115">
        <v>50.716548190274779</v>
      </c>
      <c r="H307" s="1115">
        <v>84.48248254627299</v>
      </c>
      <c r="I307" s="1108">
        <v>84.48248254627299</v>
      </c>
      <c r="J307" s="1108">
        <v>86.642482546272987</v>
      </c>
      <c r="K307" s="1108">
        <v>81.892482546272987</v>
      </c>
      <c r="L307" s="1108">
        <v>60.671300113152753</v>
      </c>
      <c r="M307" s="1108">
        <v>71.173784903100966</v>
      </c>
      <c r="N307" s="1108">
        <v>48.159688016832391</v>
      </c>
      <c r="O307" s="1117">
        <v>46.818574524689666</v>
      </c>
      <c r="P307" s="1108">
        <v>0.69279308789802307</v>
      </c>
      <c r="Q307" s="602"/>
      <c r="R307" s="602"/>
      <c r="S307" s="602"/>
      <c r="T307" s="602"/>
      <c r="U307" s="602"/>
      <c r="V307" s="602"/>
      <c r="W307" s="602"/>
      <c r="X307" s="602"/>
      <c r="Y307" s="602"/>
      <c r="Z307" s="602"/>
      <c r="AA307" s="602"/>
      <c r="AB307" s="602"/>
      <c r="AC307" s="602"/>
      <c r="AD307" s="602"/>
      <c r="AE307" s="602"/>
      <c r="AF307" s="602"/>
      <c r="AG307" s="602"/>
      <c r="AH307" s="602"/>
      <c r="AI307" s="602"/>
      <c r="AJ307" s="602"/>
      <c r="AK307" s="602"/>
      <c r="AL307" s="602"/>
      <c r="AM307" s="602"/>
      <c r="AN307" s="602"/>
      <c r="AO307" s="602"/>
      <c r="AP307" s="602"/>
      <c r="AQ307" s="602"/>
      <c r="AR307" s="602"/>
      <c r="AS307" s="602"/>
      <c r="AT307" s="602"/>
      <c r="AU307" s="602"/>
      <c r="AV307" s="602"/>
      <c r="AW307" s="602"/>
      <c r="AX307" s="602"/>
      <c r="AY307" s="602"/>
      <c r="AZ307" s="602"/>
      <c r="BA307" s="602"/>
    </row>
    <row r="308" spans="2:53" ht="13.8" thickBot="1">
      <c r="B308" s="602"/>
      <c r="C308" s="1107">
        <v>2040</v>
      </c>
      <c r="D308" s="1108">
        <v>61.133235485975206</v>
      </c>
      <c r="E308" s="1115">
        <v>33.873009887794851</v>
      </c>
      <c r="F308" s="1115">
        <v>13.908861871625055</v>
      </c>
      <c r="G308" s="1115">
        <v>50.410321566782294</v>
      </c>
      <c r="H308" s="1115">
        <v>84.176255922780513</v>
      </c>
      <c r="I308" s="1108">
        <v>84.176255922780513</v>
      </c>
      <c r="J308" s="1108">
        <v>86.336255922780509</v>
      </c>
      <c r="K308" s="1108">
        <v>81.586255922780509</v>
      </c>
      <c r="L308" s="1108">
        <v>60.664767346129707</v>
      </c>
      <c r="M308" s="1108">
        <v>71.192407922440651</v>
      </c>
      <c r="N308" s="1108">
        <v>48.258489356547372</v>
      </c>
      <c r="O308" s="1118">
        <v>46.961176592602918</v>
      </c>
      <c r="P308" s="1108">
        <v>0.67943380134157572</v>
      </c>
      <c r="Q308" s="602"/>
      <c r="R308" s="602"/>
      <c r="S308" s="602"/>
      <c r="T308" s="602"/>
      <c r="U308" s="602"/>
      <c r="V308" s="602"/>
      <c r="W308" s="602"/>
      <c r="X308" s="602"/>
      <c r="Y308" s="602"/>
      <c r="Z308" s="602"/>
      <c r="AA308" s="602"/>
      <c r="AB308" s="602"/>
      <c r="AC308" s="602"/>
      <c r="AD308" s="602"/>
      <c r="AE308" s="602"/>
      <c r="AF308" s="602"/>
      <c r="AG308" s="602"/>
      <c r="AH308" s="602"/>
      <c r="AI308" s="602"/>
      <c r="AJ308" s="602"/>
      <c r="AK308" s="602"/>
      <c r="AL308" s="602"/>
      <c r="AM308" s="602"/>
      <c r="AN308" s="602"/>
      <c r="AO308" s="602"/>
      <c r="AP308" s="602"/>
      <c r="AQ308" s="602"/>
      <c r="AR308" s="602"/>
      <c r="AS308" s="602"/>
      <c r="AT308" s="602"/>
      <c r="AU308" s="602"/>
      <c r="AV308" s="602"/>
      <c r="AW308" s="602"/>
      <c r="AX308" s="602"/>
      <c r="AY308" s="602"/>
      <c r="AZ308" s="602"/>
      <c r="BA308" s="602"/>
    </row>
    <row r="309" spans="2:53" ht="13.8" thickBot="1">
      <c r="B309" s="602"/>
      <c r="C309" s="1107">
        <v>2041</v>
      </c>
      <c r="D309" s="1108">
        <v>60.825646879756469</v>
      </c>
      <c r="E309" s="1115">
        <v>33.919095615533351</v>
      </c>
      <c r="F309" s="1115">
        <v>13.873069138182171</v>
      </c>
      <c r="G309" s="1115">
        <v>50.104095447614391</v>
      </c>
      <c r="H309" s="1115">
        <v>83.87002980361261</v>
      </c>
      <c r="I309" s="1108">
        <v>83.87002980361261</v>
      </c>
      <c r="J309" s="1108">
        <v>86.030029803612607</v>
      </c>
      <c r="K309" s="1108">
        <v>81.280029803612607</v>
      </c>
      <c r="L309" s="1108">
        <v>60.675957923099851</v>
      </c>
      <c r="M309" s="1108">
        <v>60.675957923099851</v>
      </c>
      <c r="N309" s="1108">
        <v>48.37762671431922</v>
      </c>
      <c r="O309" s="1118">
        <v>46.961176592602918</v>
      </c>
      <c r="P309" s="1108">
        <v>0.66633212494379612</v>
      </c>
      <c r="Q309" s="602"/>
      <c r="R309" s="602"/>
      <c r="S309" s="602"/>
      <c r="T309" s="602"/>
      <c r="U309" s="602"/>
      <c r="V309" s="602"/>
      <c r="W309" s="602"/>
      <c r="X309" s="602"/>
      <c r="Y309" s="602"/>
      <c r="Z309" s="602"/>
      <c r="AA309" s="602"/>
      <c r="AB309" s="602"/>
      <c r="AC309" s="602"/>
      <c r="AD309" s="602"/>
      <c r="AE309" s="602"/>
      <c r="AF309" s="602"/>
      <c r="AG309" s="602"/>
      <c r="AH309" s="602"/>
      <c r="AI309" s="602"/>
      <c r="AJ309" s="602"/>
      <c r="AK309" s="602"/>
      <c r="AL309" s="602"/>
      <c r="AM309" s="602"/>
      <c r="AN309" s="602"/>
      <c r="AO309" s="602"/>
      <c r="AP309" s="602"/>
      <c r="AQ309" s="602"/>
      <c r="AR309" s="602"/>
      <c r="AS309" s="602"/>
      <c r="AT309" s="602"/>
      <c r="AU309" s="602"/>
      <c r="AV309" s="602"/>
      <c r="AW309" s="602"/>
      <c r="AX309" s="602"/>
      <c r="AY309" s="602"/>
      <c r="AZ309" s="602"/>
      <c r="BA309" s="602"/>
    </row>
    <row r="310" spans="2:53" ht="13.8" thickBot="1">
      <c r="B310" s="602"/>
      <c r="C310" s="1107">
        <v>2042</v>
      </c>
      <c r="D310" s="1108">
        <v>60.518058273537719</v>
      </c>
      <c r="E310" s="1115">
        <v>33.965181343271844</v>
      </c>
      <c r="F310" s="1115">
        <v>13.836610452807903</v>
      </c>
      <c r="G310" s="1115">
        <v>49.801029647621633</v>
      </c>
      <c r="H310" s="1115">
        <v>83.566964003619859</v>
      </c>
      <c r="I310" s="1108">
        <v>83.566964003619859</v>
      </c>
      <c r="J310" s="1108">
        <v>85.726964003619855</v>
      </c>
      <c r="K310" s="1108">
        <v>80.976964003619855</v>
      </c>
      <c r="L310" s="1108">
        <v>60.68702193291076</v>
      </c>
      <c r="M310" s="1108">
        <v>60.68702193291076</v>
      </c>
      <c r="N310" s="1108">
        <v>48.496315696545963</v>
      </c>
      <c r="O310" s="1118">
        <v>46.961176592602918</v>
      </c>
      <c r="P310" s="1108">
        <v>0.65407068774474553</v>
      </c>
      <c r="Q310" s="602"/>
      <c r="R310" s="602"/>
      <c r="S310" s="602"/>
      <c r="T310" s="602"/>
      <c r="U310" s="602"/>
      <c r="V310" s="602"/>
      <c r="W310" s="602"/>
      <c r="X310" s="602"/>
      <c r="Y310" s="602"/>
      <c r="Z310" s="602"/>
      <c r="AA310" s="602"/>
      <c r="AB310" s="602"/>
      <c r="AC310" s="602"/>
      <c r="AD310" s="602"/>
      <c r="AE310" s="602"/>
      <c r="AF310" s="602"/>
      <c r="AG310" s="602"/>
      <c r="AH310" s="602"/>
      <c r="AI310" s="602"/>
      <c r="AJ310" s="602"/>
      <c r="AK310" s="602"/>
      <c r="AL310" s="602"/>
      <c r="AM310" s="602"/>
      <c r="AN310" s="602"/>
      <c r="AO310" s="602"/>
      <c r="AP310" s="602"/>
      <c r="AQ310" s="602"/>
      <c r="AR310" s="602"/>
      <c r="AS310" s="602"/>
      <c r="AT310" s="602"/>
      <c r="AU310" s="602"/>
      <c r="AV310" s="602"/>
      <c r="AW310" s="602"/>
      <c r="AX310" s="602"/>
      <c r="AY310" s="602"/>
      <c r="AZ310" s="602"/>
      <c r="BA310" s="602"/>
    </row>
    <row r="311" spans="2:53" ht="13.8" thickBot="1">
      <c r="B311" s="602"/>
      <c r="C311" s="1107">
        <v>2043</v>
      </c>
      <c r="D311" s="1108">
        <v>60.210469667318975</v>
      </c>
      <c r="E311" s="1115">
        <v>34.011267071010337</v>
      </c>
      <c r="F311" s="1115">
        <v>13.800150557366436</v>
      </c>
      <c r="G311" s="1115">
        <v>49.497969590083216</v>
      </c>
      <c r="H311" s="1115">
        <v>83.263903946081427</v>
      </c>
      <c r="I311" s="1108">
        <v>83.263903946081427</v>
      </c>
      <c r="J311" s="1108">
        <v>85.423903946081424</v>
      </c>
      <c r="K311" s="1108">
        <v>80.673903946081424</v>
      </c>
      <c r="L311" s="1108">
        <v>60.697960969252613</v>
      </c>
      <c r="M311" s="1108">
        <v>60.697960969252613</v>
      </c>
      <c r="N311" s="1108">
        <v>48.614559135690349</v>
      </c>
      <c r="O311" s="1118">
        <v>46.961176592602918</v>
      </c>
      <c r="P311" s="1108">
        <v>0.64203487803168602</v>
      </c>
      <c r="Q311" s="602"/>
      <c r="R311" s="602"/>
      <c r="S311" s="602"/>
      <c r="T311" s="602"/>
      <c r="U311" s="602"/>
      <c r="V311" s="602"/>
      <c r="W311" s="602"/>
      <c r="X311" s="602"/>
      <c r="Y311" s="602"/>
      <c r="Z311" s="602"/>
      <c r="AA311" s="602"/>
      <c r="AB311" s="602"/>
      <c r="AC311" s="602"/>
      <c r="AD311" s="602"/>
      <c r="AE311" s="602"/>
      <c r="AF311" s="602"/>
      <c r="AG311" s="602"/>
      <c r="AH311" s="602"/>
      <c r="AI311" s="602"/>
      <c r="AJ311" s="602"/>
      <c r="AK311" s="602"/>
      <c r="AL311" s="602"/>
      <c r="AM311" s="602"/>
      <c r="AN311" s="602"/>
      <c r="AO311" s="602"/>
      <c r="AP311" s="602"/>
      <c r="AQ311" s="602"/>
      <c r="AR311" s="602"/>
      <c r="AS311" s="602"/>
      <c r="AT311" s="602"/>
      <c r="AU311" s="602"/>
      <c r="AV311" s="602"/>
      <c r="AW311" s="602"/>
      <c r="AX311" s="602"/>
      <c r="AY311" s="602"/>
      <c r="AZ311" s="602"/>
      <c r="BA311" s="602"/>
    </row>
    <row r="312" spans="2:53" ht="13.8" thickBot="1">
      <c r="B312" s="602"/>
      <c r="C312" s="1107">
        <v>2044</v>
      </c>
      <c r="D312" s="1108">
        <v>59.902881061100238</v>
      </c>
      <c r="E312" s="1115">
        <v>34.057352798748838</v>
      </c>
      <c r="F312" s="1115">
        <v>13.763689450310618</v>
      </c>
      <c r="G312" s="1115">
        <v>49.19491528234127</v>
      </c>
      <c r="H312" s="1115">
        <v>82.960849638339482</v>
      </c>
      <c r="I312" s="1108">
        <v>82.960849638339482</v>
      </c>
      <c r="J312" s="1108">
        <v>85.120849638339479</v>
      </c>
      <c r="K312" s="1108">
        <v>80.370849638339479</v>
      </c>
      <c r="L312" s="1108">
        <v>60.70877659234629</v>
      </c>
      <c r="M312" s="1108">
        <v>60.70877659234629</v>
      </c>
      <c r="N312" s="1108">
        <v>48.73235982855357</v>
      </c>
      <c r="O312" s="1118">
        <v>46.961176592602918</v>
      </c>
      <c r="P312" s="1108">
        <v>0.63022054394528793</v>
      </c>
      <c r="Q312" s="602"/>
      <c r="R312" s="602"/>
      <c r="S312" s="602"/>
      <c r="T312" s="602"/>
      <c r="U312" s="602"/>
      <c r="V312" s="602"/>
      <c r="W312" s="602"/>
      <c r="X312" s="602"/>
      <c r="Y312" s="602"/>
      <c r="Z312" s="602"/>
      <c r="AA312" s="602"/>
      <c r="AB312" s="602"/>
      <c r="AC312" s="602"/>
      <c r="AD312" s="602"/>
      <c r="AE312" s="602"/>
      <c r="AF312" s="602"/>
      <c r="AG312" s="602"/>
      <c r="AH312" s="602"/>
      <c r="AI312" s="602"/>
      <c r="AJ312" s="602"/>
      <c r="AK312" s="602"/>
      <c r="AL312" s="602"/>
      <c r="AM312" s="602"/>
      <c r="AN312" s="602"/>
      <c r="AO312" s="602"/>
      <c r="AP312" s="602"/>
      <c r="AQ312" s="602"/>
      <c r="AR312" s="602"/>
      <c r="AS312" s="602"/>
      <c r="AT312" s="602"/>
      <c r="AU312" s="602"/>
      <c r="AV312" s="602"/>
      <c r="AW312" s="602"/>
      <c r="AX312" s="602"/>
      <c r="AY312" s="602"/>
      <c r="AZ312" s="602"/>
      <c r="BA312" s="602"/>
    </row>
    <row r="313" spans="2:53" ht="13.8" thickBot="1">
      <c r="B313" s="602"/>
      <c r="C313" s="1107">
        <v>2045</v>
      </c>
      <c r="D313" s="1108">
        <v>59.595292454881495</v>
      </c>
      <c r="E313" s="1115">
        <v>34.103438526487338</v>
      </c>
      <c r="F313" s="1115">
        <v>13.727227130091334</v>
      </c>
      <c r="G313" s="1115">
        <v>48.89186673174725</v>
      </c>
      <c r="H313" s="1115">
        <v>82.657801087745469</v>
      </c>
      <c r="I313" s="1108">
        <v>82.657801087745469</v>
      </c>
      <c r="J313" s="1108">
        <v>84.817801087745465</v>
      </c>
      <c r="K313" s="1108">
        <v>80.067801087745465</v>
      </c>
      <c r="L313" s="1108">
        <v>60.719470329291362</v>
      </c>
      <c r="M313" s="1108">
        <v>60.719470329291362</v>
      </c>
      <c r="N313" s="1108">
        <v>48.849720536660548</v>
      </c>
      <c r="O313" s="1118">
        <v>46.961176592602918</v>
      </c>
      <c r="P313" s="1108">
        <v>0.61862361002620292</v>
      </c>
      <c r="Q313" s="602"/>
      <c r="R313" s="602"/>
      <c r="S313" s="602"/>
      <c r="T313" s="602"/>
      <c r="U313" s="602"/>
      <c r="V313" s="602"/>
      <c r="W313" s="602"/>
      <c r="X313" s="602"/>
      <c r="Y313" s="602"/>
      <c r="Z313" s="602"/>
      <c r="AA313" s="602"/>
      <c r="AB313" s="602"/>
      <c r="AC313" s="602"/>
      <c r="AD313" s="602"/>
      <c r="AE313" s="602"/>
      <c r="AF313" s="602"/>
      <c r="AG313" s="602"/>
      <c r="AH313" s="602"/>
      <c r="AI313" s="602"/>
      <c r="AJ313" s="602"/>
      <c r="AK313" s="602"/>
      <c r="AL313" s="602"/>
      <c r="AM313" s="602"/>
      <c r="AN313" s="602"/>
      <c r="AO313" s="602"/>
      <c r="AP313" s="602"/>
      <c r="AQ313" s="602"/>
      <c r="AR313" s="602"/>
      <c r="AS313" s="602"/>
      <c r="AT313" s="602"/>
      <c r="AU313" s="602"/>
      <c r="AV313" s="602"/>
      <c r="AW313" s="602"/>
      <c r="AX313" s="602"/>
      <c r="AY313" s="602"/>
      <c r="AZ313" s="602"/>
      <c r="BA313" s="602"/>
    </row>
    <row r="314" spans="2:53" ht="13.8" thickBot="1">
      <c r="B314" s="602"/>
      <c r="C314" s="1107">
        <v>2046</v>
      </c>
      <c r="D314" s="1108">
        <v>59.287703848662751</v>
      </c>
      <c r="E314" s="1115">
        <v>34.149524254225838</v>
      </c>
      <c r="F314" s="1115">
        <v>13.690763595157463</v>
      </c>
      <c r="G314" s="1115">
        <v>48.588823945662064</v>
      </c>
      <c r="H314" s="1115">
        <v>82.354758301660269</v>
      </c>
      <c r="I314" s="1108">
        <v>82.354758301660269</v>
      </c>
      <c r="J314" s="1108">
        <v>84.514758301660265</v>
      </c>
      <c r="K314" s="1108">
        <v>79.764758301660265</v>
      </c>
      <c r="L314" s="1108">
        <v>60.774302670903623</v>
      </c>
      <c r="M314" s="1108">
        <v>60.774302670903623</v>
      </c>
      <c r="N314" s="1108">
        <v>49.024574818868821</v>
      </c>
      <c r="O314" s="1118">
        <v>46.961176592602918</v>
      </c>
      <c r="P314" s="1108">
        <v>0.60724007580919959</v>
      </c>
      <c r="Q314" s="602"/>
      <c r="R314" s="602"/>
      <c r="S314" s="602"/>
      <c r="T314" s="602"/>
      <c r="U314" s="602"/>
      <c r="V314" s="602"/>
      <c r="W314" s="602"/>
      <c r="X314" s="602"/>
      <c r="Y314" s="602"/>
      <c r="Z314" s="602"/>
      <c r="AA314" s="602"/>
      <c r="AB314" s="602"/>
      <c r="AC314" s="602"/>
      <c r="AD314" s="602"/>
      <c r="AE314" s="602"/>
      <c r="AF314" s="602"/>
      <c r="AG314" s="602"/>
      <c r="AH314" s="602"/>
      <c r="AI314" s="602"/>
      <c r="AJ314" s="602"/>
      <c r="AK314" s="602"/>
      <c r="AL314" s="602"/>
      <c r="AM314" s="602"/>
      <c r="AN314" s="602"/>
      <c r="AO314" s="602"/>
      <c r="AP314" s="602"/>
      <c r="AQ314" s="602"/>
      <c r="AR314" s="602"/>
      <c r="AS314" s="602"/>
      <c r="AT314" s="602"/>
      <c r="AU314" s="602"/>
      <c r="AV314" s="602"/>
      <c r="AW314" s="602"/>
      <c r="AX314" s="602"/>
      <c r="AY314" s="602"/>
      <c r="AZ314" s="602"/>
      <c r="BA314" s="602"/>
    </row>
    <row r="315" spans="2:53" ht="13.8" thickBot="1">
      <c r="B315" s="602"/>
      <c r="C315" s="1107">
        <v>2047</v>
      </c>
      <c r="D315" s="1108">
        <v>58.980115242444008</v>
      </c>
      <c r="E315" s="1115">
        <v>34.195609981964324</v>
      </c>
      <c r="F315" s="1115">
        <v>13.654298843955917</v>
      </c>
      <c r="G315" s="1115">
        <v>48.285786931455988</v>
      </c>
      <c r="H315" s="1115">
        <v>82.0517212874542</v>
      </c>
      <c r="I315" s="1108">
        <v>82.0517212874542</v>
      </c>
      <c r="J315" s="1108">
        <v>84.211721287454196</v>
      </c>
      <c r="K315" s="1108">
        <v>79.461721287454196</v>
      </c>
      <c r="L315" s="1108">
        <v>60.828784329157571</v>
      </c>
      <c r="M315" s="1108">
        <v>60.828784329157571</v>
      </c>
      <c r="N315" s="1108">
        <v>49.198719487894593</v>
      </c>
      <c r="O315" s="1118">
        <v>46.961176592602918</v>
      </c>
      <c r="P315" s="1108">
        <v>0.59606601444316643</v>
      </c>
      <c r="Q315" s="602"/>
      <c r="R315" s="602"/>
      <c r="S315" s="602"/>
      <c r="T315" s="602"/>
      <c r="U315" s="602"/>
      <c r="V315" s="602"/>
      <c r="W315" s="602"/>
      <c r="X315" s="602"/>
      <c r="Y315" s="602"/>
      <c r="Z315" s="602"/>
      <c r="AA315" s="602"/>
      <c r="AB315" s="602"/>
      <c r="AC315" s="602"/>
      <c r="AD315" s="602"/>
      <c r="AE315" s="602"/>
      <c r="AF315" s="602"/>
      <c r="AG315" s="602"/>
      <c r="AH315" s="602"/>
      <c r="AI315" s="602"/>
      <c r="AJ315" s="602"/>
      <c r="AK315" s="602"/>
      <c r="AL315" s="602"/>
      <c r="AM315" s="602"/>
      <c r="AN315" s="602"/>
      <c r="AO315" s="602"/>
      <c r="AP315" s="602"/>
      <c r="AQ315" s="602"/>
      <c r="AR315" s="602"/>
      <c r="AS315" s="602"/>
      <c r="AT315" s="602"/>
      <c r="AU315" s="602"/>
      <c r="AV315" s="602"/>
      <c r="AW315" s="602"/>
      <c r="AX315" s="602"/>
      <c r="AY315" s="602"/>
      <c r="AZ315" s="602"/>
      <c r="BA315" s="602"/>
    </row>
    <row r="316" spans="2:53" ht="13.8" thickBot="1">
      <c r="B316" s="602"/>
      <c r="C316" s="1107">
        <v>2048</v>
      </c>
      <c r="D316" s="1108">
        <v>58.672526636225271</v>
      </c>
      <c r="E316" s="1115">
        <v>34.241695709702832</v>
      </c>
      <c r="F316" s="1115">
        <v>13.617832874931624</v>
      </c>
      <c r="G316" s="1115">
        <v>47.982755696508768</v>
      </c>
      <c r="H316" s="1115">
        <v>81.748690052506987</v>
      </c>
      <c r="I316" s="1108">
        <v>81.748690052506987</v>
      </c>
      <c r="J316" s="1108">
        <v>83.908690052506984</v>
      </c>
      <c r="K316" s="1108">
        <v>79.158690052506984</v>
      </c>
      <c r="L316" s="1108">
        <v>60.882916997101603</v>
      </c>
      <c r="M316" s="1108">
        <v>60.882916997101603</v>
      </c>
      <c r="N316" s="1108">
        <v>49.372158440659689</v>
      </c>
      <c r="O316" s="1118">
        <v>46.961176592602918</v>
      </c>
      <c r="P316" s="1108">
        <v>0.58509757133651041</v>
      </c>
      <c r="Q316" s="602"/>
      <c r="R316" s="602"/>
      <c r="S316" s="602"/>
      <c r="T316" s="602"/>
      <c r="U316" s="602"/>
      <c r="V316" s="602"/>
      <c r="W316" s="602"/>
      <c r="X316" s="602"/>
      <c r="Y316" s="602"/>
      <c r="Z316" s="602"/>
      <c r="AA316" s="602"/>
      <c r="AB316" s="602"/>
      <c r="AC316" s="602"/>
      <c r="AD316" s="602"/>
      <c r="AE316" s="602"/>
      <c r="AF316" s="602"/>
      <c r="AG316" s="602"/>
      <c r="AH316" s="602"/>
      <c r="AI316" s="602"/>
      <c r="AJ316" s="602"/>
      <c r="AK316" s="602"/>
      <c r="AL316" s="602"/>
      <c r="AM316" s="602"/>
      <c r="AN316" s="602"/>
      <c r="AO316" s="602"/>
      <c r="AP316" s="602"/>
      <c r="AQ316" s="602"/>
      <c r="AR316" s="602"/>
      <c r="AS316" s="602"/>
      <c r="AT316" s="602"/>
      <c r="AU316" s="602"/>
      <c r="AV316" s="602"/>
      <c r="AW316" s="602"/>
      <c r="AX316" s="602"/>
      <c r="AY316" s="602"/>
      <c r="AZ316" s="602"/>
      <c r="BA316" s="602"/>
    </row>
    <row r="317" spans="2:53" ht="13.8" thickBot="1">
      <c r="B317" s="602"/>
      <c r="C317" s="1107">
        <v>2049</v>
      </c>
      <c r="D317" s="1108">
        <v>58.364938030006527</v>
      </c>
      <c r="E317" s="1115">
        <v>34.287781437441318</v>
      </c>
      <c r="F317" s="1115">
        <v>13.581365686527514</v>
      </c>
      <c r="G317" s="1115">
        <v>47.679730248209545</v>
      </c>
      <c r="H317" s="1115">
        <v>81.445664604207764</v>
      </c>
      <c r="I317" s="1108">
        <v>81.445664604207764</v>
      </c>
      <c r="J317" s="1108">
        <v>83.60566460420776</v>
      </c>
      <c r="K317" s="1108">
        <v>78.85566460420776</v>
      </c>
      <c r="L317" s="1108">
        <v>60.936702331670006</v>
      </c>
      <c r="M317" s="1108">
        <v>60.936702331670006</v>
      </c>
      <c r="N317" s="1108">
        <v>49.544895527221009</v>
      </c>
      <c r="O317" s="1118">
        <v>46.961176592602918</v>
      </c>
      <c r="P317" s="1108">
        <v>0.57433096282748075</v>
      </c>
      <c r="Q317" s="602"/>
      <c r="R317" s="602"/>
      <c r="S317" s="602"/>
      <c r="T317" s="602"/>
      <c r="U317" s="602"/>
      <c r="V317" s="602"/>
      <c r="W317" s="602"/>
      <c r="X317" s="602"/>
      <c r="Y317" s="602"/>
      <c r="Z317" s="602"/>
      <c r="AA317" s="602"/>
      <c r="AB317" s="602"/>
      <c r="AC317" s="602"/>
      <c r="AD317" s="602"/>
      <c r="AE317" s="602"/>
      <c r="AF317" s="602"/>
      <c r="AG317" s="602"/>
      <c r="AH317" s="602"/>
      <c r="AI317" s="602"/>
      <c r="AJ317" s="602"/>
      <c r="AK317" s="602"/>
      <c r="AL317" s="602"/>
      <c r="AM317" s="602"/>
      <c r="AN317" s="602"/>
      <c r="AO317" s="602"/>
      <c r="AP317" s="602"/>
      <c r="AQ317" s="602"/>
      <c r="AR317" s="602"/>
      <c r="AS317" s="602"/>
      <c r="AT317" s="602"/>
      <c r="AU317" s="602"/>
      <c r="AV317" s="602"/>
      <c r="AW317" s="602"/>
      <c r="AX317" s="602"/>
      <c r="AY317" s="602"/>
      <c r="AZ317" s="602"/>
      <c r="BA317" s="602"/>
    </row>
    <row r="318" spans="2:53" ht="13.8" thickBot="1">
      <c r="B318" s="602"/>
      <c r="C318" s="1107">
        <v>2050</v>
      </c>
      <c r="D318" s="1108">
        <v>58.057349423787784</v>
      </c>
      <c r="E318" s="1115">
        <v>34.333867165179825</v>
      </c>
      <c r="F318" s="1115">
        <v>13.544897277184536</v>
      </c>
      <c r="G318" s="1115">
        <v>47.376710593956936</v>
      </c>
      <c r="H318" s="1115">
        <v>81.142644949955155</v>
      </c>
      <c r="I318" s="1108">
        <v>81.142644949955155</v>
      </c>
      <c r="J318" s="1108">
        <v>83.302644949955152</v>
      </c>
      <c r="K318" s="1108">
        <v>78.552644949955152</v>
      </c>
      <c r="L318" s="1108">
        <v>60.990141954059872</v>
      </c>
      <c r="M318" s="1108">
        <v>60.990141954059872</v>
      </c>
      <c r="N318" s="1108">
        <v>49.716934551280723</v>
      </c>
      <c r="O318" s="1118">
        <v>46.961176592602918</v>
      </c>
      <c r="P318" s="1108">
        <v>0.56376247487896203</v>
      </c>
      <c r="Q318" s="602"/>
      <c r="R318" s="602"/>
      <c r="S318" s="602"/>
      <c r="T318" s="602"/>
      <c r="U318" s="602"/>
      <c r="V318" s="602"/>
      <c r="W318" s="602"/>
      <c r="X318" s="602"/>
      <c r="Y318" s="602"/>
      <c r="Z318" s="602"/>
      <c r="AA318" s="602"/>
      <c r="AB318" s="602"/>
      <c r="AC318" s="602"/>
      <c r="AD318" s="602"/>
      <c r="AE318" s="602"/>
      <c r="AF318" s="602"/>
      <c r="AG318" s="602"/>
      <c r="AH318" s="602"/>
      <c r="AI318" s="602"/>
      <c r="AJ318" s="602"/>
      <c r="AK318" s="602"/>
      <c r="AL318" s="602"/>
      <c r="AM318" s="602"/>
      <c r="AN318" s="602"/>
      <c r="AO318" s="602"/>
      <c r="AP318" s="602"/>
      <c r="AQ318" s="602"/>
      <c r="AR318" s="602"/>
      <c r="AS318" s="602"/>
      <c r="AT318" s="602"/>
      <c r="AU318" s="602"/>
      <c r="AV318" s="602"/>
      <c r="AW318" s="602"/>
      <c r="AX318" s="602"/>
      <c r="AY318" s="602"/>
      <c r="AZ318" s="602"/>
      <c r="BA318" s="602"/>
    </row>
    <row r="319" spans="2:53">
      <c r="B319" s="602"/>
      <c r="C319" s="602"/>
      <c r="D319" s="602"/>
      <c r="G319" s="602"/>
      <c r="H319" s="602"/>
      <c r="I319" s="602"/>
      <c r="J319" s="602"/>
      <c r="K319" s="602"/>
      <c r="L319" s="602"/>
      <c r="M319" s="602"/>
      <c r="N319" s="602"/>
      <c r="O319" s="602"/>
      <c r="P319" s="602"/>
      <c r="Q319" s="602"/>
      <c r="R319" s="602"/>
      <c r="S319" s="602"/>
      <c r="T319" s="602"/>
      <c r="U319" s="602"/>
      <c r="V319" s="602"/>
      <c r="W319" s="602"/>
      <c r="X319" s="602"/>
      <c r="Y319" s="602"/>
      <c r="Z319" s="602"/>
      <c r="AA319" s="602"/>
      <c r="AB319" s="602"/>
      <c r="AC319" s="602"/>
      <c r="AD319" s="602"/>
      <c r="AE319" s="602"/>
      <c r="AF319" s="602"/>
      <c r="AG319" s="602"/>
      <c r="AH319" s="602"/>
      <c r="AI319" s="602"/>
      <c r="AJ319" s="602"/>
      <c r="AK319" s="602"/>
      <c r="AL319" s="602"/>
      <c r="AM319" s="602"/>
      <c r="AN319" s="602"/>
      <c r="AO319" s="602"/>
      <c r="AP319" s="602"/>
      <c r="AQ319" s="602"/>
      <c r="AR319" s="602"/>
      <c r="AS319" s="602"/>
      <c r="AT319" s="602"/>
      <c r="AU319" s="602"/>
      <c r="AV319" s="602"/>
      <c r="AW319" s="602"/>
      <c r="AX319" s="602"/>
      <c r="AY319" s="602"/>
      <c r="AZ319" s="602"/>
      <c r="BA319" s="602"/>
    </row>
    <row r="320" spans="2:53">
      <c r="B320" s="602"/>
      <c r="C320" s="602"/>
      <c r="D320" s="602"/>
      <c r="G320" s="602"/>
      <c r="H320" s="602"/>
      <c r="I320" s="602"/>
      <c r="J320" s="602"/>
      <c r="K320" s="602"/>
      <c r="L320" s="602"/>
      <c r="M320" s="602"/>
      <c r="N320" s="602"/>
      <c r="O320" s="602"/>
      <c r="P320" s="602"/>
      <c r="Q320" s="602"/>
      <c r="R320" s="602"/>
      <c r="S320" s="602"/>
      <c r="T320" s="602"/>
      <c r="U320" s="602"/>
      <c r="V320" s="602"/>
      <c r="W320" s="602"/>
      <c r="X320" s="602"/>
      <c r="Y320" s="602"/>
      <c r="Z320" s="602"/>
      <c r="AA320" s="602"/>
      <c r="AB320" s="602"/>
      <c r="AC320" s="602"/>
      <c r="AD320" s="602"/>
      <c r="AE320" s="602"/>
      <c r="AF320" s="602"/>
      <c r="AG320" s="602"/>
      <c r="AH320" s="602"/>
      <c r="AI320" s="602"/>
      <c r="AJ320" s="602"/>
      <c r="AK320" s="602"/>
      <c r="AL320" s="602"/>
      <c r="AM320" s="602"/>
      <c r="AN320" s="602"/>
      <c r="AO320" s="602"/>
      <c r="AP320" s="602"/>
      <c r="AQ320" s="602"/>
      <c r="AR320" s="602"/>
      <c r="AS320" s="602"/>
      <c r="AT320" s="602"/>
      <c r="AU320" s="602"/>
      <c r="AV320" s="602"/>
      <c r="AW320" s="602"/>
      <c r="AX320" s="602"/>
      <c r="AY320" s="602"/>
      <c r="AZ320" s="602"/>
      <c r="BA320" s="602"/>
    </row>
    <row r="321" spans="2:53">
      <c r="B321" s="602"/>
      <c r="C321" s="602"/>
      <c r="D321" s="602"/>
      <c r="G321" s="602"/>
      <c r="H321" s="602"/>
      <c r="I321" s="602"/>
      <c r="J321" s="602"/>
      <c r="K321" s="602"/>
      <c r="L321" s="602"/>
      <c r="M321" s="602"/>
      <c r="N321" s="602"/>
      <c r="O321" s="602"/>
      <c r="P321" s="602"/>
      <c r="Q321" s="602"/>
      <c r="R321" s="602"/>
      <c r="S321" s="602"/>
      <c r="T321" s="602"/>
      <c r="U321" s="602"/>
      <c r="V321" s="602"/>
      <c r="W321" s="602"/>
      <c r="X321" s="602"/>
      <c r="Y321" s="602"/>
      <c r="Z321" s="602"/>
      <c r="AA321" s="602"/>
      <c r="AB321" s="602"/>
      <c r="AC321" s="602"/>
      <c r="AD321" s="602"/>
      <c r="AE321" s="602"/>
      <c r="AF321" s="602"/>
      <c r="AG321" s="602"/>
      <c r="AH321" s="602"/>
      <c r="AI321" s="602"/>
      <c r="AJ321" s="602"/>
      <c r="AK321" s="602"/>
      <c r="AL321" s="602"/>
      <c r="AM321" s="602"/>
      <c r="AN321" s="602"/>
      <c r="AO321" s="602"/>
      <c r="AP321" s="602"/>
      <c r="AQ321" s="602"/>
      <c r="AR321" s="602"/>
      <c r="AS321" s="602"/>
      <c r="AT321" s="602"/>
      <c r="AU321" s="602"/>
      <c r="AV321" s="602"/>
      <c r="AW321" s="602"/>
      <c r="AX321" s="602"/>
      <c r="AY321" s="602"/>
      <c r="AZ321" s="602"/>
      <c r="BA321" s="602"/>
    </row>
    <row r="322" spans="2:53">
      <c r="B322" s="602"/>
      <c r="C322" s="602"/>
      <c r="D322" s="602"/>
      <c r="G322" s="602"/>
      <c r="H322" s="602"/>
      <c r="I322" s="602"/>
      <c r="J322" s="602"/>
      <c r="K322" s="602"/>
      <c r="L322" s="602"/>
      <c r="M322" s="602"/>
      <c r="N322" s="602"/>
      <c r="O322" s="602"/>
      <c r="P322" s="602"/>
      <c r="Q322" s="602"/>
      <c r="R322" s="602"/>
      <c r="S322" s="602"/>
      <c r="T322" s="602"/>
      <c r="U322" s="602"/>
      <c r="V322" s="602"/>
      <c r="W322" s="602"/>
      <c r="X322" s="602"/>
      <c r="Y322" s="602"/>
      <c r="Z322" s="602"/>
      <c r="AA322" s="602"/>
      <c r="AB322" s="602"/>
      <c r="AC322" s="602"/>
      <c r="AD322" s="602"/>
      <c r="AE322" s="602"/>
      <c r="AF322" s="602"/>
      <c r="AG322" s="602"/>
      <c r="AH322" s="602"/>
      <c r="AI322" s="602"/>
      <c r="AJ322" s="602"/>
      <c r="AK322" s="602"/>
      <c r="AL322" s="602"/>
      <c r="AM322" s="602"/>
      <c r="AN322" s="602"/>
      <c r="AO322" s="602"/>
      <c r="AP322" s="602"/>
      <c r="AQ322" s="602"/>
      <c r="AR322" s="602"/>
      <c r="AS322" s="602"/>
      <c r="AT322" s="602"/>
      <c r="AU322" s="602"/>
      <c r="AV322" s="602"/>
      <c r="AW322" s="602"/>
      <c r="AX322" s="602"/>
      <c r="AY322" s="602"/>
      <c r="AZ322" s="602"/>
      <c r="BA322" s="602"/>
    </row>
    <row r="323" spans="2:53">
      <c r="B323" s="602"/>
      <c r="C323" s="602"/>
      <c r="D323" s="602"/>
      <c r="G323" s="602"/>
      <c r="H323" s="602"/>
      <c r="I323" s="602"/>
      <c r="J323" s="602"/>
      <c r="K323" s="602"/>
      <c r="L323" s="602"/>
      <c r="M323" s="602"/>
      <c r="N323" s="602"/>
      <c r="O323" s="602"/>
      <c r="P323" s="602"/>
      <c r="Q323" s="602"/>
      <c r="R323" s="602"/>
      <c r="S323" s="602"/>
      <c r="T323" s="602"/>
      <c r="U323" s="602"/>
      <c r="V323" s="602"/>
      <c r="W323" s="602"/>
      <c r="X323" s="602"/>
      <c r="Y323" s="602"/>
      <c r="Z323" s="602"/>
      <c r="AA323" s="602"/>
      <c r="AB323" s="602"/>
      <c r="AC323" s="602"/>
      <c r="AD323" s="602"/>
      <c r="AE323" s="602"/>
      <c r="AF323" s="602"/>
      <c r="AG323" s="602"/>
      <c r="AH323" s="602"/>
      <c r="AI323" s="602"/>
      <c r="AJ323" s="602"/>
      <c r="AK323" s="602"/>
      <c r="AL323" s="602"/>
      <c r="AM323" s="602"/>
      <c r="AN323" s="602"/>
      <c r="AO323" s="602"/>
      <c r="AP323" s="602"/>
      <c r="AQ323" s="602"/>
      <c r="AR323" s="602"/>
      <c r="AS323" s="602"/>
      <c r="AT323" s="602"/>
      <c r="AU323" s="602"/>
      <c r="AV323" s="602"/>
      <c r="AW323" s="602"/>
      <c r="AX323" s="602"/>
      <c r="AY323" s="602"/>
      <c r="AZ323" s="602"/>
      <c r="BA323" s="602"/>
    </row>
    <row r="324" spans="2:53">
      <c r="B324" s="602"/>
      <c r="C324" s="602"/>
      <c r="D324" s="602"/>
      <c r="G324" s="602"/>
      <c r="H324" s="602"/>
      <c r="I324" s="602"/>
      <c r="J324" s="602"/>
      <c r="K324" s="602"/>
      <c r="L324" s="602"/>
      <c r="M324" s="602"/>
      <c r="N324" s="602"/>
      <c r="O324" s="602"/>
      <c r="P324" s="602"/>
      <c r="Q324" s="602"/>
      <c r="R324" s="602"/>
      <c r="S324" s="602"/>
      <c r="T324" s="602"/>
      <c r="U324" s="602"/>
      <c r="V324" s="602"/>
      <c r="W324" s="602"/>
      <c r="X324" s="602"/>
      <c r="Y324" s="602"/>
      <c r="Z324" s="602"/>
      <c r="AA324" s="602"/>
      <c r="AB324" s="602"/>
      <c r="AC324" s="602"/>
      <c r="AD324" s="602"/>
      <c r="AE324" s="602"/>
      <c r="AF324" s="602"/>
      <c r="AG324" s="602"/>
      <c r="AH324" s="602"/>
      <c r="AI324" s="602"/>
      <c r="AJ324" s="602"/>
      <c r="AK324" s="602"/>
      <c r="AL324" s="602"/>
      <c r="AM324" s="602"/>
      <c r="AN324" s="602"/>
      <c r="AO324" s="602"/>
      <c r="AP324" s="602"/>
      <c r="AQ324" s="602"/>
      <c r="AR324" s="602"/>
      <c r="AS324" s="602"/>
      <c r="AT324" s="602"/>
      <c r="AU324" s="602"/>
      <c r="AV324" s="602"/>
      <c r="AW324" s="602"/>
      <c r="AX324" s="602"/>
      <c r="AY324" s="602"/>
      <c r="AZ324" s="602"/>
      <c r="BA324" s="602"/>
    </row>
    <row r="325" spans="2:53">
      <c r="B325" s="602"/>
      <c r="C325" s="602"/>
      <c r="D325" s="602"/>
      <c r="G325" s="602"/>
      <c r="H325" s="602"/>
      <c r="I325" s="602"/>
      <c r="J325" s="602"/>
      <c r="K325" s="602"/>
      <c r="L325" s="602"/>
      <c r="M325" s="602"/>
      <c r="N325" s="602"/>
      <c r="O325" s="602"/>
      <c r="P325" s="602"/>
      <c r="Q325" s="602"/>
      <c r="R325" s="602"/>
      <c r="S325" s="602"/>
      <c r="T325" s="602"/>
      <c r="U325" s="602"/>
      <c r="V325" s="602"/>
      <c r="W325" s="602"/>
      <c r="X325" s="602"/>
      <c r="Y325" s="602"/>
      <c r="Z325" s="602"/>
      <c r="AA325" s="602"/>
      <c r="AB325" s="602"/>
      <c r="AC325" s="602"/>
      <c r="AD325" s="602"/>
      <c r="AE325" s="602"/>
      <c r="AF325" s="602"/>
      <c r="AG325" s="602"/>
      <c r="AH325" s="602"/>
      <c r="AI325" s="602"/>
      <c r="AJ325" s="602"/>
      <c r="AK325" s="602"/>
      <c r="AL325" s="602"/>
      <c r="AM325" s="602"/>
      <c r="AN325" s="602"/>
      <c r="AO325" s="602"/>
      <c r="AP325" s="602"/>
      <c r="AQ325" s="602"/>
      <c r="AR325" s="602"/>
      <c r="AS325" s="602"/>
      <c r="AT325" s="602"/>
      <c r="AU325" s="602"/>
      <c r="AV325" s="602"/>
      <c r="AW325" s="602"/>
      <c r="AX325" s="602"/>
      <c r="AY325" s="602"/>
      <c r="AZ325" s="602"/>
      <c r="BA325" s="602"/>
    </row>
    <row r="326" spans="2:53">
      <c r="B326" s="602"/>
      <c r="C326" s="602"/>
      <c r="D326" s="602"/>
      <c r="G326" s="602"/>
      <c r="H326" s="602"/>
      <c r="I326" s="602"/>
      <c r="J326" s="602"/>
      <c r="K326" s="602"/>
      <c r="L326" s="602"/>
      <c r="M326" s="602"/>
      <c r="N326" s="602"/>
      <c r="O326" s="602"/>
      <c r="P326" s="602"/>
      <c r="Q326" s="602"/>
      <c r="R326" s="602"/>
      <c r="S326" s="602"/>
      <c r="T326" s="602"/>
      <c r="U326" s="602"/>
      <c r="V326" s="602"/>
      <c r="W326" s="602"/>
      <c r="X326" s="602"/>
      <c r="Y326" s="602"/>
      <c r="Z326" s="602"/>
      <c r="AA326" s="602"/>
      <c r="AB326" s="602"/>
      <c r="AC326" s="602"/>
      <c r="AD326" s="602"/>
      <c r="AE326" s="602"/>
      <c r="AF326" s="602"/>
      <c r="AG326" s="602"/>
      <c r="AH326" s="602"/>
      <c r="AI326" s="602"/>
      <c r="AJ326" s="602"/>
      <c r="AK326" s="602"/>
      <c r="AL326" s="602"/>
      <c r="AM326" s="602"/>
      <c r="AN326" s="602"/>
      <c r="AO326" s="602"/>
      <c r="AP326" s="602"/>
      <c r="AQ326" s="602"/>
      <c r="AR326" s="602"/>
      <c r="AS326" s="602"/>
      <c r="AT326" s="602"/>
      <c r="AU326" s="602"/>
      <c r="AV326" s="602"/>
      <c r="AW326" s="602"/>
      <c r="AX326" s="602"/>
      <c r="AY326" s="602"/>
      <c r="AZ326" s="602"/>
      <c r="BA326" s="602"/>
    </row>
    <row r="327" spans="2:53">
      <c r="B327" s="602"/>
      <c r="C327" s="602"/>
      <c r="D327" s="602"/>
      <c r="G327" s="602"/>
      <c r="H327" s="602"/>
      <c r="I327" s="602"/>
      <c r="J327" s="602"/>
      <c r="K327" s="602"/>
      <c r="L327" s="602"/>
      <c r="M327" s="602"/>
      <c r="N327" s="602"/>
      <c r="O327" s="602"/>
      <c r="P327" s="602"/>
      <c r="Q327" s="602"/>
      <c r="R327" s="602"/>
      <c r="S327" s="602"/>
      <c r="T327" s="602"/>
      <c r="U327" s="602"/>
      <c r="V327" s="602"/>
      <c r="W327" s="602"/>
      <c r="X327" s="602"/>
      <c r="Y327" s="602"/>
      <c r="Z327" s="602"/>
      <c r="AA327" s="602"/>
      <c r="AB327" s="602"/>
      <c r="AC327" s="602"/>
      <c r="AD327" s="602"/>
      <c r="AE327" s="602"/>
      <c r="AF327" s="602"/>
      <c r="AG327" s="602"/>
      <c r="AH327" s="602"/>
      <c r="AI327" s="602"/>
      <c r="AJ327" s="602"/>
      <c r="AK327" s="602"/>
      <c r="AL327" s="602"/>
      <c r="AM327" s="602"/>
      <c r="AN327" s="602"/>
      <c r="AO327" s="602"/>
      <c r="AP327" s="602"/>
      <c r="AQ327" s="602"/>
      <c r="AR327" s="602"/>
      <c r="AS327" s="602"/>
      <c r="AT327" s="602"/>
      <c r="AU327" s="602"/>
      <c r="AV327" s="602"/>
      <c r="AW327" s="602"/>
      <c r="AX327" s="602"/>
      <c r="AY327" s="602"/>
      <c r="AZ327" s="602"/>
      <c r="BA327" s="602"/>
    </row>
    <row r="328" spans="2:53">
      <c r="B328" s="602"/>
      <c r="C328" s="602"/>
      <c r="D328" s="602"/>
      <c r="G328" s="602"/>
      <c r="H328" s="602"/>
      <c r="I328" s="602"/>
      <c r="J328" s="602"/>
      <c r="K328" s="602"/>
      <c r="L328" s="602"/>
      <c r="M328" s="602"/>
      <c r="N328" s="602"/>
      <c r="O328" s="602"/>
      <c r="P328" s="602"/>
      <c r="Q328" s="602"/>
      <c r="R328" s="602"/>
      <c r="S328" s="602"/>
      <c r="T328" s="602"/>
      <c r="U328" s="602"/>
      <c r="V328" s="602"/>
      <c r="W328" s="602"/>
      <c r="X328" s="602"/>
      <c r="Y328" s="602"/>
      <c r="Z328" s="602"/>
      <c r="AA328" s="602"/>
      <c r="AB328" s="602"/>
      <c r="AC328" s="602"/>
      <c r="AD328" s="602"/>
      <c r="AE328" s="602"/>
      <c r="AF328" s="602"/>
      <c r="AG328" s="602"/>
      <c r="AH328" s="602"/>
      <c r="AI328" s="602"/>
      <c r="AJ328" s="602"/>
      <c r="AK328" s="602"/>
      <c r="AL328" s="602"/>
      <c r="AM328" s="602"/>
      <c r="AN328" s="602"/>
      <c r="AO328" s="602"/>
      <c r="AP328" s="602"/>
      <c r="AQ328" s="602"/>
      <c r="AR328" s="602"/>
      <c r="AS328" s="602"/>
      <c r="AT328" s="602"/>
      <c r="AU328" s="602"/>
      <c r="AV328" s="602"/>
      <c r="AW328" s="602"/>
      <c r="AX328" s="602"/>
      <c r="AY328" s="602"/>
      <c r="AZ328" s="602"/>
      <c r="BA328" s="602"/>
    </row>
    <row r="329" spans="2:53">
      <c r="B329" s="602"/>
      <c r="C329" s="602"/>
      <c r="D329" s="602"/>
      <c r="G329" s="602"/>
      <c r="H329" s="602"/>
      <c r="I329" s="602"/>
      <c r="J329" s="602"/>
      <c r="K329" s="602"/>
      <c r="L329" s="602"/>
      <c r="M329" s="602"/>
      <c r="N329" s="602"/>
      <c r="O329" s="602"/>
      <c r="P329" s="602"/>
      <c r="Q329" s="602"/>
      <c r="R329" s="602"/>
      <c r="S329" s="602"/>
      <c r="T329" s="602"/>
      <c r="U329" s="602"/>
      <c r="V329" s="602"/>
      <c r="W329" s="602"/>
      <c r="X329" s="602"/>
      <c r="Y329" s="602"/>
      <c r="Z329" s="602"/>
      <c r="AA329" s="602"/>
      <c r="AB329" s="602"/>
      <c r="AC329" s="602"/>
      <c r="AD329" s="602"/>
      <c r="AE329" s="602"/>
      <c r="AF329" s="602"/>
      <c r="AG329" s="602"/>
      <c r="AH329" s="602"/>
      <c r="AI329" s="602"/>
      <c r="AJ329" s="602"/>
      <c r="AK329" s="602"/>
      <c r="AL329" s="602"/>
      <c r="AM329" s="602"/>
      <c r="AN329" s="602"/>
      <c r="AO329" s="602"/>
      <c r="AP329" s="602"/>
      <c r="AQ329" s="602"/>
      <c r="AR329" s="602"/>
      <c r="AS329" s="602"/>
      <c r="AT329" s="602"/>
      <c r="AU329" s="602"/>
      <c r="AV329" s="602"/>
      <c r="AW329" s="602"/>
      <c r="AX329" s="602"/>
      <c r="AY329" s="602"/>
      <c r="AZ329" s="602"/>
      <c r="BA329" s="602"/>
    </row>
    <row r="330" spans="2:53">
      <c r="B330" s="602"/>
      <c r="C330" s="602"/>
      <c r="D330" s="602"/>
      <c r="G330" s="602"/>
      <c r="H330" s="602"/>
      <c r="I330" s="602"/>
      <c r="J330" s="602"/>
      <c r="K330" s="602"/>
      <c r="L330" s="602"/>
      <c r="M330" s="602"/>
      <c r="N330" s="602"/>
      <c r="O330" s="602"/>
      <c r="P330" s="602"/>
      <c r="Q330" s="602"/>
      <c r="R330" s="602"/>
      <c r="S330" s="602"/>
      <c r="T330" s="602"/>
      <c r="U330" s="602"/>
      <c r="V330" s="602"/>
      <c r="W330" s="602"/>
      <c r="X330" s="602"/>
      <c r="Y330" s="602"/>
      <c r="Z330" s="602"/>
      <c r="AA330" s="602"/>
      <c r="AB330" s="602"/>
      <c r="AC330" s="602"/>
      <c r="AD330" s="602"/>
      <c r="AE330" s="602"/>
      <c r="AF330" s="602"/>
      <c r="AG330" s="602"/>
      <c r="AH330" s="602"/>
      <c r="AI330" s="602"/>
      <c r="AJ330" s="602"/>
      <c r="AK330" s="602"/>
      <c r="AL330" s="602"/>
      <c r="AM330" s="602"/>
      <c r="AN330" s="602"/>
      <c r="AO330" s="602"/>
      <c r="AP330" s="602"/>
      <c r="AQ330" s="602"/>
      <c r="AR330" s="602"/>
      <c r="AS330" s="602"/>
      <c r="AT330" s="602"/>
      <c r="AU330" s="602"/>
      <c r="AV330" s="602"/>
      <c r="AW330" s="602"/>
      <c r="AX330" s="602"/>
      <c r="AY330" s="602"/>
      <c r="AZ330" s="602"/>
      <c r="BA330" s="602"/>
    </row>
    <row r="331" spans="2:53">
      <c r="B331" s="602"/>
      <c r="C331" s="602"/>
      <c r="D331" s="602"/>
      <c r="G331" s="602"/>
      <c r="H331" s="602"/>
      <c r="I331" s="602"/>
      <c r="J331" s="602"/>
      <c r="K331" s="602"/>
      <c r="L331" s="602"/>
      <c r="M331" s="602"/>
      <c r="N331" s="602"/>
      <c r="O331" s="602"/>
      <c r="P331" s="602"/>
      <c r="Q331" s="602"/>
      <c r="R331" s="602"/>
      <c r="S331" s="602"/>
      <c r="T331" s="602"/>
      <c r="U331" s="602"/>
      <c r="V331" s="602"/>
      <c r="W331" s="602"/>
      <c r="X331" s="602"/>
      <c r="Y331" s="602"/>
      <c r="Z331" s="602"/>
      <c r="AA331" s="602"/>
      <c r="AB331" s="602"/>
      <c r="AC331" s="602"/>
      <c r="AD331" s="602"/>
      <c r="AE331" s="602"/>
      <c r="AF331" s="602"/>
      <c r="AG331" s="602"/>
      <c r="AH331" s="602"/>
      <c r="AI331" s="602"/>
      <c r="AJ331" s="602"/>
      <c r="AK331" s="602"/>
      <c r="AL331" s="602"/>
      <c r="AM331" s="602"/>
      <c r="AN331" s="602"/>
      <c r="AO331" s="602"/>
      <c r="AP331" s="602"/>
      <c r="AQ331" s="602"/>
      <c r="AR331" s="602"/>
      <c r="AS331" s="602"/>
      <c r="AT331" s="602"/>
      <c r="AU331" s="602"/>
      <c r="AV331" s="602"/>
      <c r="AW331" s="602"/>
      <c r="AX331" s="602"/>
      <c r="AY331" s="602"/>
      <c r="AZ331" s="602"/>
      <c r="BA331" s="602"/>
    </row>
    <row r="332" spans="2:53">
      <c r="B332" s="602"/>
      <c r="C332" s="602"/>
      <c r="D332" s="602"/>
      <c r="G332" s="602"/>
      <c r="H332" s="602"/>
      <c r="I332" s="602"/>
      <c r="J332" s="602"/>
      <c r="K332" s="602"/>
      <c r="L332" s="602"/>
      <c r="M332" s="602"/>
      <c r="N332" s="602"/>
      <c r="O332" s="602"/>
      <c r="P332" s="602"/>
      <c r="Q332" s="602"/>
      <c r="R332" s="602"/>
      <c r="S332" s="602"/>
      <c r="T332" s="602"/>
      <c r="U332" s="602"/>
      <c r="V332" s="602"/>
      <c r="W332" s="602"/>
      <c r="X332" s="602"/>
      <c r="Y332" s="602"/>
      <c r="Z332" s="602"/>
      <c r="AA332" s="602"/>
      <c r="AB332" s="602"/>
      <c r="AC332" s="602"/>
      <c r="AD332" s="602"/>
      <c r="AE332" s="602"/>
      <c r="AF332" s="602"/>
      <c r="AG332" s="602"/>
      <c r="AH332" s="602"/>
      <c r="AI332" s="602"/>
      <c r="AJ332" s="602"/>
      <c r="AK332" s="602"/>
      <c r="AL332" s="602"/>
      <c r="AM332" s="602"/>
      <c r="AN332" s="602"/>
      <c r="AO332" s="602"/>
      <c r="AP332" s="602"/>
      <c r="AQ332" s="602"/>
      <c r="AR332" s="602"/>
      <c r="AS332" s="602"/>
      <c r="AT332" s="602"/>
      <c r="AU332" s="602"/>
      <c r="AV332" s="602"/>
      <c r="AW332" s="602"/>
      <c r="AX332" s="602"/>
      <c r="AY332" s="602"/>
      <c r="AZ332" s="602"/>
      <c r="BA332" s="602"/>
    </row>
    <row r="333" spans="2:53">
      <c r="B333" s="602"/>
      <c r="C333" s="602"/>
      <c r="D333" s="602"/>
      <c r="G333" s="602"/>
      <c r="H333" s="602"/>
      <c r="I333" s="602"/>
      <c r="J333" s="602"/>
      <c r="K333" s="602"/>
      <c r="L333" s="602"/>
      <c r="M333" s="602"/>
      <c r="N333" s="602"/>
      <c r="O333" s="602"/>
      <c r="P333" s="602"/>
      <c r="Q333" s="602"/>
      <c r="R333" s="602"/>
      <c r="S333" s="602"/>
      <c r="T333" s="602"/>
      <c r="U333" s="602"/>
      <c r="V333" s="602"/>
      <c r="W333" s="602"/>
      <c r="X333" s="602"/>
      <c r="Y333" s="602"/>
      <c r="Z333" s="602"/>
      <c r="AA333" s="602"/>
      <c r="AB333" s="602"/>
      <c r="AC333" s="602"/>
      <c r="AD333" s="602"/>
      <c r="AE333" s="602"/>
      <c r="AF333" s="602"/>
      <c r="AG333" s="602"/>
      <c r="AH333" s="602"/>
      <c r="AI333" s="602"/>
      <c r="AJ333" s="602"/>
      <c r="AK333" s="602"/>
      <c r="AL333" s="602"/>
      <c r="AM333" s="602"/>
      <c r="AN333" s="602"/>
      <c r="AO333" s="602"/>
      <c r="AP333" s="602"/>
      <c r="AQ333" s="602"/>
      <c r="AR333" s="602"/>
      <c r="AS333" s="602"/>
      <c r="AT333" s="602"/>
      <c r="AU333" s="602"/>
      <c r="AV333" s="602"/>
      <c r="AW333" s="602"/>
      <c r="AX333" s="602"/>
      <c r="AY333" s="602"/>
      <c r="AZ333" s="602"/>
      <c r="BA333" s="602"/>
    </row>
    <row r="334" spans="2:53">
      <c r="B334" s="602"/>
      <c r="C334" s="602"/>
      <c r="D334" s="602"/>
      <c r="G334" s="602"/>
      <c r="H334" s="602"/>
      <c r="I334" s="602"/>
      <c r="J334" s="602"/>
      <c r="K334" s="602"/>
      <c r="L334" s="602"/>
      <c r="M334" s="602"/>
      <c r="N334" s="602"/>
      <c r="O334" s="602"/>
      <c r="P334" s="602"/>
      <c r="Q334" s="602"/>
      <c r="R334" s="602"/>
      <c r="S334" s="602"/>
      <c r="T334" s="602"/>
      <c r="U334" s="602"/>
      <c r="V334" s="602"/>
      <c r="W334" s="602"/>
      <c r="X334" s="602"/>
      <c r="Y334" s="602"/>
      <c r="Z334" s="602"/>
      <c r="AA334" s="602"/>
      <c r="AB334" s="602"/>
      <c r="AC334" s="602"/>
      <c r="AD334" s="602"/>
      <c r="AE334" s="602"/>
      <c r="AF334" s="602"/>
      <c r="AG334" s="602"/>
      <c r="AH334" s="602"/>
      <c r="AI334" s="602"/>
      <c r="AJ334" s="602"/>
      <c r="AK334" s="602"/>
      <c r="AL334" s="602"/>
      <c r="AM334" s="602"/>
      <c r="AN334" s="602"/>
      <c r="AO334" s="602"/>
      <c r="AP334" s="602"/>
      <c r="AQ334" s="602"/>
      <c r="AR334" s="602"/>
      <c r="AS334" s="602"/>
      <c r="AT334" s="602"/>
      <c r="AU334" s="602"/>
      <c r="AV334" s="602"/>
      <c r="AW334" s="602"/>
      <c r="AX334" s="602"/>
      <c r="AY334" s="602"/>
      <c r="AZ334" s="602"/>
      <c r="BA334" s="602"/>
    </row>
    <row r="335" spans="2:53">
      <c r="B335" s="602"/>
      <c r="C335" s="602"/>
      <c r="D335" s="602"/>
      <c r="G335" s="602"/>
      <c r="H335" s="602"/>
      <c r="I335" s="602"/>
      <c r="J335" s="602"/>
      <c r="K335" s="602"/>
      <c r="L335" s="602"/>
      <c r="M335" s="602"/>
      <c r="N335" s="602"/>
      <c r="O335" s="602"/>
      <c r="P335" s="602"/>
      <c r="Q335" s="602"/>
      <c r="R335" s="602"/>
      <c r="S335" s="602"/>
      <c r="T335" s="602"/>
      <c r="U335" s="602"/>
      <c r="V335" s="602"/>
      <c r="W335" s="602"/>
      <c r="X335" s="602"/>
      <c r="Y335" s="602"/>
      <c r="Z335" s="602"/>
      <c r="AA335" s="602"/>
      <c r="AB335" s="602"/>
      <c r="AC335" s="602"/>
      <c r="AD335" s="602"/>
      <c r="AE335" s="602"/>
      <c r="AF335" s="602"/>
      <c r="AG335" s="602"/>
      <c r="AH335" s="602"/>
      <c r="AI335" s="602"/>
      <c r="AJ335" s="602"/>
      <c r="AK335" s="602"/>
      <c r="AL335" s="602"/>
      <c r="AM335" s="602"/>
      <c r="AN335" s="602"/>
      <c r="AO335" s="602"/>
      <c r="AP335" s="602"/>
      <c r="AQ335" s="602"/>
      <c r="AR335" s="602"/>
      <c r="AS335" s="602"/>
      <c r="AT335" s="602"/>
      <c r="AU335" s="602"/>
      <c r="AV335" s="602"/>
      <c r="AW335" s="602"/>
      <c r="AX335" s="602"/>
      <c r="AY335" s="602"/>
      <c r="AZ335" s="602"/>
      <c r="BA335" s="602"/>
    </row>
    <row r="336" spans="2:53">
      <c r="B336" s="602"/>
      <c r="C336" s="602"/>
      <c r="D336" s="602"/>
      <c r="G336" s="602"/>
      <c r="H336" s="602"/>
      <c r="I336" s="602"/>
      <c r="J336" s="602"/>
      <c r="K336" s="602"/>
      <c r="L336" s="602"/>
      <c r="M336" s="602"/>
      <c r="N336" s="602"/>
      <c r="O336" s="602"/>
      <c r="P336" s="602"/>
      <c r="Q336" s="602"/>
      <c r="R336" s="602"/>
      <c r="S336" s="602"/>
      <c r="T336" s="602"/>
      <c r="U336" s="602"/>
      <c r="V336" s="602"/>
      <c r="W336" s="602"/>
      <c r="X336" s="602"/>
      <c r="Y336" s="602"/>
      <c r="Z336" s="602"/>
      <c r="AA336" s="602"/>
      <c r="AB336" s="602"/>
      <c r="AC336" s="602"/>
      <c r="AD336" s="602"/>
      <c r="AE336" s="602"/>
      <c r="AF336" s="602"/>
      <c r="AG336" s="602"/>
      <c r="AH336" s="602"/>
      <c r="AI336" s="602"/>
      <c r="AJ336" s="602"/>
      <c r="AK336" s="602"/>
      <c r="AL336" s="602"/>
      <c r="AM336" s="602"/>
      <c r="AN336" s="602"/>
      <c r="AO336" s="602"/>
      <c r="AP336" s="602"/>
      <c r="AQ336" s="602"/>
      <c r="AR336" s="602"/>
      <c r="AS336" s="602"/>
      <c r="AT336" s="602"/>
      <c r="AU336" s="602"/>
      <c r="AV336" s="602"/>
      <c r="AW336" s="602"/>
      <c r="AX336" s="602"/>
      <c r="AY336" s="602"/>
      <c r="AZ336" s="602"/>
      <c r="BA336" s="602"/>
    </row>
    <row r="337" spans="2:53">
      <c r="B337" s="602"/>
      <c r="C337" s="602"/>
      <c r="D337" s="602"/>
      <c r="G337" s="602"/>
      <c r="H337" s="602"/>
      <c r="I337" s="602"/>
      <c r="J337" s="602"/>
      <c r="K337" s="602"/>
      <c r="L337" s="602"/>
      <c r="M337" s="602"/>
      <c r="N337" s="602"/>
      <c r="O337" s="602"/>
      <c r="P337" s="602"/>
      <c r="Q337" s="602"/>
      <c r="R337" s="602"/>
      <c r="S337" s="602"/>
      <c r="T337" s="602"/>
      <c r="U337" s="602"/>
      <c r="V337" s="602"/>
      <c r="W337" s="602"/>
      <c r="X337" s="602"/>
      <c r="Y337" s="602"/>
      <c r="Z337" s="602"/>
      <c r="AA337" s="602"/>
      <c r="AB337" s="602"/>
      <c r="AC337" s="602"/>
      <c r="AD337" s="602"/>
      <c r="AE337" s="602"/>
      <c r="AF337" s="602"/>
      <c r="AG337" s="602"/>
      <c r="AH337" s="602"/>
      <c r="AI337" s="602"/>
      <c r="AJ337" s="602"/>
      <c r="AK337" s="602"/>
      <c r="AL337" s="602"/>
      <c r="AM337" s="602"/>
      <c r="AN337" s="602"/>
      <c r="AO337" s="602"/>
      <c r="AP337" s="602"/>
      <c r="AQ337" s="602"/>
      <c r="AR337" s="602"/>
      <c r="AS337" s="602"/>
      <c r="AT337" s="602"/>
      <c r="AU337" s="602"/>
      <c r="AV337" s="602"/>
      <c r="AW337" s="602"/>
      <c r="AX337" s="602"/>
      <c r="AY337" s="602"/>
      <c r="AZ337" s="602"/>
      <c r="BA337" s="602"/>
    </row>
    <row r="338" spans="2:53">
      <c r="B338" s="602"/>
      <c r="C338" s="602"/>
      <c r="D338" s="602"/>
      <c r="G338" s="602"/>
      <c r="H338" s="602"/>
      <c r="I338" s="602"/>
      <c r="J338" s="602"/>
      <c r="K338" s="602"/>
      <c r="L338" s="602"/>
      <c r="M338" s="602"/>
      <c r="N338" s="602"/>
      <c r="O338" s="602"/>
      <c r="P338" s="602"/>
      <c r="Q338" s="602"/>
      <c r="R338" s="602"/>
      <c r="S338" s="602"/>
      <c r="T338" s="602"/>
      <c r="U338" s="602"/>
      <c r="V338" s="602"/>
      <c r="W338" s="602"/>
      <c r="X338" s="602"/>
      <c r="Y338" s="602"/>
      <c r="Z338" s="602"/>
      <c r="AA338" s="602"/>
      <c r="AB338" s="602"/>
      <c r="AC338" s="602"/>
      <c r="AD338" s="602"/>
      <c r="AE338" s="602"/>
      <c r="AF338" s="602"/>
      <c r="AG338" s="602"/>
      <c r="AH338" s="602"/>
      <c r="AI338" s="602"/>
      <c r="AJ338" s="602"/>
      <c r="AK338" s="602"/>
      <c r="AL338" s="602"/>
      <c r="AM338" s="602"/>
      <c r="AN338" s="602"/>
      <c r="AO338" s="602"/>
      <c r="AP338" s="602"/>
      <c r="AQ338" s="602"/>
      <c r="AR338" s="602"/>
      <c r="AS338" s="602"/>
      <c r="AT338" s="602"/>
      <c r="AU338" s="602"/>
      <c r="AV338" s="602"/>
      <c r="AW338" s="602"/>
      <c r="AX338" s="602"/>
      <c r="AY338" s="602"/>
      <c r="AZ338" s="602"/>
      <c r="BA338" s="602"/>
    </row>
    <row r="339" spans="2:53">
      <c r="B339" s="602"/>
      <c r="C339" s="602"/>
      <c r="D339" s="602"/>
      <c r="G339" s="602"/>
      <c r="H339" s="602"/>
      <c r="I339" s="602"/>
      <c r="J339" s="602"/>
      <c r="K339" s="602"/>
      <c r="L339" s="602"/>
      <c r="M339" s="602"/>
      <c r="N339" s="602"/>
      <c r="O339" s="602"/>
      <c r="P339" s="602"/>
      <c r="Q339" s="602"/>
      <c r="R339" s="602"/>
      <c r="S339" s="602"/>
      <c r="T339" s="602"/>
      <c r="U339" s="602"/>
      <c r="V339" s="602"/>
      <c r="W339" s="602"/>
      <c r="X339" s="602"/>
      <c r="Y339" s="602"/>
      <c r="Z339" s="602"/>
      <c r="AA339" s="602"/>
      <c r="AB339" s="602"/>
      <c r="AC339" s="602"/>
      <c r="AD339" s="602"/>
      <c r="AE339" s="602"/>
      <c r="AF339" s="602"/>
      <c r="AG339" s="602"/>
      <c r="AH339" s="602"/>
      <c r="AI339" s="602"/>
      <c r="AJ339" s="602"/>
      <c r="AK339" s="602"/>
      <c r="AL339" s="602"/>
      <c r="AM339" s="602"/>
      <c r="AN339" s="602"/>
      <c r="AO339" s="602"/>
      <c r="AP339" s="602"/>
      <c r="AQ339" s="602"/>
      <c r="AR339" s="602"/>
      <c r="AS339" s="602"/>
      <c r="AT339" s="602"/>
      <c r="AU339" s="602"/>
      <c r="AV339" s="602"/>
      <c r="AW339" s="602"/>
      <c r="AX339" s="602"/>
      <c r="AY339" s="602"/>
      <c r="AZ339" s="602"/>
      <c r="BA339" s="602"/>
    </row>
    <row r="340" spans="2:53">
      <c r="B340" s="602"/>
      <c r="C340" s="602"/>
      <c r="D340" s="602"/>
      <c r="G340" s="602"/>
      <c r="H340" s="602"/>
      <c r="I340" s="602"/>
      <c r="J340" s="602"/>
      <c r="K340" s="602"/>
      <c r="L340" s="602"/>
      <c r="M340" s="602"/>
      <c r="N340" s="602"/>
      <c r="O340" s="602"/>
      <c r="P340" s="602"/>
      <c r="Q340" s="602"/>
      <c r="R340" s="602"/>
      <c r="S340" s="602"/>
      <c r="T340" s="602"/>
      <c r="U340" s="602"/>
      <c r="V340" s="602"/>
      <c r="W340" s="602"/>
      <c r="X340" s="602"/>
      <c r="Y340" s="602"/>
      <c r="Z340" s="602"/>
      <c r="AA340" s="602"/>
      <c r="AB340" s="602"/>
      <c r="AC340" s="602"/>
      <c r="AD340" s="602"/>
      <c r="AE340" s="602"/>
      <c r="AF340" s="602"/>
      <c r="AG340" s="602"/>
      <c r="AH340" s="602"/>
      <c r="AI340" s="602"/>
      <c r="AJ340" s="602"/>
      <c r="AK340" s="602"/>
      <c r="AL340" s="602"/>
      <c r="AM340" s="602"/>
      <c r="AN340" s="602"/>
      <c r="AO340" s="602"/>
      <c r="AP340" s="602"/>
      <c r="AQ340" s="602"/>
      <c r="AR340" s="602"/>
      <c r="AS340" s="602"/>
      <c r="AT340" s="602"/>
      <c r="AU340" s="602"/>
      <c r="AV340" s="602"/>
      <c r="AW340" s="602"/>
      <c r="AX340" s="602"/>
      <c r="AY340" s="602"/>
      <c r="AZ340" s="602"/>
      <c r="BA340" s="602"/>
    </row>
    <row r="341" spans="2:53">
      <c r="B341" s="602"/>
      <c r="C341" s="602"/>
      <c r="D341" s="602"/>
      <c r="G341" s="602"/>
      <c r="H341" s="602"/>
      <c r="I341" s="602"/>
      <c r="J341" s="602"/>
      <c r="K341" s="602"/>
      <c r="L341" s="602"/>
      <c r="M341" s="602"/>
      <c r="N341" s="602"/>
      <c r="O341" s="602"/>
      <c r="P341" s="602"/>
      <c r="Q341" s="602"/>
      <c r="R341" s="602"/>
      <c r="S341" s="602"/>
      <c r="T341" s="602"/>
      <c r="U341" s="602"/>
      <c r="V341" s="602"/>
      <c r="W341" s="602"/>
      <c r="X341" s="602"/>
      <c r="Y341" s="602"/>
      <c r="Z341" s="602"/>
      <c r="AA341" s="602"/>
      <c r="AB341" s="602"/>
      <c r="AC341" s="602"/>
      <c r="AD341" s="602"/>
      <c r="AE341" s="602"/>
      <c r="AF341" s="602"/>
      <c r="AG341" s="602"/>
      <c r="AH341" s="602"/>
      <c r="AI341" s="602"/>
      <c r="AJ341" s="602"/>
      <c r="AK341" s="602"/>
      <c r="AL341" s="602"/>
      <c r="AM341" s="602"/>
      <c r="AN341" s="602"/>
      <c r="AO341" s="602"/>
      <c r="AP341" s="602"/>
      <c r="AQ341" s="602"/>
      <c r="AR341" s="602"/>
      <c r="AS341" s="602"/>
      <c r="AT341" s="602"/>
      <c r="AU341" s="602"/>
      <c r="AV341" s="602"/>
      <c r="AW341" s="602"/>
      <c r="AX341" s="602"/>
      <c r="AY341" s="602"/>
      <c r="AZ341" s="602"/>
      <c r="BA341" s="602"/>
    </row>
    <row r="342" spans="2:53">
      <c r="B342" s="602"/>
      <c r="C342" s="602"/>
      <c r="D342" s="602"/>
      <c r="G342" s="602"/>
      <c r="H342" s="602"/>
      <c r="I342" s="602"/>
      <c r="J342" s="602"/>
      <c r="K342" s="602"/>
      <c r="L342" s="602"/>
      <c r="M342" s="602"/>
      <c r="N342" s="602"/>
      <c r="O342" s="602"/>
      <c r="P342" s="602"/>
      <c r="Q342" s="602"/>
      <c r="R342" s="602"/>
      <c r="S342" s="602"/>
      <c r="T342" s="602"/>
      <c r="U342" s="602"/>
      <c r="V342" s="602"/>
      <c r="W342" s="602"/>
      <c r="X342" s="602"/>
      <c r="Y342" s="602"/>
      <c r="Z342" s="602"/>
      <c r="AA342" s="602"/>
      <c r="AB342" s="602"/>
      <c r="AC342" s="602"/>
      <c r="AD342" s="602"/>
      <c r="AE342" s="602"/>
      <c r="AF342" s="602"/>
      <c r="AG342" s="602"/>
      <c r="AH342" s="602"/>
      <c r="AI342" s="602"/>
      <c r="AJ342" s="602"/>
      <c r="AK342" s="602"/>
      <c r="AL342" s="602"/>
      <c r="AM342" s="602"/>
      <c r="AN342" s="602"/>
      <c r="AO342" s="602"/>
      <c r="AP342" s="602"/>
      <c r="AQ342" s="602"/>
      <c r="AR342" s="602"/>
      <c r="AS342" s="602"/>
      <c r="AT342" s="602"/>
      <c r="AU342" s="602"/>
      <c r="AV342" s="602"/>
      <c r="AW342" s="602"/>
      <c r="AX342" s="602"/>
      <c r="AY342" s="602"/>
      <c r="AZ342" s="602"/>
      <c r="BA342" s="602"/>
    </row>
    <row r="343" spans="2:53">
      <c r="B343" s="602"/>
      <c r="C343" s="602"/>
      <c r="D343" s="602"/>
      <c r="G343" s="602"/>
      <c r="H343" s="602"/>
      <c r="I343" s="602"/>
      <c r="J343" s="602"/>
      <c r="K343" s="602"/>
      <c r="L343" s="602"/>
      <c r="M343" s="602"/>
      <c r="N343" s="602"/>
      <c r="O343" s="602"/>
      <c r="P343" s="602"/>
      <c r="Q343" s="602"/>
      <c r="R343" s="602"/>
      <c r="S343" s="602"/>
      <c r="T343" s="602"/>
      <c r="U343" s="602"/>
      <c r="V343" s="602"/>
      <c r="W343" s="602"/>
      <c r="X343" s="602"/>
      <c r="Y343" s="602"/>
      <c r="Z343" s="602"/>
      <c r="AA343" s="602"/>
      <c r="AB343" s="602"/>
      <c r="AC343" s="602"/>
      <c r="AD343" s="602"/>
      <c r="AE343" s="602"/>
      <c r="AF343" s="602"/>
      <c r="AG343" s="602"/>
      <c r="AH343" s="602"/>
      <c r="AI343" s="602"/>
      <c r="AJ343" s="602"/>
      <c r="AK343" s="602"/>
      <c r="AL343" s="602"/>
      <c r="AM343" s="602"/>
      <c r="AN343" s="602"/>
      <c r="AO343" s="602"/>
      <c r="AP343" s="602"/>
      <c r="AQ343" s="602"/>
      <c r="AR343" s="602"/>
      <c r="AS343" s="602"/>
      <c r="AT343" s="602"/>
      <c r="AU343" s="602"/>
      <c r="AV343" s="602"/>
      <c r="AW343" s="602"/>
      <c r="AX343" s="602"/>
      <c r="AY343" s="602"/>
      <c r="AZ343" s="602"/>
      <c r="BA343" s="602"/>
    </row>
    <row r="344" spans="2:53">
      <c r="B344" s="602"/>
      <c r="C344" s="602"/>
      <c r="D344" s="602"/>
      <c r="G344" s="602"/>
      <c r="H344" s="602"/>
      <c r="I344" s="602"/>
      <c r="J344" s="602"/>
      <c r="K344" s="602"/>
      <c r="L344" s="602"/>
      <c r="M344" s="602"/>
      <c r="N344" s="602"/>
      <c r="O344" s="602"/>
      <c r="P344" s="602"/>
      <c r="Q344" s="602"/>
      <c r="R344" s="602"/>
      <c r="S344" s="602"/>
      <c r="T344" s="602"/>
      <c r="U344" s="602"/>
      <c r="V344" s="602"/>
      <c r="W344" s="602"/>
      <c r="X344" s="602"/>
      <c r="Y344" s="602"/>
      <c r="Z344" s="602"/>
      <c r="AA344" s="602"/>
      <c r="AB344" s="602"/>
      <c r="AC344" s="602"/>
      <c r="AD344" s="602"/>
      <c r="AE344" s="602"/>
      <c r="AF344" s="602"/>
      <c r="AG344" s="602"/>
      <c r="AH344" s="602"/>
      <c r="AI344" s="602"/>
      <c r="AJ344" s="602"/>
      <c r="AK344" s="602"/>
      <c r="AL344" s="602"/>
      <c r="AM344" s="602"/>
      <c r="AN344" s="602"/>
      <c r="AO344" s="602"/>
      <c r="AP344" s="602"/>
      <c r="AQ344" s="602"/>
      <c r="AR344" s="602"/>
      <c r="AS344" s="602"/>
      <c r="AT344" s="602"/>
      <c r="AU344" s="602"/>
      <c r="AV344" s="602"/>
      <c r="AW344" s="602"/>
      <c r="AX344" s="602"/>
      <c r="AY344" s="602"/>
      <c r="AZ344" s="602"/>
      <c r="BA344" s="602"/>
    </row>
    <row r="345" spans="2:53">
      <c r="B345" s="602"/>
      <c r="C345" s="602"/>
      <c r="D345" s="602"/>
      <c r="G345" s="602"/>
      <c r="H345" s="602"/>
      <c r="I345" s="602"/>
      <c r="J345" s="602"/>
      <c r="K345" s="602"/>
      <c r="L345" s="602"/>
      <c r="M345" s="602"/>
      <c r="N345" s="602"/>
      <c r="O345" s="602"/>
      <c r="P345" s="602"/>
      <c r="Q345" s="602"/>
      <c r="R345" s="602"/>
      <c r="S345" s="602"/>
      <c r="T345" s="602"/>
      <c r="U345" s="602"/>
      <c r="V345" s="602"/>
      <c r="W345" s="602"/>
      <c r="X345" s="602"/>
      <c r="Y345" s="602"/>
      <c r="Z345" s="602"/>
      <c r="AA345" s="602"/>
      <c r="AB345" s="602"/>
      <c r="AC345" s="602"/>
      <c r="AD345" s="602"/>
      <c r="AE345" s="602"/>
      <c r="AF345" s="602"/>
      <c r="AG345" s="602"/>
      <c r="AH345" s="602"/>
      <c r="AI345" s="602"/>
      <c r="AJ345" s="602"/>
      <c r="AK345" s="602"/>
      <c r="AL345" s="602"/>
      <c r="AM345" s="602"/>
      <c r="AN345" s="602"/>
      <c r="AO345" s="602"/>
      <c r="AP345" s="602"/>
      <c r="AQ345" s="602"/>
      <c r="AR345" s="602"/>
      <c r="AS345" s="602"/>
      <c r="AT345" s="602"/>
      <c r="AU345" s="602"/>
      <c r="AV345" s="602"/>
      <c r="AW345" s="602"/>
      <c r="AX345" s="602"/>
      <c r="AY345" s="602"/>
      <c r="AZ345" s="602"/>
      <c r="BA345" s="602"/>
    </row>
    <row r="346" spans="2:53">
      <c r="B346" s="602"/>
      <c r="C346" s="602"/>
      <c r="D346" s="602"/>
      <c r="G346" s="602"/>
      <c r="H346" s="602"/>
      <c r="I346" s="602"/>
      <c r="J346" s="602"/>
      <c r="K346" s="602"/>
      <c r="L346" s="602"/>
      <c r="M346" s="602"/>
      <c r="N346" s="602"/>
      <c r="O346" s="602"/>
      <c r="P346" s="602"/>
      <c r="Q346" s="602"/>
      <c r="R346" s="602"/>
      <c r="S346" s="602"/>
      <c r="T346" s="602"/>
      <c r="U346" s="602"/>
      <c r="V346" s="602"/>
      <c r="W346" s="602"/>
      <c r="X346" s="602"/>
      <c r="Y346" s="602"/>
      <c r="Z346" s="602"/>
      <c r="AA346" s="602"/>
      <c r="AB346" s="602"/>
      <c r="AC346" s="602"/>
      <c r="AD346" s="602"/>
      <c r="AE346" s="602"/>
      <c r="AF346" s="602"/>
      <c r="AG346" s="602"/>
      <c r="AH346" s="602"/>
      <c r="AI346" s="602"/>
      <c r="AJ346" s="602"/>
      <c r="AK346" s="602"/>
      <c r="AL346" s="602"/>
      <c r="AM346" s="602"/>
      <c r="AN346" s="602"/>
      <c r="AO346" s="602"/>
      <c r="AP346" s="602"/>
      <c r="AQ346" s="602"/>
      <c r="AR346" s="602"/>
      <c r="AS346" s="602"/>
      <c r="AT346" s="602"/>
      <c r="AU346" s="602"/>
      <c r="AV346" s="602"/>
      <c r="AW346" s="602"/>
      <c r="AX346" s="602"/>
      <c r="AY346" s="602"/>
      <c r="AZ346" s="602"/>
      <c r="BA346" s="602"/>
    </row>
    <row r="347" spans="2:53">
      <c r="B347" s="602"/>
      <c r="C347" s="602"/>
      <c r="D347" s="602"/>
      <c r="G347" s="602"/>
      <c r="H347" s="602"/>
      <c r="I347" s="602"/>
      <c r="J347" s="602"/>
      <c r="K347" s="602"/>
      <c r="L347" s="602"/>
      <c r="M347" s="602"/>
      <c r="N347" s="602"/>
      <c r="O347" s="602"/>
      <c r="P347" s="602"/>
      <c r="Q347" s="602"/>
      <c r="R347" s="602"/>
      <c r="S347" s="602"/>
      <c r="T347" s="602"/>
      <c r="U347" s="602"/>
      <c r="V347" s="602"/>
      <c r="W347" s="602"/>
      <c r="X347" s="602"/>
      <c r="Y347" s="602"/>
      <c r="Z347" s="602"/>
      <c r="AA347" s="602"/>
      <c r="AB347" s="602"/>
      <c r="AC347" s="602"/>
      <c r="AD347" s="602"/>
      <c r="AE347" s="602"/>
      <c r="AF347" s="602"/>
      <c r="AG347" s="602"/>
      <c r="AH347" s="602"/>
      <c r="AI347" s="602"/>
      <c r="AJ347" s="602"/>
      <c r="AK347" s="602"/>
      <c r="AL347" s="602"/>
      <c r="AM347" s="602"/>
      <c r="AN347" s="602"/>
      <c r="AO347" s="602"/>
      <c r="AP347" s="602"/>
      <c r="AQ347" s="602"/>
      <c r="AR347" s="602"/>
      <c r="AS347" s="602"/>
      <c r="AT347" s="602"/>
      <c r="AU347" s="602"/>
      <c r="AV347" s="602"/>
      <c r="AW347" s="602"/>
      <c r="AX347" s="602"/>
      <c r="AY347" s="602"/>
      <c r="AZ347" s="602"/>
      <c r="BA347" s="602"/>
    </row>
    <row r="348" spans="2:53">
      <c r="B348" s="602"/>
      <c r="C348" s="602"/>
      <c r="D348" s="602"/>
      <c r="G348" s="602"/>
      <c r="H348" s="602"/>
      <c r="I348" s="602"/>
      <c r="J348" s="602"/>
      <c r="K348" s="602"/>
      <c r="L348" s="602"/>
      <c r="M348" s="602"/>
      <c r="N348" s="602"/>
      <c r="O348" s="602"/>
      <c r="P348" s="602"/>
      <c r="Q348" s="602"/>
      <c r="R348" s="602"/>
      <c r="S348" s="602"/>
      <c r="T348" s="602"/>
      <c r="U348" s="602"/>
      <c r="V348" s="602"/>
      <c r="W348" s="602"/>
      <c r="X348" s="602"/>
      <c r="Y348" s="602"/>
      <c r="Z348" s="602"/>
      <c r="AA348" s="602"/>
      <c r="AB348" s="602"/>
      <c r="AC348" s="602"/>
      <c r="AD348" s="602"/>
      <c r="AE348" s="602"/>
      <c r="AF348" s="602"/>
      <c r="AG348" s="602"/>
      <c r="AH348" s="602"/>
      <c r="AI348" s="602"/>
      <c r="AJ348" s="602"/>
      <c r="AK348" s="602"/>
      <c r="AL348" s="602"/>
      <c r="AM348" s="602"/>
      <c r="AN348" s="602"/>
      <c r="AO348" s="602"/>
      <c r="AP348" s="602"/>
      <c r="AQ348" s="602"/>
      <c r="AR348" s="602"/>
      <c r="AS348" s="602"/>
      <c r="AT348" s="602"/>
      <c r="AU348" s="602"/>
      <c r="AV348" s="602"/>
      <c r="AW348" s="602"/>
      <c r="AX348" s="602"/>
      <c r="AY348" s="602"/>
      <c r="AZ348" s="602"/>
      <c r="BA348" s="602"/>
    </row>
    <row r="349" spans="2:53">
      <c r="B349" s="602"/>
      <c r="C349" s="602"/>
      <c r="D349" s="602"/>
      <c r="G349" s="602"/>
      <c r="H349" s="602"/>
      <c r="I349" s="602"/>
      <c r="J349" s="602"/>
      <c r="K349" s="602"/>
      <c r="L349" s="602"/>
      <c r="M349" s="602"/>
      <c r="N349" s="602"/>
      <c r="O349" s="602"/>
      <c r="P349" s="602"/>
      <c r="Q349" s="602"/>
      <c r="R349" s="602"/>
      <c r="S349" s="602"/>
      <c r="T349" s="602"/>
      <c r="U349" s="602"/>
      <c r="V349" s="602"/>
      <c r="W349" s="602"/>
      <c r="X349" s="602"/>
      <c r="Y349" s="602"/>
      <c r="Z349" s="602"/>
      <c r="AA349" s="602"/>
      <c r="AB349" s="602"/>
      <c r="AC349" s="602"/>
      <c r="AD349" s="602"/>
      <c r="AE349" s="602"/>
      <c r="AF349" s="602"/>
      <c r="AG349" s="602"/>
      <c r="AH349" s="602"/>
      <c r="AI349" s="602"/>
      <c r="AJ349" s="602"/>
      <c r="AK349" s="602"/>
      <c r="AL349" s="602"/>
      <c r="AM349" s="602"/>
      <c r="AN349" s="602"/>
      <c r="AO349" s="602"/>
      <c r="AP349" s="602"/>
      <c r="AQ349" s="602"/>
      <c r="AR349" s="602"/>
      <c r="AS349" s="602"/>
      <c r="AT349" s="602"/>
      <c r="AU349" s="602"/>
      <c r="AV349" s="602"/>
      <c r="AW349" s="602"/>
      <c r="AX349" s="602"/>
      <c r="AY349" s="602"/>
      <c r="AZ349" s="602"/>
      <c r="BA349" s="602"/>
    </row>
    <row r="350" spans="2:53">
      <c r="B350" s="602"/>
      <c r="C350" s="602"/>
      <c r="D350" s="602"/>
      <c r="G350" s="602"/>
      <c r="H350" s="602"/>
      <c r="I350" s="602"/>
      <c r="J350" s="602"/>
      <c r="K350" s="602"/>
      <c r="L350" s="602"/>
      <c r="M350" s="602"/>
      <c r="N350" s="602"/>
      <c r="O350" s="602"/>
      <c r="P350" s="602"/>
      <c r="Q350" s="602"/>
      <c r="R350" s="602"/>
      <c r="S350" s="602"/>
      <c r="T350" s="602"/>
      <c r="U350" s="602"/>
      <c r="V350" s="602"/>
      <c r="W350" s="602"/>
      <c r="X350" s="602"/>
      <c r="Y350" s="602"/>
      <c r="Z350" s="602"/>
      <c r="AA350" s="602"/>
      <c r="AB350" s="602"/>
      <c r="AC350" s="602"/>
      <c r="AD350" s="602"/>
      <c r="AE350" s="602"/>
      <c r="AF350" s="602"/>
      <c r="AG350" s="602"/>
      <c r="AH350" s="602"/>
      <c r="AI350" s="602"/>
      <c r="AJ350" s="602"/>
      <c r="AK350" s="602"/>
      <c r="AL350" s="602"/>
      <c r="AM350" s="602"/>
      <c r="AN350" s="602"/>
      <c r="AO350" s="602"/>
      <c r="AP350" s="602"/>
      <c r="AQ350" s="602"/>
      <c r="AR350" s="602"/>
      <c r="AS350" s="602"/>
      <c r="AT350" s="602"/>
      <c r="AU350" s="602"/>
      <c r="AV350" s="602"/>
      <c r="AW350" s="602"/>
      <c r="AX350" s="602"/>
      <c r="AY350" s="602"/>
      <c r="AZ350" s="602"/>
      <c r="BA350" s="602"/>
    </row>
    <row r="351" spans="2:53">
      <c r="B351" s="602"/>
      <c r="C351" s="602"/>
      <c r="D351" s="602"/>
      <c r="G351" s="602"/>
      <c r="H351" s="602"/>
      <c r="I351" s="602"/>
      <c r="J351" s="602"/>
      <c r="K351" s="602"/>
      <c r="L351" s="602"/>
      <c r="M351" s="602"/>
      <c r="N351" s="602"/>
      <c r="O351" s="602"/>
      <c r="P351" s="602"/>
      <c r="Q351" s="602"/>
      <c r="R351" s="602"/>
      <c r="S351" s="602"/>
      <c r="T351" s="602"/>
      <c r="U351" s="602"/>
      <c r="V351" s="602"/>
      <c r="W351" s="602"/>
      <c r="X351" s="602"/>
      <c r="Y351" s="602"/>
      <c r="Z351" s="602"/>
      <c r="AA351" s="602"/>
      <c r="AB351" s="602"/>
      <c r="AC351" s="602"/>
      <c r="AD351" s="602"/>
      <c r="AE351" s="602"/>
      <c r="AF351" s="602"/>
      <c r="AG351" s="602"/>
      <c r="AH351" s="602"/>
      <c r="AI351" s="602"/>
      <c r="AJ351" s="602"/>
      <c r="AK351" s="602"/>
      <c r="AL351" s="602"/>
      <c r="AM351" s="602"/>
      <c r="AN351" s="602"/>
      <c r="AO351" s="602"/>
      <c r="AP351" s="602"/>
      <c r="AQ351" s="602"/>
      <c r="AR351" s="602"/>
      <c r="AS351" s="602"/>
      <c r="AT351" s="602"/>
      <c r="AU351" s="602"/>
      <c r="AV351" s="602"/>
      <c r="AW351" s="602"/>
      <c r="AX351" s="602"/>
      <c r="AY351" s="602"/>
      <c r="AZ351" s="602"/>
      <c r="BA351" s="602"/>
    </row>
    <row r="352" spans="2:53">
      <c r="B352" s="602"/>
      <c r="C352" s="602"/>
      <c r="D352" s="602"/>
      <c r="G352" s="602"/>
      <c r="H352" s="602"/>
      <c r="I352" s="602"/>
      <c r="J352" s="602"/>
      <c r="K352" s="602"/>
      <c r="L352" s="602"/>
      <c r="M352" s="602"/>
      <c r="N352" s="602"/>
      <c r="O352" s="602"/>
      <c r="P352" s="602"/>
      <c r="Q352" s="602"/>
      <c r="R352" s="602"/>
      <c r="S352" s="602"/>
      <c r="T352" s="602"/>
      <c r="U352" s="602"/>
      <c r="V352" s="602"/>
      <c r="W352" s="602"/>
      <c r="X352" s="602"/>
      <c r="Y352" s="602"/>
      <c r="Z352" s="602"/>
      <c r="AA352" s="602"/>
      <c r="AB352" s="602"/>
      <c r="AC352" s="602"/>
      <c r="AD352" s="602"/>
      <c r="AE352" s="602"/>
      <c r="AF352" s="602"/>
      <c r="AG352" s="602"/>
      <c r="AH352" s="602"/>
      <c r="AI352" s="602"/>
      <c r="AJ352" s="602"/>
      <c r="AK352" s="602"/>
      <c r="AL352" s="602"/>
      <c r="AM352" s="602"/>
      <c r="AN352" s="602"/>
      <c r="AO352" s="602"/>
      <c r="AP352" s="602"/>
      <c r="AQ352" s="602"/>
      <c r="AR352" s="602"/>
      <c r="AS352" s="602"/>
      <c r="AT352" s="602"/>
      <c r="AU352" s="602"/>
      <c r="AV352" s="602"/>
      <c r="AW352" s="602"/>
      <c r="AX352" s="602"/>
      <c r="AY352" s="602"/>
      <c r="AZ352" s="602"/>
      <c r="BA352" s="602"/>
    </row>
    <row r="353" spans="2:53">
      <c r="B353" s="602"/>
      <c r="C353" s="602"/>
      <c r="D353" s="602"/>
      <c r="G353" s="602"/>
      <c r="H353" s="602"/>
      <c r="I353" s="602"/>
      <c r="J353" s="602"/>
      <c r="K353" s="602"/>
      <c r="L353" s="602"/>
      <c r="M353" s="602"/>
      <c r="N353" s="602"/>
      <c r="O353" s="602"/>
      <c r="P353" s="602"/>
      <c r="Q353" s="602"/>
      <c r="R353" s="602"/>
      <c r="S353" s="602"/>
      <c r="T353" s="602"/>
      <c r="U353" s="602"/>
      <c r="V353" s="602"/>
      <c r="W353" s="602"/>
      <c r="X353" s="602"/>
      <c r="Y353" s="602"/>
      <c r="Z353" s="602"/>
      <c r="AA353" s="602"/>
      <c r="AB353" s="602"/>
      <c r="AC353" s="602"/>
      <c r="AD353" s="602"/>
      <c r="AE353" s="602"/>
      <c r="AF353" s="602"/>
      <c r="AG353" s="602"/>
      <c r="AH353" s="602"/>
      <c r="AI353" s="602"/>
      <c r="AJ353" s="602"/>
      <c r="AK353" s="602"/>
      <c r="AL353" s="602"/>
      <c r="AM353" s="602"/>
      <c r="AN353" s="602"/>
      <c r="AO353" s="602"/>
      <c r="AP353" s="602"/>
      <c r="AQ353" s="602"/>
      <c r="AR353" s="602"/>
      <c r="AS353" s="602"/>
      <c r="AT353" s="602"/>
      <c r="AU353" s="602"/>
      <c r="AV353" s="602"/>
      <c r="AW353" s="602"/>
      <c r="AX353" s="602"/>
      <c r="AY353" s="602"/>
      <c r="AZ353" s="602"/>
      <c r="BA353" s="602"/>
    </row>
    <row r="354" spans="2:53">
      <c r="B354" s="602"/>
      <c r="C354" s="602"/>
      <c r="D354" s="602"/>
      <c r="G354" s="602"/>
      <c r="H354" s="602"/>
      <c r="I354" s="602"/>
      <c r="J354" s="602"/>
      <c r="K354" s="602"/>
      <c r="L354" s="602"/>
      <c r="M354" s="602"/>
      <c r="N354" s="602"/>
      <c r="O354" s="602"/>
      <c r="P354" s="602"/>
      <c r="Q354" s="602"/>
      <c r="R354" s="602"/>
      <c r="S354" s="602"/>
      <c r="T354" s="602"/>
      <c r="U354" s="602"/>
      <c r="V354" s="602"/>
      <c r="W354" s="602"/>
      <c r="X354" s="602"/>
      <c r="Y354" s="602"/>
      <c r="Z354" s="602"/>
      <c r="AA354" s="602"/>
      <c r="AB354" s="602"/>
      <c r="AC354" s="602"/>
      <c r="AD354" s="602"/>
      <c r="AE354" s="602"/>
      <c r="AF354" s="602"/>
      <c r="AG354" s="602"/>
      <c r="AH354" s="602"/>
      <c r="AI354" s="602"/>
      <c r="AJ354" s="602"/>
      <c r="AK354" s="602"/>
      <c r="AL354" s="602"/>
      <c r="AM354" s="602"/>
      <c r="AN354" s="602"/>
      <c r="AO354" s="602"/>
      <c r="AP354" s="602"/>
      <c r="AQ354" s="602"/>
      <c r="AR354" s="602"/>
      <c r="AS354" s="602"/>
      <c r="AT354" s="602"/>
      <c r="AU354" s="602"/>
      <c r="AV354" s="602"/>
      <c r="AW354" s="602"/>
      <c r="AX354" s="602"/>
      <c r="AY354" s="602"/>
      <c r="AZ354" s="602"/>
      <c r="BA354" s="602"/>
    </row>
    <row r="355" spans="2:53">
      <c r="B355" s="602"/>
      <c r="C355" s="602"/>
      <c r="D355" s="602"/>
      <c r="G355" s="602"/>
      <c r="H355" s="602"/>
      <c r="I355" s="602"/>
      <c r="J355" s="602"/>
      <c r="K355" s="602"/>
      <c r="L355" s="602"/>
      <c r="M355" s="602"/>
      <c r="N355" s="602"/>
      <c r="O355" s="602"/>
      <c r="P355" s="602"/>
      <c r="Q355" s="602"/>
      <c r="R355" s="602"/>
      <c r="S355" s="602"/>
      <c r="T355" s="602"/>
      <c r="U355" s="602"/>
      <c r="V355" s="602"/>
      <c r="W355" s="602"/>
      <c r="X355" s="602"/>
      <c r="Y355" s="602"/>
      <c r="Z355" s="602"/>
      <c r="AA355" s="602"/>
      <c r="AB355" s="602"/>
      <c r="AC355" s="602"/>
      <c r="AD355" s="602"/>
      <c r="AE355" s="602"/>
      <c r="AF355" s="602"/>
      <c r="AG355" s="602"/>
      <c r="AH355" s="602"/>
      <c r="AI355" s="602"/>
      <c r="AJ355" s="602"/>
      <c r="AK355" s="602"/>
      <c r="AL355" s="602"/>
      <c r="AM355" s="602"/>
      <c r="AN355" s="602"/>
      <c r="AO355" s="602"/>
      <c r="AP355" s="602"/>
      <c r="AQ355" s="602"/>
      <c r="AR355" s="602"/>
      <c r="AS355" s="602"/>
      <c r="AT355" s="602"/>
      <c r="AU355" s="602"/>
      <c r="AV355" s="602"/>
      <c r="AW355" s="602"/>
      <c r="AX355" s="602"/>
      <c r="AY355" s="602"/>
      <c r="AZ355" s="602"/>
      <c r="BA355" s="602"/>
    </row>
    <row r="356" spans="2:53">
      <c r="B356" s="602"/>
      <c r="C356" s="602"/>
      <c r="D356" s="602"/>
      <c r="G356" s="602"/>
      <c r="H356" s="602"/>
      <c r="I356" s="602"/>
      <c r="J356" s="602"/>
      <c r="K356" s="602"/>
      <c r="L356" s="602"/>
      <c r="M356" s="602"/>
      <c r="N356" s="602"/>
      <c r="O356" s="602"/>
      <c r="P356" s="602"/>
      <c r="Q356" s="602"/>
      <c r="R356" s="602"/>
      <c r="S356" s="602"/>
      <c r="T356" s="602"/>
      <c r="U356" s="602"/>
      <c r="V356" s="602"/>
      <c r="W356" s="602"/>
      <c r="X356" s="602"/>
      <c r="Y356" s="602"/>
      <c r="Z356" s="602"/>
      <c r="AA356" s="602"/>
      <c r="AB356" s="602"/>
      <c r="AC356" s="602"/>
      <c r="AD356" s="602"/>
      <c r="AE356" s="602"/>
      <c r="AF356" s="602"/>
      <c r="AG356" s="602"/>
      <c r="AH356" s="602"/>
      <c r="AI356" s="602"/>
      <c r="AJ356" s="602"/>
      <c r="AK356" s="602"/>
      <c r="AL356" s="602"/>
      <c r="AM356" s="602"/>
      <c r="AN356" s="602"/>
      <c r="AO356" s="602"/>
      <c r="AP356" s="602"/>
      <c r="AQ356" s="602"/>
      <c r="AR356" s="602"/>
      <c r="AS356" s="602"/>
      <c r="AT356" s="602"/>
      <c r="AU356" s="602"/>
      <c r="AV356" s="602"/>
      <c r="AW356" s="602"/>
      <c r="AX356" s="602"/>
      <c r="AY356" s="602"/>
      <c r="AZ356" s="602"/>
      <c r="BA356" s="602"/>
    </row>
    <row r="357" spans="2:53">
      <c r="B357" s="602"/>
      <c r="C357" s="602"/>
      <c r="D357" s="602"/>
      <c r="G357" s="602"/>
      <c r="H357" s="602"/>
      <c r="I357" s="602"/>
      <c r="J357" s="602"/>
      <c r="K357" s="602"/>
      <c r="L357" s="602"/>
      <c r="M357" s="602"/>
      <c r="N357" s="602"/>
      <c r="O357" s="602"/>
      <c r="P357" s="602"/>
      <c r="Q357" s="602"/>
      <c r="R357" s="602"/>
      <c r="S357" s="602"/>
      <c r="T357" s="602"/>
      <c r="U357" s="602"/>
      <c r="V357" s="602"/>
      <c r="W357" s="602"/>
      <c r="X357" s="602"/>
      <c r="Y357" s="602"/>
      <c r="Z357" s="602"/>
      <c r="AA357" s="602"/>
      <c r="AB357" s="602"/>
      <c r="AC357" s="602"/>
      <c r="AD357" s="602"/>
      <c r="AE357" s="602"/>
      <c r="AF357" s="602"/>
      <c r="AG357" s="602"/>
      <c r="AH357" s="602"/>
      <c r="AI357" s="602"/>
      <c r="AJ357" s="602"/>
      <c r="AK357" s="602"/>
      <c r="AL357" s="602"/>
      <c r="AM357" s="602"/>
      <c r="AN357" s="602"/>
      <c r="AO357" s="602"/>
      <c r="AP357" s="602"/>
      <c r="AQ357" s="602"/>
      <c r="AR357" s="602"/>
      <c r="AS357" s="602"/>
      <c r="AT357" s="602"/>
      <c r="AU357" s="602"/>
      <c r="AV357" s="602"/>
      <c r="AW357" s="602"/>
      <c r="AX357" s="602"/>
      <c r="AY357" s="602"/>
      <c r="AZ357" s="602"/>
      <c r="BA357" s="602"/>
    </row>
    <row r="358" spans="2:53">
      <c r="B358" s="602"/>
      <c r="C358" s="602"/>
      <c r="D358" s="602"/>
      <c r="G358" s="602"/>
      <c r="H358" s="602"/>
      <c r="I358" s="602"/>
      <c r="J358" s="602"/>
      <c r="K358" s="602"/>
      <c r="L358" s="602"/>
      <c r="M358" s="602"/>
      <c r="N358" s="602"/>
      <c r="O358" s="602"/>
      <c r="P358" s="602"/>
      <c r="Q358" s="602"/>
      <c r="R358" s="602"/>
      <c r="S358" s="602"/>
      <c r="T358" s="602"/>
      <c r="U358" s="602"/>
      <c r="V358" s="602"/>
      <c r="W358" s="602"/>
      <c r="X358" s="602"/>
      <c r="Y358" s="602"/>
      <c r="Z358" s="602"/>
      <c r="AA358" s="602"/>
      <c r="AB358" s="602"/>
      <c r="AC358" s="602"/>
      <c r="AD358" s="602"/>
      <c r="AE358" s="602"/>
      <c r="AF358" s="602"/>
      <c r="AG358" s="602"/>
      <c r="AH358" s="602"/>
      <c r="AI358" s="602"/>
      <c r="AJ358" s="602"/>
      <c r="AK358" s="602"/>
      <c r="AL358" s="602"/>
      <c r="AM358" s="602"/>
      <c r="AN358" s="602"/>
      <c r="AO358" s="602"/>
      <c r="AP358" s="602"/>
      <c r="AQ358" s="602"/>
      <c r="AR358" s="602"/>
      <c r="AS358" s="602"/>
      <c r="AT358" s="602"/>
      <c r="AU358" s="602"/>
      <c r="AV358" s="602"/>
      <c r="AW358" s="602"/>
      <c r="AX358" s="602"/>
      <c r="AY358" s="602"/>
      <c r="AZ358" s="602"/>
      <c r="BA358" s="602"/>
    </row>
    <row r="359" spans="2:53">
      <c r="B359" s="602"/>
      <c r="C359" s="602"/>
      <c r="D359" s="602"/>
      <c r="G359" s="602"/>
      <c r="H359" s="602"/>
      <c r="I359" s="602"/>
      <c r="J359" s="602"/>
      <c r="K359" s="602"/>
      <c r="L359" s="602"/>
      <c r="M359" s="602"/>
      <c r="N359" s="602"/>
      <c r="O359" s="602"/>
      <c r="P359" s="602"/>
      <c r="Q359" s="602"/>
      <c r="R359" s="602"/>
      <c r="S359" s="602"/>
      <c r="T359" s="602"/>
      <c r="U359" s="602"/>
      <c r="V359" s="602"/>
      <c r="W359" s="602"/>
      <c r="X359" s="602"/>
      <c r="Y359" s="602"/>
      <c r="Z359" s="602"/>
      <c r="AA359" s="602"/>
      <c r="AB359" s="602"/>
      <c r="AC359" s="602"/>
      <c r="AD359" s="602"/>
      <c r="AE359" s="602"/>
      <c r="AF359" s="602"/>
      <c r="AG359" s="602"/>
      <c r="AH359" s="602"/>
      <c r="AI359" s="602"/>
      <c r="AJ359" s="602"/>
      <c r="AK359" s="602"/>
      <c r="AL359" s="602"/>
      <c r="AM359" s="602"/>
      <c r="AN359" s="602"/>
      <c r="AO359" s="602"/>
      <c r="AP359" s="602"/>
      <c r="AQ359" s="602"/>
      <c r="AR359" s="602"/>
      <c r="AS359" s="602"/>
      <c r="AT359" s="602"/>
      <c r="AU359" s="602"/>
      <c r="AV359" s="602"/>
      <c r="AW359" s="602"/>
      <c r="AX359" s="602"/>
      <c r="AY359" s="602"/>
      <c r="AZ359" s="602"/>
      <c r="BA359" s="602"/>
    </row>
    <row r="360" spans="2:53">
      <c r="B360" s="602"/>
      <c r="C360" s="602"/>
      <c r="D360" s="602"/>
      <c r="G360" s="602"/>
      <c r="H360" s="602"/>
      <c r="I360" s="602"/>
      <c r="J360" s="602"/>
      <c r="K360" s="602"/>
      <c r="L360" s="602"/>
      <c r="M360" s="602"/>
      <c r="N360" s="602"/>
      <c r="O360" s="602"/>
      <c r="P360" s="602"/>
      <c r="Q360" s="602"/>
      <c r="R360" s="602"/>
      <c r="S360" s="602"/>
      <c r="T360" s="602"/>
      <c r="U360" s="602"/>
      <c r="V360" s="602"/>
      <c r="W360" s="602"/>
      <c r="X360" s="602"/>
      <c r="Y360" s="602"/>
      <c r="Z360" s="602"/>
      <c r="AA360" s="602"/>
      <c r="AB360" s="602"/>
      <c r="AC360" s="602"/>
      <c r="AD360" s="602"/>
      <c r="AE360" s="602"/>
      <c r="AF360" s="602"/>
      <c r="AG360" s="602"/>
      <c r="AH360" s="602"/>
      <c r="AI360" s="602"/>
      <c r="AJ360" s="602"/>
      <c r="AK360" s="602"/>
      <c r="AL360" s="602"/>
      <c r="AM360" s="602"/>
      <c r="AN360" s="602"/>
      <c r="AO360" s="602"/>
      <c r="AP360" s="602"/>
      <c r="AQ360" s="602"/>
      <c r="AR360" s="602"/>
      <c r="AS360" s="602"/>
      <c r="AT360" s="602"/>
      <c r="AU360" s="602"/>
      <c r="AV360" s="602"/>
      <c r="AW360" s="602"/>
      <c r="AX360" s="602"/>
      <c r="AY360" s="602"/>
      <c r="AZ360" s="602"/>
      <c r="BA360" s="602"/>
    </row>
    <row r="361" spans="2:53">
      <c r="B361" s="602"/>
      <c r="C361" s="602"/>
      <c r="D361" s="602"/>
      <c r="G361" s="602"/>
      <c r="H361" s="602"/>
      <c r="I361" s="602"/>
      <c r="J361" s="602"/>
      <c r="K361" s="602"/>
      <c r="L361" s="602"/>
      <c r="M361" s="602"/>
      <c r="N361" s="602"/>
      <c r="O361" s="602"/>
      <c r="P361" s="602"/>
      <c r="Q361" s="602"/>
      <c r="R361" s="602"/>
      <c r="S361" s="602"/>
      <c r="T361" s="602"/>
      <c r="U361" s="602"/>
      <c r="V361" s="602"/>
      <c r="W361" s="602"/>
      <c r="X361" s="602"/>
      <c r="Y361" s="602"/>
      <c r="Z361" s="602"/>
      <c r="AA361" s="602"/>
      <c r="AB361" s="602"/>
      <c r="AC361" s="602"/>
      <c r="AD361" s="602"/>
      <c r="AE361" s="602"/>
      <c r="AF361" s="602"/>
      <c r="AG361" s="602"/>
      <c r="AH361" s="602"/>
      <c r="AI361" s="602"/>
      <c r="AJ361" s="602"/>
      <c r="AK361" s="602"/>
      <c r="AL361" s="602"/>
      <c r="AM361" s="602"/>
      <c r="AN361" s="602"/>
      <c r="AO361" s="602"/>
      <c r="AP361" s="602"/>
      <c r="AQ361" s="602"/>
      <c r="AR361" s="602"/>
      <c r="AS361" s="602"/>
      <c r="AT361" s="602"/>
      <c r="AU361" s="602"/>
      <c r="AV361" s="602"/>
      <c r="AW361" s="602"/>
      <c r="AX361" s="602"/>
      <c r="AY361" s="602"/>
      <c r="AZ361" s="602"/>
      <c r="BA361" s="602"/>
    </row>
    <row r="362" spans="2:53">
      <c r="B362" s="602"/>
      <c r="C362" s="602"/>
      <c r="D362" s="602"/>
      <c r="G362" s="602"/>
      <c r="H362" s="602"/>
      <c r="I362" s="602"/>
      <c r="J362" s="602"/>
      <c r="K362" s="602"/>
      <c r="L362" s="602"/>
      <c r="M362" s="602"/>
      <c r="N362" s="602"/>
      <c r="O362" s="602"/>
      <c r="P362" s="602"/>
      <c r="Q362" s="602"/>
      <c r="R362" s="602"/>
      <c r="S362" s="602"/>
      <c r="T362" s="602"/>
      <c r="U362" s="602"/>
      <c r="V362" s="602"/>
      <c r="W362" s="602"/>
      <c r="X362" s="602"/>
      <c r="Y362" s="602"/>
      <c r="Z362" s="602"/>
      <c r="AA362" s="602"/>
      <c r="AB362" s="602"/>
      <c r="AC362" s="602"/>
      <c r="AD362" s="602"/>
      <c r="AE362" s="602"/>
      <c r="AF362" s="602"/>
      <c r="AG362" s="602"/>
      <c r="AH362" s="602"/>
      <c r="AI362" s="602"/>
      <c r="AJ362" s="602"/>
      <c r="AK362" s="602"/>
      <c r="AL362" s="602"/>
      <c r="AM362" s="602"/>
      <c r="AN362" s="602"/>
      <c r="AO362" s="602"/>
      <c r="AP362" s="602"/>
      <c r="AQ362" s="602"/>
      <c r="AR362" s="602"/>
      <c r="AS362" s="602"/>
      <c r="AT362" s="602"/>
      <c r="AU362" s="602"/>
      <c r="AV362" s="602"/>
      <c r="AW362" s="602"/>
      <c r="AX362" s="602"/>
      <c r="AY362" s="602"/>
      <c r="AZ362" s="602"/>
      <c r="BA362" s="602"/>
    </row>
    <row r="363" spans="2:53">
      <c r="B363" s="602"/>
      <c r="C363" s="602"/>
      <c r="D363" s="602"/>
      <c r="G363" s="602"/>
      <c r="H363" s="602"/>
      <c r="I363" s="602"/>
      <c r="J363" s="602"/>
      <c r="K363" s="602"/>
      <c r="L363" s="602"/>
      <c r="M363" s="602"/>
      <c r="N363" s="602"/>
      <c r="O363" s="602"/>
      <c r="P363" s="602"/>
      <c r="Q363" s="602"/>
      <c r="R363" s="602"/>
      <c r="S363" s="602"/>
      <c r="T363" s="602"/>
      <c r="U363" s="602"/>
      <c r="V363" s="602"/>
      <c r="W363" s="602"/>
      <c r="X363" s="602"/>
      <c r="Y363" s="602"/>
      <c r="Z363" s="602"/>
      <c r="AA363" s="602"/>
      <c r="AB363" s="602"/>
      <c r="AC363" s="602"/>
      <c r="AD363" s="602"/>
      <c r="AE363" s="602"/>
      <c r="AF363" s="602"/>
      <c r="AG363" s="602"/>
      <c r="AH363" s="602"/>
      <c r="AI363" s="602"/>
      <c r="AJ363" s="602"/>
      <c r="AK363" s="602"/>
      <c r="AL363" s="602"/>
      <c r="AM363" s="602"/>
      <c r="AN363" s="602"/>
      <c r="AO363" s="602"/>
      <c r="AP363" s="602"/>
      <c r="AQ363" s="602"/>
      <c r="AR363" s="602"/>
      <c r="AS363" s="602"/>
      <c r="AT363" s="602"/>
      <c r="AU363" s="602"/>
      <c r="AV363" s="602"/>
      <c r="AW363" s="602"/>
      <c r="AX363" s="602"/>
      <c r="AY363" s="602"/>
      <c r="AZ363" s="602"/>
      <c r="BA363" s="602"/>
    </row>
    <row r="364" spans="2:53">
      <c r="B364" s="602"/>
      <c r="C364" s="602"/>
      <c r="D364" s="602"/>
      <c r="G364" s="602"/>
      <c r="H364" s="602"/>
      <c r="I364" s="602"/>
      <c r="J364" s="602"/>
      <c r="K364" s="602"/>
      <c r="L364" s="602"/>
      <c r="M364" s="602"/>
      <c r="N364" s="602"/>
      <c r="O364" s="602"/>
      <c r="P364" s="602"/>
      <c r="Q364" s="602"/>
      <c r="R364" s="602"/>
      <c r="S364" s="602"/>
      <c r="T364" s="602"/>
      <c r="U364" s="602"/>
      <c r="V364" s="602"/>
      <c r="W364" s="602"/>
      <c r="X364" s="602"/>
      <c r="Y364" s="602"/>
      <c r="Z364" s="602"/>
      <c r="AA364" s="602"/>
      <c r="AB364" s="602"/>
      <c r="AC364" s="602"/>
      <c r="AD364" s="602"/>
      <c r="AE364" s="602"/>
      <c r="AF364" s="602"/>
      <c r="AG364" s="602"/>
      <c r="AH364" s="602"/>
      <c r="AI364" s="602"/>
      <c r="AJ364" s="602"/>
      <c r="AK364" s="602"/>
      <c r="AL364" s="602"/>
      <c r="AM364" s="602"/>
      <c r="AN364" s="602"/>
      <c r="AO364" s="602"/>
      <c r="AP364" s="602"/>
      <c r="AQ364" s="602"/>
      <c r="AR364" s="602"/>
      <c r="AS364" s="602"/>
      <c r="AT364" s="602"/>
      <c r="AU364" s="602"/>
      <c r="AV364" s="602"/>
      <c r="AW364" s="602"/>
      <c r="AX364" s="602"/>
      <c r="AY364" s="602"/>
      <c r="AZ364" s="602"/>
      <c r="BA364" s="602"/>
    </row>
    <row r="365" spans="2:53">
      <c r="B365" s="602"/>
      <c r="C365" s="602"/>
      <c r="D365" s="602"/>
      <c r="G365" s="602"/>
      <c r="H365" s="602"/>
      <c r="I365" s="602"/>
      <c r="J365" s="602"/>
      <c r="K365" s="602"/>
      <c r="L365" s="602"/>
      <c r="M365" s="602"/>
      <c r="N365" s="602"/>
      <c r="O365" s="602"/>
      <c r="P365" s="602"/>
      <c r="Q365" s="602"/>
      <c r="R365" s="602"/>
      <c r="S365" s="602"/>
      <c r="T365" s="602"/>
      <c r="U365" s="602"/>
      <c r="V365" s="602"/>
      <c r="W365" s="602"/>
      <c r="X365" s="602"/>
      <c r="Y365" s="602"/>
      <c r="Z365" s="602"/>
      <c r="AA365" s="602"/>
      <c r="AB365" s="602"/>
      <c r="AC365" s="602"/>
      <c r="AD365" s="602"/>
      <c r="AE365" s="602"/>
      <c r="AF365" s="602"/>
      <c r="AG365" s="602"/>
      <c r="AH365" s="602"/>
      <c r="AI365" s="602"/>
      <c r="AJ365" s="602"/>
      <c r="AK365" s="602"/>
      <c r="AL365" s="602"/>
      <c r="AM365" s="602"/>
      <c r="AN365" s="602"/>
      <c r="AO365" s="602"/>
      <c r="AP365" s="602"/>
      <c r="AQ365" s="602"/>
      <c r="AR365" s="602"/>
      <c r="AS365" s="602"/>
      <c r="AT365" s="602"/>
      <c r="AU365" s="602"/>
      <c r="AV365" s="602"/>
      <c r="AW365" s="602"/>
      <c r="AX365" s="602"/>
      <c r="AY365" s="602"/>
      <c r="AZ365" s="602"/>
      <c r="BA365" s="602"/>
    </row>
    <row r="366" spans="2:53">
      <c r="B366" s="602"/>
      <c r="C366" s="602"/>
      <c r="D366" s="602"/>
      <c r="G366" s="602"/>
      <c r="H366" s="602"/>
      <c r="I366" s="602"/>
      <c r="J366" s="602"/>
      <c r="K366" s="602"/>
      <c r="L366" s="602"/>
      <c r="M366" s="602"/>
      <c r="N366" s="602"/>
      <c r="O366" s="602"/>
      <c r="P366" s="602"/>
      <c r="Q366" s="602"/>
      <c r="R366" s="602"/>
      <c r="S366" s="602"/>
      <c r="T366" s="602"/>
      <c r="U366" s="602"/>
      <c r="V366" s="602"/>
      <c r="W366" s="602"/>
      <c r="X366" s="602"/>
      <c r="Y366" s="602"/>
      <c r="Z366" s="602"/>
      <c r="AA366" s="602"/>
      <c r="AB366" s="602"/>
      <c r="AC366" s="602"/>
      <c r="AD366" s="602"/>
      <c r="AE366" s="602"/>
      <c r="AF366" s="602"/>
      <c r="AG366" s="602"/>
      <c r="AH366" s="602"/>
      <c r="AI366" s="602"/>
      <c r="AJ366" s="602"/>
      <c r="AK366" s="602"/>
      <c r="AL366" s="602"/>
      <c r="AM366" s="602"/>
      <c r="AN366" s="602"/>
      <c r="AO366" s="602"/>
      <c r="AP366" s="602"/>
      <c r="AQ366" s="602"/>
      <c r="AR366" s="602"/>
      <c r="AS366" s="602"/>
      <c r="AT366" s="602"/>
      <c r="AU366" s="602"/>
      <c r="AV366" s="602"/>
      <c r="AW366" s="602"/>
      <c r="AX366" s="602"/>
      <c r="AY366" s="602"/>
      <c r="AZ366" s="602"/>
      <c r="BA366" s="602"/>
    </row>
    <row r="367" spans="2:53">
      <c r="B367" s="602"/>
      <c r="C367" s="602"/>
      <c r="D367" s="602"/>
      <c r="G367" s="602"/>
      <c r="H367" s="602"/>
      <c r="I367" s="602"/>
      <c r="J367" s="602"/>
      <c r="K367" s="602"/>
      <c r="L367" s="602"/>
      <c r="M367" s="602"/>
      <c r="N367" s="602"/>
      <c r="O367" s="602"/>
      <c r="P367" s="602"/>
      <c r="Q367" s="602"/>
      <c r="R367" s="602"/>
      <c r="S367" s="602"/>
      <c r="T367" s="602"/>
      <c r="U367" s="602"/>
      <c r="V367" s="602"/>
      <c r="W367" s="602"/>
      <c r="X367" s="602"/>
      <c r="Y367" s="602"/>
      <c r="Z367" s="602"/>
      <c r="AA367" s="602"/>
      <c r="AB367" s="602"/>
      <c r="AC367" s="602"/>
      <c r="AD367" s="602"/>
      <c r="AE367" s="602"/>
      <c r="AF367" s="602"/>
      <c r="AG367" s="602"/>
      <c r="AH367" s="602"/>
      <c r="AI367" s="602"/>
      <c r="AJ367" s="602"/>
      <c r="AK367" s="602"/>
      <c r="AL367" s="602"/>
      <c r="AM367" s="602"/>
      <c r="AN367" s="602"/>
      <c r="AO367" s="602"/>
      <c r="AP367" s="602"/>
      <c r="AQ367" s="602"/>
      <c r="AR367" s="602"/>
      <c r="AS367" s="602"/>
      <c r="AT367" s="602"/>
      <c r="AU367" s="602"/>
      <c r="AV367" s="602"/>
      <c r="AW367" s="602"/>
      <c r="AX367" s="602"/>
      <c r="AY367" s="602"/>
      <c r="AZ367" s="602"/>
      <c r="BA367" s="602"/>
    </row>
    <row r="368" spans="2:53">
      <c r="B368" s="602"/>
      <c r="C368" s="602"/>
      <c r="D368" s="602"/>
      <c r="G368" s="602"/>
      <c r="H368" s="602"/>
      <c r="I368" s="602"/>
      <c r="J368" s="602"/>
      <c r="K368" s="602"/>
      <c r="L368" s="602"/>
      <c r="M368" s="602"/>
      <c r="N368" s="602"/>
      <c r="O368" s="602"/>
      <c r="P368" s="602"/>
      <c r="Q368" s="602"/>
      <c r="R368" s="602"/>
      <c r="S368" s="602"/>
      <c r="T368" s="602"/>
      <c r="U368" s="602"/>
      <c r="V368" s="602"/>
      <c r="W368" s="602"/>
      <c r="X368" s="602"/>
      <c r="Y368" s="602"/>
      <c r="Z368" s="602"/>
      <c r="AA368" s="602"/>
      <c r="AB368" s="602"/>
      <c r="AC368" s="602"/>
      <c r="AD368" s="602"/>
      <c r="AE368" s="602"/>
      <c r="AF368" s="602"/>
      <c r="AG368" s="602"/>
      <c r="AH368" s="602"/>
      <c r="AI368" s="602"/>
      <c r="AJ368" s="602"/>
      <c r="AK368" s="602"/>
      <c r="AL368" s="602"/>
      <c r="AM368" s="602"/>
      <c r="AN368" s="602"/>
      <c r="AO368" s="602"/>
      <c r="AP368" s="602"/>
      <c r="AQ368" s="602"/>
      <c r="AR368" s="602"/>
      <c r="AS368" s="602"/>
      <c r="AT368" s="602"/>
      <c r="AU368" s="602"/>
      <c r="AV368" s="602"/>
      <c r="AW368" s="602"/>
      <c r="AX368" s="602"/>
      <c r="AY368" s="602"/>
      <c r="AZ368" s="602"/>
      <c r="BA368" s="602"/>
    </row>
    <row r="369" spans="2:53">
      <c r="B369" s="602"/>
      <c r="C369" s="602"/>
      <c r="D369" s="602"/>
      <c r="G369" s="602"/>
      <c r="H369" s="602"/>
      <c r="I369" s="602"/>
      <c r="J369" s="602"/>
      <c r="K369" s="602"/>
      <c r="L369" s="602"/>
      <c r="M369" s="602"/>
      <c r="N369" s="602"/>
      <c r="O369" s="602"/>
      <c r="P369" s="602"/>
      <c r="Q369" s="602"/>
      <c r="R369" s="602"/>
      <c r="S369" s="602"/>
      <c r="T369" s="602"/>
      <c r="U369" s="602"/>
      <c r="V369" s="602"/>
      <c r="W369" s="602"/>
      <c r="X369" s="602"/>
      <c r="Y369" s="602"/>
      <c r="Z369" s="602"/>
      <c r="AA369" s="602"/>
      <c r="AB369" s="602"/>
      <c r="AC369" s="602"/>
      <c r="AD369" s="602"/>
      <c r="AE369" s="602"/>
      <c r="AF369" s="602"/>
      <c r="AG369" s="602"/>
      <c r="AH369" s="602"/>
      <c r="AI369" s="602"/>
      <c r="AJ369" s="602"/>
      <c r="AK369" s="602"/>
      <c r="AL369" s="602"/>
      <c r="AM369" s="602"/>
      <c r="AN369" s="602"/>
      <c r="AO369" s="602"/>
      <c r="AP369" s="602"/>
      <c r="AQ369" s="602"/>
      <c r="AR369" s="602"/>
      <c r="AS369" s="602"/>
      <c r="AT369" s="602"/>
      <c r="AU369" s="602"/>
      <c r="AV369" s="602"/>
      <c r="AW369" s="602"/>
      <c r="AX369" s="602"/>
      <c r="AY369" s="602"/>
      <c r="AZ369" s="602"/>
      <c r="BA369" s="602"/>
    </row>
    <row r="370" spans="2:53">
      <c r="B370" s="602"/>
      <c r="C370" s="602"/>
      <c r="D370" s="602"/>
      <c r="G370" s="602"/>
      <c r="H370" s="602"/>
      <c r="I370" s="602"/>
      <c r="J370" s="602"/>
      <c r="K370" s="602"/>
      <c r="L370" s="602"/>
      <c r="M370" s="602"/>
      <c r="N370" s="602"/>
      <c r="O370" s="602"/>
      <c r="P370" s="602"/>
      <c r="Q370" s="602"/>
      <c r="R370" s="602"/>
      <c r="S370" s="602"/>
      <c r="T370" s="602"/>
      <c r="U370" s="602"/>
      <c r="V370" s="602"/>
      <c r="W370" s="602"/>
      <c r="X370" s="602"/>
      <c r="Y370" s="602"/>
      <c r="Z370" s="602"/>
      <c r="AA370" s="602"/>
      <c r="AB370" s="602"/>
      <c r="AC370" s="602"/>
      <c r="AD370" s="602"/>
      <c r="AE370" s="602"/>
      <c r="AF370" s="602"/>
      <c r="AG370" s="602"/>
      <c r="AH370" s="602"/>
      <c r="AI370" s="602"/>
      <c r="AJ370" s="602"/>
      <c r="AK370" s="602"/>
      <c r="AL370" s="602"/>
      <c r="AM370" s="602"/>
      <c r="AN370" s="602"/>
      <c r="AO370" s="602"/>
      <c r="AP370" s="602"/>
      <c r="AQ370" s="602"/>
      <c r="AR370" s="602"/>
      <c r="AS370" s="602"/>
      <c r="AT370" s="602"/>
      <c r="AU370" s="602"/>
      <c r="AV370" s="602"/>
      <c r="AW370" s="602"/>
      <c r="AX370" s="602"/>
      <c r="AY370" s="602"/>
      <c r="AZ370" s="602"/>
      <c r="BA370" s="602"/>
    </row>
    <row r="371" spans="2:53">
      <c r="B371" s="602"/>
      <c r="C371" s="602"/>
      <c r="D371" s="602"/>
      <c r="G371" s="602"/>
      <c r="H371" s="602"/>
      <c r="I371" s="602"/>
      <c r="J371" s="602"/>
      <c r="K371" s="602"/>
      <c r="L371" s="602"/>
      <c r="M371" s="602"/>
      <c r="N371" s="602"/>
      <c r="O371" s="602"/>
      <c r="P371" s="602"/>
      <c r="Q371" s="602"/>
      <c r="R371" s="602"/>
      <c r="S371" s="602"/>
      <c r="T371" s="602"/>
      <c r="U371" s="602"/>
      <c r="V371" s="602"/>
      <c r="W371" s="602"/>
      <c r="X371" s="602"/>
      <c r="Y371" s="602"/>
      <c r="Z371" s="602"/>
      <c r="AA371" s="602"/>
      <c r="AB371" s="602"/>
      <c r="AC371" s="602"/>
      <c r="AD371" s="602"/>
      <c r="AE371" s="602"/>
      <c r="AF371" s="602"/>
      <c r="AG371" s="602"/>
      <c r="AH371" s="602"/>
      <c r="AI371" s="602"/>
      <c r="AJ371" s="602"/>
      <c r="AK371" s="602"/>
      <c r="AL371" s="602"/>
      <c r="AM371" s="602"/>
      <c r="AN371" s="602"/>
      <c r="AO371" s="602"/>
      <c r="AP371" s="602"/>
      <c r="AQ371" s="602"/>
      <c r="AR371" s="602"/>
      <c r="AS371" s="602"/>
      <c r="AT371" s="602"/>
      <c r="AU371" s="602"/>
      <c r="AV371" s="602"/>
      <c r="AW371" s="602"/>
      <c r="AX371" s="602"/>
      <c r="AY371" s="602"/>
      <c r="AZ371" s="602"/>
      <c r="BA371" s="602"/>
    </row>
    <row r="372" spans="2:53">
      <c r="B372" s="602"/>
      <c r="C372" s="602"/>
      <c r="D372" s="602"/>
      <c r="G372" s="602"/>
      <c r="H372" s="602"/>
      <c r="I372" s="602"/>
      <c r="J372" s="602"/>
      <c r="K372" s="602"/>
      <c r="L372" s="602"/>
      <c r="M372" s="602"/>
      <c r="N372" s="602"/>
      <c r="O372" s="602"/>
      <c r="P372" s="602"/>
      <c r="Q372" s="602"/>
      <c r="R372" s="602"/>
      <c r="S372" s="602"/>
      <c r="T372" s="602"/>
      <c r="U372" s="602"/>
      <c r="V372" s="602"/>
      <c r="W372" s="602"/>
      <c r="X372" s="602"/>
      <c r="Y372" s="602"/>
      <c r="Z372" s="602"/>
      <c r="AA372" s="602"/>
      <c r="AB372" s="602"/>
      <c r="AC372" s="602"/>
      <c r="AD372" s="602"/>
      <c r="AE372" s="602"/>
      <c r="AF372" s="602"/>
      <c r="AG372" s="602"/>
      <c r="AH372" s="602"/>
      <c r="AI372" s="602"/>
      <c r="AJ372" s="602"/>
      <c r="AK372" s="602"/>
      <c r="AL372" s="602"/>
      <c r="AM372" s="602"/>
      <c r="AN372" s="602"/>
      <c r="AO372" s="602"/>
      <c r="AP372" s="602"/>
      <c r="AQ372" s="602"/>
      <c r="AR372" s="602"/>
      <c r="AS372" s="602"/>
      <c r="AT372" s="602"/>
      <c r="AU372" s="602"/>
      <c r="AV372" s="602"/>
      <c r="AW372" s="602"/>
      <c r="AX372" s="602"/>
      <c r="AY372" s="602"/>
      <c r="AZ372" s="602"/>
      <c r="BA372" s="602"/>
    </row>
    <row r="373" spans="2:53">
      <c r="B373" s="602"/>
      <c r="C373" s="602"/>
      <c r="D373" s="602"/>
      <c r="G373" s="602"/>
      <c r="H373" s="602"/>
      <c r="I373" s="602"/>
      <c r="J373" s="602"/>
      <c r="K373" s="602"/>
      <c r="L373" s="602"/>
      <c r="M373" s="602"/>
      <c r="N373" s="602"/>
      <c r="O373" s="602"/>
      <c r="P373" s="602"/>
      <c r="Q373" s="602"/>
      <c r="R373" s="602"/>
      <c r="S373" s="602"/>
      <c r="T373" s="602"/>
      <c r="U373" s="602"/>
      <c r="V373" s="602"/>
      <c r="W373" s="602"/>
      <c r="X373" s="602"/>
      <c r="Y373" s="602"/>
      <c r="Z373" s="602"/>
      <c r="AA373" s="602"/>
      <c r="AB373" s="602"/>
      <c r="AC373" s="602"/>
      <c r="AD373" s="602"/>
      <c r="AE373" s="602"/>
      <c r="AF373" s="602"/>
      <c r="AG373" s="602"/>
      <c r="AH373" s="602"/>
      <c r="AI373" s="602"/>
      <c r="AJ373" s="602"/>
      <c r="AK373" s="602"/>
      <c r="AL373" s="602"/>
      <c r="AM373" s="602"/>
      <c r="AN373" s="602"/>
      <c r="AO373" s="602"/>
      <c r="AP373" s="602"/>
      <c r="AQ373" s="602"/>
      <c r="AR373" s="602"/>
      <c r="AS373" s="602"/>
      <c r="AT373" s="602"/>
      <c r="AU373" s="602"/>
      <c r="AV373" s="602"/>
      <c r="AW373" s="602"/>
      <c r="AX373" s="602"/>
      <c r="AY373" s="602"/>
      <c r="AZ373" s="602"/>
      <c r="BA373" s="602"/>
    </row>
    <row r="374" spans="2:53">
      <c r="B374" s="602"/>
      <c r="C374" s="602"/>
      <c r="D374" s="602"/>
      <c r="G374" s="602"/>
      <c r="H374" s="602"/>
      <c r="I374" s="602"/>
      <c r="J374" s="602"/>
      <c r="K374" s="602"/>
      <c r="L374" s="602"/>
      <c r="M374" s="602"/>
      <c r="N374" s="602"/>
      <c r="O374" s="602"/>
      <c r="P374" s="602"/>
      <c r="Q374" s="602"/>
      <c r="R374" s="602"/>
      <c r="S374" s="602"/>
      <c r="T374" s="602"/>
      <c r="U374" s="602"/>
      <c r="V374" s="602"/>
      <c r="W374" s="602"/>
      <c r="X374" s="602"/>
      <c r="Y374" s="602"/>
      <c r="Z374" s="602"/>
      <c r="AA374" s="602"/>
      <c r="AB374" s="602"/>
      <c r="AC374" s="602"/>
      <c r="AD374" s="602"/>
      <c r="AE374" s="602"/>
      <c r="AF374" s="602"/>
      <c r="AG374" s="602"/>
      <c r="AH374" s="602"/>
      <c r="AI374" s="602"/>
      <c r="AJ374" s="602"/>
      <c r="AK374" s="602"/>
      <c r="AL374" s="602"/>
      <c r="AM374" s="602"/>
      <c r="AN374" s="602"/>
      <c r="AO374" s="602"/>
      <c r="AP374" s="602"/>
      <c r="AQ374" s="602"/>
      <c r="AR374" s="602"/>
      <c r="AS374" s="602"/>
      <c r="AT374" s="602"/>
      <c r="AU374" s="602"/>
      <c r="AV374" s="602"/>
      <c r="AW374" s="602"/>
      <c r="AX374" s="602"/>
      <c r="AY374" s="602"/>
      <c r="AZ374" s="602"/>
      <c r="BA374" s="602"/>
    </row>
    <row r="375" spans="2:53">
      <c r="B375" s="602"/>
      <c r="C375" s="602"/>
      <c r="D375" s="602"/>
      <c r="G375" s="602"/>
      <c r="H375" s="602"/>
      <c r="I375" s="602"/>
      <c r="J375" s="602"/>
      <c r="K375" s="602"/>
      <c r="L375" s="602"/>
      <c r="M375" s="602"/>
      <c r="N375" s="602"/>
      <c r="O375" s="602"/>
      <c r="P375" s="602"/>
      <c r="Q375" s="602"/>
      <c r="R375" s="602"/>
      <c r="S375" s="602"/>
      <c r="T375" s="602"/>
      <c r="U375" s="602"/>
      <c r="V375" s="602"/>
      <c r="W375" s="602"/>
      <c r="X375" s="602"/>
      <c r="Y375" s="602"/>
      <c r="Z375" s="602"/>
      <c r="AA375" s="602"/>
      <c r="AB375" s="602"/>
      <c r="AC375" s="602"/>
      <c r="AD375" s="602"/>
      <c r="AE375" s="602"/>
      <c r="AF375" s="602"/>
      <c r="AG375" s="602"/>
      <c r="AH375" s="602"/>
      <c r="AI375" s="602"/>
      <c r="AJ375" s="602"/>
      <c r="AK375" s="602"/>
      <c r="AL375" s="602"/>
      <c r="AM375" s="602"/>
      <c r="AN375" s="602"/>
      <c r="AO375" s="602"/>
      <c r="AP375" s="602"/>
      <c r="AQ375" s="602"/>
      <c r="AR375" s="602"/>
      <c r="AS375" s="602"/>
      <c r="AT375" s="602"/>
      <c r="AU375" s="602"/>
      <c r="AV375" s="602"/>
      <c r="AW375" s="602"/>
      <c r="AX375" s="602"/>
      <c r="AY375" s="602"/>
      <c r="AZ375" s="602"/>
      <c r="BA375" s="602"/>
    </row>
    <row r="376" spans="2:53">
      <c r="B376" s="602"/>
      <c r="C376" s="602"/>
      <c r="D376" s="602"/>
      <c r="G376" s="602"/>
      <c r="H376" s="602"/>
      <c r="I376" s="602"/>
      <c r="J376" s="602"/>
      <c r="K376" s="602"/>
      <c r="L376" s="602"/>
      <c r="M376" s="602"/>
      <c r="N376" s="602"/>
      <c r="O376" s="602"/>
      <c r="P376" s="602"/>
      <c r="Q376" s="602"/>
      <c r="R376" s="602"/>
      <c r="S376" s="602"/>
      <c r="T376" s="602"/>
      <c r="U376" s="602"/>
      <c r="V376" s="602"/>
      <c r="W376" s="602"/>
      <c r="X376" s="602"/>
      <c r="Y376" s="602"/>
      <c r="Z376" s="602"/>
      <c r="AA376" s="602"/>
      <c r="AB376" s="602"/>
      <c r="AC376" s="602"/>
      <c r="AD376" s="602"/>
      <c r="AE376" s="602"/>
      <c r="AF376" s="602"/>
      <c r="AG376" s="602"/>
      <c r="AH376" s="602"/>
      <c r="AI376" s="602"/>
      <c r="AJ376" s="602"/>
      <c r="AK376" s="602"/>
      <c r="AL376" s="602"/>
      <c r="AM376" s="602"/>
      <c r="AN376" s="602"/>
      <c r="AO376" s="602"/>
      <c r="AP376" s="602"/>
      <c r="AQ376" s="602"/>
      <c r="AR376" s="602"/>
      <c r="AS376" s="602"/>
      <c r="AT376" s="602"/>
      <c r="AU376" s="602"/>
      <c r="AV376" s="602"/>
      <c r="AW376" s="602"/>
      <c r="AX376" s="602"/>
      <c r="AY376" s="602"/>
      <c r="AZ376" s="602"/>
      <c r="BA376" s="602"/>
    </row>
    <row r="377" spans="2:53">
      <c r="B377" s="602"/>
      <c r="C377" s="602"/>
      <c r="D377" s="602"/>
      <c r="G377" s="602"/>
      <c r="H377" s="602"/>
      <c r="I377" s="602"/>
      <c r="J377" s="602"/>
      <c r="K377" s="602"/>
      <c r="L377" s="602"/>
      <c r="M377" s="602"/>
      <c r="N377" s="602"/>
      <c r="O377" s="602"/>
      <c r="P377" s="602"/>
      <c r="Q377" s="602"/>
      <c r="R377" s="602"/>
      <c r="S377" s="602"/>
      <c r="T377" s="602"/>
      <c r="U377" s="602"/>
      <c r="V377" s="602"/>
      <c r="W377" s="602"/>
      <c r="X377" s="602"/>
      <c r="Y377" s="602"/>
      <c r="Z377" s="602"/>
      <c r="AA377" s="602"/>
      <c r="AB377" s="602"/>
      <c r="AC377" s="602"/>
      <c r="AD377" s="602"/>
      <c r="AE377" s="602"/>
      <c r="AF377" s="602"/>
      <c r="AG377" s="602"/>
      <c r="AH377" s="602"/>
      <c r="AI377" s="602"/>
      <c r="AJ377" s="602"/>
      <c r="AK377" s="602"/>
      <c r="AL377" s="602"/>
      <c r="AM377" s="602"/>
      <c r="AN377" s="602"/>
      <c r="AO377" s="602"/>
      <c r="AP377" s="602"/>
      <c r="AQ377" s="602"/>
      <c r="AR377" s="602"/>
      <c r="AS377" s="602"/>
      <c r="AT377" s="602"/>
      <c r="AU377" s="602"/>
      <c r="AV377" s="602"/>
      <c r="AW377" s="602"/>
      <c r="AX377" s="602"/>
      <c r="AY377" s="602"/>
      <c r="AZ377" s="602"/>
      <c r="BA377" s="602"/>
    </row>
    <row r="378" spans="2:53">
      <c r="B378" s="602"/>
      <c r="C378" s="602"/>
      <c r="D378" s="602"/>
      <c r="G378" s="602"/>
      <c r="H378" s="602"/>
      <c r="I378" s="602"/>
      <c r="J378" s="602"/>
      <c r="K378" s="602"/>
      <c r="L378" s="602"/>
      <c r="M378" s="602"/>
      <c r="N378" s="602"/>
      <c r="O378" s="602"/>
      <c r="P378" s="602"/>
      <c r="Q378" s="602"/>
      <c r="R378" s="602"/>
      <c r="S378" s="602"/>
      <c r="T378" s="602"/>
      <c r="U378" s="602"/>
      <c r="V378" s="602"/>
      <c r="W378" s="602"/>
      <c r="X378" s="602"/>
      <c r="Y378" s="602"/>
      <c r="Z378" s="602"/>
      <c r="AA378" s="602"/>
      <c r="AB378" s="602"/>
      <c r="AC378" s="602"/>
      <c r="AD378" s="602"/>
      <c r="AE378" s="602"/>
      <c r="AF378" s="602"/>
      <c r="AG378" s="602"/>
      <c r="AH378" s="602"/>
      <c r="AI378" s="602"/>
      <c r="AJ378" s="602"/>
      <c r="AK378" s="602"/>
      <c r="AL378" s="602"/>
      <c r="AM378" s="602"/>
      <c r="AN378" s="602"/>
      <c r="AO378" s="602"/>
      <c r="AP378" s="602"/>
      <c r="AQ378" s="602"/>
      <c r="AR378" s="602"/>
      <c r="AS378" s="602"/>
      <c r="AT378" s="602"/>
      <c r="AU378" s="602"/>
      <c r="AV378" s="602"/>
      <c r="AW378" s="602"/>
      <c r="AX378" s="602"/>
      <c r="AY378" s="602"/>
      <c r="AZ378" s="602"/>
      <c r="BA378" s="602"/>
    </row>
    <row r="379" spans="2:53">
      <c r="B379" s="602"/>
      <c r="C379" s="602"/>
      <c r="D379" s="602"/>
      <c r="G379" s="602"/>
      <c r="H379" s="602"/>
      <c r="I379" s="602"/>
      <c r="J379" s="602"/>
      <c r="K379" s="602"/>
      <c r="L379" s="602"/>
      <c r="M379" s="602"/>
      <c r="N379" s="602"/>
      <c r="O379" s="602"/>
      <c r="P379" s="602"/>
      <c r="Q379" s="602"/>
      <c r="R379" s="602"/>
      <c r="S379" s="602"/>
      <c r="T379" s="602"/>
      <c r="U379" s="602"/>
      <c r="V379" s="602"/>
      <c r="W379" s="602"/>
      <c r="X379" s="602"/>
      <c r="Y379" s="602"/>
      <c r="Z379" s="602"/>
      <c r="AA379" s="602"/>
      <c r="AB379" s="602"/>
      <c r="AC379" s="602"/>
      <c r="AD379" s="602"/>
      <c r="AE379" s="602"/>
      <c r="AF379" s="602"/>
      <c r="AG379" s="602"/>
      <c r="AH379" s="602"/>
      <c r="AI379" s="602"/>
      <c r="AJ379" s="602"/>
      <c r="AK379" s="602"/>
      <c r="AL379" s="602"/>
      <c r="AM379" s="602"/>
      <c r="AN379" s="602"/>
      <c r="AO379" s="602"/>
      <c r="AP379" s="602"/>
      <c r="AQ379" s="602"/>
      <c r="AR379" s="602"/>
      <c r="AS379" s="602"/>
      <c r="AT379" s="602"/>
      <c r="AU379" s="602"/>
      <c r="AV379" s="602"/>
      <c r="AW379" s="602"/>
      <c r="AX379" s="602"/>
      <c r="AY379" s="602"/>
      <c r="AZ379" s="602"/>
      <c r="BA379" s="602"/>
    </row>
    <row r="380" spans="2:53">
      <c r="B380" s="602"/>
      <c r="C380" s="602"/>
      <c r="D380" s="602"/>
      <c r="G380" s="602"/>
      <c r="H380" s="602"/>
      <c r="I380" s="602"/>
      <c r="J380" s="602"/>
      <c r="K380" s="602"/>
      <c r="L380" s="602"/>
      <c r="M380" s="602"/>
      <c r="N380" s="602"/>
      <c r="O380" s="602"/>
      <c r="P380" s="602"/>
      <c r="Q380" s="602"/>
      <c r="R380" s="602"/>
      <c r="S380" s="602"/>
      <c r="T380" s="602"/>
      <c r="U380" s="602"/>
      <c r="V380" s="602"/>
      <c r="W380" s="602"/>
      <c r="X380" s="602"/>
      <c r="Y380" s="602"/>
      <c r="Z380" s="602"/>
      <c r="AA380" s="602"/>
      <c r="AB380" s="602"/>
      <c r="AC380" s="602"/>
      <c r="AD380" s="602"/>
      <c r="AE380" s="602"/>
      <c r="AF380" s="602"/>
      <c r="AG380" s="602"/>
      <c r="AH380" s="602"/>
      <c r="AI380" s="602"/>
      <c r="AJ380" s="602"/>
      <c r="AK380" s="602"/>
      <c r="AL380" s="602"/>
      <c r="AM380" s="602"/>
      <c r="AN380" s="602"/>
      <c r="AO380" s="602"/>
      <c r="AP380" s="602"/>
      <c r="AQ380" s="602"/>
      <c r="AR380" s="602"/>
      <c r="AS380" s="602"/>
      <c r="AT380" s="602"/>
      <c r="AU380" s="602"/>
      <c r="AV380" s="602"/>
      <c r="AW380" s="602"/>
      <c r="AX380" s="602"/>
      <c r="AY380" s="602"/>
      <c r="AZ380" s="602"/>
      <c r="BA380" s="602"/>
    </row>
    <row r="381" spans="2:53">
      <c r="B381" s="602"/>
      <c r="C381" s="602"/>
      <c r="D381" s="602"/>
      <c r="G381" s="602"/>
      <c r="H381" s="602"/>
      <c r="I381" s="602"/>
      <c r="J381" s="602"/>
      <c r="K381" s="602"/>
      <c r="L381" s="602"/>
      <c r="M381" s="602"/>
      <c r="N381" s="602"/>
      <c r="O381" s="602"/>
      <c r="P381" s="602"/>
      <c r="Q381" s="602"/>
      <c r="R381" s="602"/>
      <c r="S381" s="602"/>
      <c r="T381" s="602"/>
      <c r="U381" s="602"/>
      <c r="V381" s="602"/>
      <c r="W381" s="602"/>
      <c r="X381" s="602"/>
      <c r="Y381" s="602"/>
      <c r="Z381" s="602"/>
      <c r="AA381" s="602"/>
      <c r="AB381" s="602"/>
      <c r="AC381" s="602"/>
      <c r="AD381" s="602"/>
      <c r="AE381" s="602"/>
      <c r="AF381" s="602"/>
      <c r="AG381" s="602"/>
      <c r="AH381" s="602"/>
      <c r="AI381" s="602"/>
      <c r="AJ381" s="602"/>
      <c r="AK381" s="602"/>
      <c r="AL381" s="602"/>
      <c r="AM381" s="602"/>
      <c r="AN381" s="602"/>
      <c r="AO381" s="602"/>
      <c r="AP381" s="602"/>
      <c r="AQ381" s="602"/>
      <c r="AR381" s="602"/>
      <c r="AS381" s="602"/>
      <c r="AT381" s="602"/>
      <c r="AU381" s="602"/>
      <c r="AV381" s="602"/>
      <c r="AW381" s="602"/>
      <c r="AX381" s="602"/>
      <c r="AY381" s="602"/>
      <c r="AZ381" s="602"/>
      <c r="BA381" s="602"/>
    </row>
    <row r="382" spans="2:53">
      <c r="B382" s="602"/>
      <c r="C382" s="602"/>
      <c r="D382" s="602"/>
      <c r="G382" s="602"/>
      <c r="H382" s="602"/>
      <c r="I382" s="602"/>
      <c r="J382" s="602"/>
      <c r="K382" s="602"/>
      <c r="L382" s="602"/>
      <c r="M382" s="602"/>
      <c r="N382" s="602"/>
      <c r="O382" s="602"/>
      <c r="P382" s="602"/>
      <c r="Q382" s="602"/>
      <c r="R382" s="602"/>
      <c r="S382" s="602"/>
      <c r="T382" s="602"/>
      <c r="U382" s="602"/>
      <c r="V382" s="602"/>
      <c r="W382" s="602"/>
      <c r="X382" s="602"/>
      <c r="Y382" s="602"/>
      <c r="Z382" s="602"/>
      <c r="AA382" s="602"/>
      <c r="AB382" s="602"/>
      <c r="AC382" s="602"/>
      <c r="AD382" s="602"/>
      <c r="AE382" s="602"/>
      <c r="AF382" s="602"/>
      <c r="AG382" s="602"/>
      <c r="AH382" s="602"/>
      <c r="AI382" s="602"/>
      <c r="AJ382" s="602"/>
      <c r="AK382" s="602"/>
      <c r="AL382" s="602"/>
      <c r="AM382" s="602"/>
      <c r="AN382" s="602"/>
      <c r="AO382" s="602"/>
      <c r="AP382" s="602"/>
      <c r="AQ382" s="602"/>
      <c r="AR382" s="602"/>
      <c r="AS382" s="602"/>
      <c r="AT382" s="602"/>
      <c r="AU382" s="602"/>
      <c r="AV382" s="602"/>
      <c r="AW382" s="602"/>
      <c r="AX382" s="602"/>
      <c r="AY382" s="602"/>
      <c r="AZ382" s="602"/>
      <c r="BA382" s="602"/>
    </row>
    <row r="383" spans="2:53">
      <c r="B383" s="602"/>
      <c r="C383" s="602"/>
      <c r="D383" s="602"/>
      <c r="G383" s="602"/>
      <c r="H383" s="602"/>
      <c r="I383" s="602"/>
      <c r="J383" s="602"/>
      <c r="K383" s="602"/>
      <c r="L383" s="602"/>
      <c r="M383" s="602"/>
      <c r="N383" s="602"/>
      <c r="O383" s="602"/>
      <c r="P383" s="602"/>
      <c r="Q383" s="602"/>
      <c r="R383" s="602"/>
      <c r="S383" s="602"/>
      <c r="T383" s="602"/>
      <c r="U383" s="602"/>
      <c r="V383" s="602"/>
      <c r="W383" s="602"/>
      <c r="X383" s="602"/>
      <c r="Y383" s="602"/>
      <c r="Z383" s="602"/>
      <c r="AA383" s="602"/>
      <c r="AB383" s="602"/>
      <c r="AC383" s="602"/>
      <c r="AD383" s="602"/>
      <c r="AE383" s="602"/>
      <c r="AF383" s="602"/>
      <c r="AG383" s="602"/>
      <c r="AH383" s="602"/>
      <c r="AI383" s="602"/>
      <c r="AJ383" s="602"/>
      <c r="AK383" s="602"/>
      <c r="AL383" s="602"/>
      <c r="AM383" s="602"/>
      <c r="AN383" s="602"/>
      <c r="AO383" s="602"/>
      <c r="AP383" s="602"/>
      <c r="AQ383" s="602"/>
      <c r="AR383" s="602"/>
      <c r="AS383" s="602"/>
      <c r="AT383" s="602"/>
      <c r="AU383" s="602"/>
      <c r="AV383" s="602"/>
      <c r="AW383" s="602"/>
      <c r="AX383" s="602"/>
      <c r="AY383" s="602"/>
      <c r="AZ383" s="602"/>
      <c r="BA383" s="602"/>
    </row>
    <row r="384" spans="2:53">
      <c r="B384" s="602"/>
      <c r="C384" s="602"/>
      <c r="D384" s="602"/>
      <c r="G384" s="602"/>
      <c r="H384" s="602"/>
      <c r="I384" s="602"/>
      <c r="J384" s="602"/>
      <c r="K384" s="602"/>
      <c r="L384" s="602"/>
      <c r="M384" s="602"/>
      <c r="N384" s="602"/>
      <c r="O384" s="602"/>
      <c r="P384" s="602"/>
      <c r="Q384" s="602"/>
      <c r="R384" s="602"/>
      <c r="S384" s="602"/>
      <c r="T384" s="602"/>
      <c r="U384" s="602"/>
      <c r="V384" s="602"/>
      <c r="W384" s="602"/>
      <c r="X384" s="602"/>
      <c r="Y384" s="602"/>
      <c r="Z384" s="602"/>
      <c r="AA384" s="602"/>
      <c r="AB384" s="602"/>
      <c r="AC384" s="602"/>
      <c r="AD384" s="602"/>
      <c r="AE384" s="602"/>
      <c r="AF384" s="602"/>
      <c r="AG384" s="602"/>
      <c r="AH384" s="602"/>
      <c r="AI384" s="602"/>
      <c r="AJ384" s="602"/>
      <c r="AK384" s="602"/>
      <c r="AL384" s="602"/>
      <c r="AM384" s="602"/>
      <c r="AN384" s="602"/>
      <c r="AO384" s="602"/>
      <c r="AP384" s="602"/>
      <c r="AQ384" s="602"/>
      <c r="AR384" s="602"/>
      <c r="AS384" s="602"/>
      <c r="AT384" s="602"/>
      <c r="AU384" s="602"/>
      <c r="AV384" s="602"/>
      <c r="AW384" s="602"/>
      <c r="AX384" s="602"/>
      <c r="AY384" s="602"/>
      <c r="AZ384" s="602"/>
      <c r="BA384" s="602"/>
    </row>
    <row r="385" spans="2:53">
      <c r="B385" s="602"/>
      <c r="C385" s="602"/>
      <c r="D385" s="602"/>
      <c r="G385" s="602"/>
      <c r="H385" s="602"/>
      <c r="I385" s="602"/>
      <c r="J385" s="602"/>
      <c r="K385" s="602"/>
      <c r="L385" s="602"/>
      <c r="M385" s="602"/>
      <c r="N385" s="602"/>
      <c r="O385" s="602"/>
      <c r="P385" s="602"/>
      <c r="Q385" s="602"/>
      <c r="R385" s="602"/>
      <c r="S385" s="602"/>
      <c r="T385" s="602"/>
      <c r="U385" s="602"/>
      <c r="V385" s="602"/>
      <c r="W385" s="602"/>
      <c r="X385" s="602"/>
      <c r="Y385" s="602"/>
      <c r="Z385" s="602"/>
      <c r="AA385" s="602"/>
      <c r="AB385" s="602"/>
      <c r="AC385" s="602"/>
      <c r="AD385" s="602"/>
      <c r="AE385" s="602"/>
      <c r="AF385" s="602"/>
      <c r="AG385" s="602"/>
      <c r="AH385" s="602"/>
      <c r="AI385" s="602"/>
      <c r="AJ385" s="602"/>
      <c r="AK385" s="602"/>
      <c r="AL385" s="602"/>
      <c r="AM385" s="602"/>
      <c r="AN385" s="602"/>
      <c r="AO385" s="602"/>
      <c r="AP385" s="602"/>
      <c r="AQ385" s="602"/>
      <c r="AR385" s="602"/>
      <c r="AS385" s="602"/>
      <c r="AT385" s="602"/>
      <c r="AU385" s="602"/>
      <c r="AV385" s="602"/>
      <c r="AW385" s="602"/>
      <c r="AX385" s="602"/>
      <c r="AY385" s="602"/>
      <c r="AZ385" s="602"/>
      <c r="BA385" s="602"/>
    </row>
    <row r="386" spans="2:53">
      <c r="B386" s="602"/>
      <c r="C386" s="602"/>
      <c r="D386" s="602"/>
      <c r="G386" s="602"/>
      <c r="H386" s="602"/>
      <c r="I386" s="602"/>
      <c r="J386" s="602"/>
      <c r="K386" s="602"/>
      <c r="L386" s="602"/>
      <c r="M386" s="602"/>
      <c r="N386" s="602"/>
      <c r="O386" s="602"/>
      <c r="P386" s="602"/>
      <c r="Q386" s="602"/>
      <c r="R386" s="602"/>
      <c r="S386" s="602"/>
      <c r="T386" s="602"/>
      <c r="U386" s="602"/>
      <c r="V386" s="602"/>
      <c r="W386" s="602"/>
      <c r="X386" s="602"/>
      <c r="Y386" s="602"/>
      <c r="Z386" s="602"/>
      <c r="AA386" s="602"/>
      <c r="AB386" s="602"/>
      <c r="AC386" s="602"/>
      <c r="AD386" s="602"/>
      <c r="AE386" s="602"/>
      <c r="AF386" s="602"/>
      <c r="AG386" s="602"/>
      <c r="AH386" s="602"/>
      <c r="AI386" s="602"/>
      <c r="AJ386" s="602"/>
      <c r="AK386" s="602"/>
      <c r="AL386" s="602"/>
      <c r="AM386" s="602"/>
      <c r="AN386" s="602"/>
      <c r="AO386" s="602"/>
      <c r="AP386" s="602"/>
      <c r="AQ386" s="602"/>
      <c r="AR386" s="602"/>
      <c r="AS386" s="602"/>
      <c r="AT386" s="602"/>
      <c r="AU386" s="602"/>
      <c r="AV386" s="602"/>
      <c r="AW386" s="602"/>
      <c r="AX386" s="602"/>
      <c r="AY386" s="602"/>
      <c r="AZ386" s="602"/>
      <c r="BA386" s="602"/>
    </row>
    <row r="387" spans="2:53">
      <c r="B387" s="602"/>
      <c r="C387" s="602"/>
      <c r="D387" s="602"/>
      <c r="G387" s="602"/>
      <c r="H387" s="602"/>
      <c r="I387" s="602"/>
      <c r="J387" s="602"/>
      <c r="K387" s="602"/>
      <c r="L387" s="602"/>
      <c r="M387" s="602"/>
      <c r="N387" s="602"/>
      <c r="O387" s="602"/>
      <c r="P387" s="602"/>
      <c r="Q387" s="602"/>
      <c r="R387" s="602"/>
      <c r="S387" s="602"/>
      <c r="T387" s="602"/>
      <c r="U387" s="602"/>
      <c r="V387" s="602"/>
      <c r="W387" s="602"/>
      <c r="X387" s="602"/>
      <c r="Y387" s="602"/>
      <c r="Z387" s="602"/>
      <c r="AA387" s="602"/>
      <c r="AB387" s="602"/>
      <c r="AC387" s="602"/>
      <c r="AD387" s="602"/>
      <c r="AE387" s="602"/>
      <c r="AF387" s="602"/>
      <c r="AG387" s="602"/>
      <c r="AH387" s="602"/>
      <c r="AI387" s="602"/>
      <c r="AJ387" s="602"/>
      <c r="AK387" s="602"/>
      <c r="AL387" s="602"/>
      <c r="AM387" s="602"/>
      <c r="AN387" s="602"/>
      <c r="AO387" s="602"/>
      <c r="AP387" s="602"/>
      <c r="AQ387" s="602"/>
      <c r="AR387" s="602"/>
      <c r="AS387" s="602"/>
      <c r="AT387" s="602"/>
      <c r="AU387" s="602"/>
      <c r="AV387" s="602"/>
      <c r="AW387" s="602"/>
      <c r="AX387" s="602"/>
      <c r="AY387" s="602"/>
      <c r="AZ387" s="602"/>
      <c r="BA387" s="602"/>
    </row>
    <row r="388" spans="2:53">
      <c r="B388" s="602"/>
      <c r="C388" s="602"/>
      <c r="D388" s="602"/>
      <c r="G388" s="602"/>
      <c r="H388" s="602"/>
      <c r="I388" s="602"/>
      <c r="J388" s="602"/>
      <c r="K388" s="602"/>
      <c r="L388" s="602"/>
      <c r="M388" s="602"/>
      <c r="N388" s="602"/>
      <c r="O388" s="602"/>
      <c r="P388" s="602"/>
      <c r="Q388" s="602"/>
      <c r="R388" s="602"/>
      <c r="S388" s="602"/>
      <c r="T388" s="602"/>
      <c r="U388" s="602"/>
      <c r="V388" s="602"/>
      <c r="W388" s="602"/>
      <c r="X388" s="602"/>
      <c r="Y388" s="602"/>
      <c r="Z388" s="602"/>
      <c r="AA388" s="602"/>
      <c r="AB388" s="602"/>
      <c r="AC388" s="602"/>
      <c r="AD388" s="602"/>
      <c r="AE388" s="602"/>
      <c r="AF388" s="602"/>
      <c r="AG388" s="602"/>
      <c r="AH388" s="602"/>
      <c r="AI388" s="602"/>
      <c r="AJ388" s="602"/>
      <c r="AK388" s="602"/>
      <c r="AL388" s="602"/>
      <c r="AM388" s="602"/>
      <c r="AN388" s="602"/>
      <c r="AO388" s="602"/>
      <c r="AP388" s="602"/>
      <c r="AQ388" s="602"/>
      <c r="AR388" s="602"/>
      <c r="AS388" s="602"/>
      <c r="AT388" s="602"/>
      <c r="AU388" s="602"/>
      <c r="AV388" s="602"/>
      <c r="AW388" s="602"/>
      <c r="AX388" s="602"/>
      <c r="AY388" s="602"/>
      <c r="AZ388" s="602"/>
      <c r="BA388" s="602"/>
    </row>
    <row r="389" spans="2:53">
      <c r="B389" s="602"/>
      <c r="C389" s="602"/>
      <c r="D389" s="602"/>
      <c r="G389" s="602"/>
      <c r="H389" s="602"/>
      <c r="I389" s="602"/>
      <c r="J389" s="602"/>
      <c r="K389" s="602"/>
      <c r="L389" s="602"/>
      <c r="M389" s="602"/>
      <c r="N389" s="602"/>
      <c r="O389" s="602"/>
      <c r="P389" s="602"/>
      <c r="Q389" s="602"/>
      <c r="R389" s="602"/>
      <c r="S389" s="602"/>
      <c r="T389" s="602"/>
      <c r="U389" s="602"/>
      <c r="V389" s="602"/>
      <c r="W389" s="602"/>
      <c r="X389" s="602"/>
      <c r="Y389" s="602"/>
      <c r="Z389" s="602"/>
      <c r="AA389" s="602"/>
      <c r="AB389" s="602"/>
      <c r="AC389" s="602"/>
      <c r="AD389" s="602"/>
      <c r="AE389" s="602"/>
      <c r="AF389" s="602"/>
      <c r="AG389" s="602"/>
      <c r="AH389" s="602"/>
      <c r="AI389" s="602"/>
      <c r="AJ389" s="602"/>
      <c r="AK389" s="602"/>
      <c r="AL389" s="602"/>
      <c r="AM389" s="602"/>
      <c r="AN389" s="602"/>
      <c r="AO389" s="602"/>
      <c r="AP389" s="602"/>
      <c r="AQ389" s="602"/>
      <c r="AR389" s="602"/>
      <c r="AS389" s="602"/>
      <c r="AT389" s="602"/>
      <c r="AU389" s="602"/>
      <c r="AV389" s="602"/>
      <c r="AW389" s="602"/>
      <c r="AX389" s="602"/>
      <c r="AY389" s="602"/>
      <c r="AZ389" s="602"/>
      <c r="BA389" s="602"/>
    </row>
    <row r="390" spans="2:53">
      <c r="B390" s="602"/>
      <c r="C390" s="602"/>
      <c r="D390" s="602"/>
      <c r="G390" s="602"/>
      <c r="H390" s="602"/>
      <c r="I390" s="602"/>
      <c r="J390" s="602"/>
      <c r="K390" s="602"/>
      <c r="L390" s="602"/>
      <c r="M390" s="602"/>
      <c r="N390" s="602"/>
      <c r="O390" s="602"/>
      <c r="P390" s="602"/>
      <c r="Q390" s="602"/>
      <c r="R390" s="602"/>
      <c r="S390" s="602"/>
      <c r="T390" s="602"/>
      <c r="U390" s="602"/>
      <c r="V390" s="602"/>
      <c r="W390" s="602"/>
      <c r="X390" s="602"/>
      <c r="Y390" s="602"/>
      <c r="Z390" s="602"/>
      <c r="AA390" s="602"/>
      <c r="AB390" s="602"/>
      <c r="AC390" s="602"/>
      <c r="AD390" s="602"/>
      <c r="AE390" s="602"/>
      <c r="AF390" s="602"/>
      <c r="AG390" s="602"/>
      <c r="AH390" s="602"/>
      <c r="AI390" s="602"/>
      <c r="AJ390" s="602"/>
      <c r="AK390" s="602"/>
      <c r="AL390" s="602"/>
      <c r="AM390" s="602"/>
      <c r="AN390" s="602"/>
      <c r="AO390" s="602"/>
      <c r="AP390" s="602"/>
      <c r="AQ390" s="602"/>
      <c r="AR390" s="602"/>
      <c r="AS390" s="602"/>
      <c r="AT390" s="602"/>
      <c r="AU390" s="602"/>
      <c r="AV390" s="602"/>
      <c r="AW390" s="602"/>
      <c r="AX390" s="602"/>
      <c r="AY390" s="602"/>
      <c r="AZ390" s="602"/>
      <c r="BA390" s="602"/>
    </row>
    <row r="391" spans="2:53">
      <c r="B391" s="602"/>
      <c r="C391" s="602"/>
      <c r="D391" s="602"/>
      <c r="G391" s="602"/>
      <c r="H391" s="602"/>
      <c r="I391" s="602"/>
      <c r="J391" s="602"/>
      <c r="K391" s="602"/>
      <c r="L391" s="602"/>
      <c r="M391" s="602"/>
      <c r="N391" s="602"/>
      <c r="O391" s="602"/>
      <c r="P391" s="602"/>
      <c r="Q391" s="602"/>
      <c r="R391" s="602"/>
      <c r="S391" s="602"/>
      <c r="T391" s="602"/>
      <c r="U391" s="602"/>
      <c r="V391" s="602"/>
      <c r="W391" s="602"/>
      <c r="X391" s="602"/>
      <c r="Y391" s="602"/>
      <c r="Z391" s="602"/>
      <c r="AA391" s="602"/>
      <c r="AB391" s="602"/>
      <c r="AC391" s="602"/>
      <c r="AD391" s="602"/>
      <c r="AE391" s="602"/>
      <c r="AF391" s="602"/>
      <c r="AG391" s="602"/>
      <c r="AH391" s="602"/>
      <c r="AI391" s="602"/>
      <c r="AJ391" s="602"/>
      <c r="AK391" s="602"/>
      <c r="AL391" s="602"/>
      <c r="AM391" s="602"/>
      <c r="AN391" s="602"/>
      <c r="AO391" s="602"/>
      <c r="AP391" s="602"/>
      <c r="AQ391" s="602"/>
      <c r="AR391" s="602"/>
      <c r="AS391" s="602"/>
      <c r="AT391" s="602"/>
      <c r="AU391" s="602"/>
      <c r="AV391" s="602"/>
      <c r="AW391" s="602"/>
      <c r="AX391" s="602"/>
      <c r="AY391" s="602"/>
      <c r="AZ391" s="602"/>
      <c r="BA391" s="602"/>
    </row>
    <row r="392" spans="2:53">
      <c r="B392" s="602"/>
      <c r="C392" s="602"/>
      <c r="D392" s="602"/>
      <c r="G392" s="602"/>
      <c r="H392" s="602"/>
      <c r="I392" s="602"/>
      <c r="J392" s="602"/>
      <c r="K392" s="602"/>
      <c r="L392" s="602"/>
      <c r="M392" s="602"/>
      <c r="N392" s="602"/>
      <c r="O392" s="602"/>
      <c r="P392" s="602"/>
      <c r="Q392" s="602"/>
      <c r="R392" s="602"/>
      <c r="S392" s="602"/>
      <c r="T392" s="602"/>
      <c r="U392" s="602"/>
      <c r="V392" s="602"/>
      <c r="W392" s="602"/>
      <c r="X392" s="602"/>
      <c r="Y392" s="602"/>
      <c r="Z392" s="602"/>
      <c r="AA392" s="602"/>
      <c r="AB392" s="602"/>
      <c r="AC392" s="602"/>
      <c r="AD392" s="602"/>
      <c r="AE392" s="602"/>
      <c r="AF392" s="602"/>
      <c r="AG392" s="602"/>
      <c r="AH392" s="602"/>
      <c r="AI392" s="602"/>
      <c r="AJ392" s="602"/>
      <c r="AK392" s="602"/>
      <c r="AL392" s="602"/>
      <c r="AM392" s="602"/>
      <c r="AN392" s="602"/>
      <c r="AO392" s="602"/>
      <c r="AP392" s="602"/>
      <c r="AQ392" s="602"/>
      <c r="AR392" s="602"/>
      <c r="AS392" s="602"/>
      <c r="AT392" s="602"/>
      <c r="AU392" s="602"/>
      <c r="AV392" s="602"/>
      <c r="AW392" s="602"/>
      <c r="AX392" s="602"/>
      <c r="AY392" s="602"/>
      <c r="AZ392" s="602"/>
      <c r="BA392" s="602"/>
    </row>
    <row r="393" spans="2:53">
      <c r="B393" s="602"/>
      <c r="C393" s="602"/>
      <c r="D393" s="602"/>
      <c r="G393" s="602"/>
      <c r="H393" s="602"/>
      <c r="I393" s="602"/>
      <c r="J393" s="602"/>
      <c r="K393" s="602"/>
      <c r="L393" s="602"/>
      <c r="M393" s="602"/>
      <c r="N393" s="602"/>
      <c r="O393" s="602"/>
      <c r="P393" s="602"/>
      <c r="Q393" s="602"/>
      <c r="R393" s="602"/>
      <c r="S393" s="602"/>
      <c r="T393" s="602"/>
      <c r="U393" s="602"/>
      <c r="V393" s="602"/>
      <c r="W393" s="602"/>
      <c r="X393" s="602"/>
      <c r="Y393" s="602"/>
      <c r="Z393" s="602"/>
      <c r="AA393" s="602"/>
      <c r="AB393" s="602"/>
      <c r="AC393" s="602"/>
      <c r="AD393" s="602"/>
      <c r="AE393" s="602"/>
      <c r="AF393" s="602"/>
      <c r="AG393" s="602"/>
      <c r="AH393" s="602"/>
      <c r="AI393" s="602"/>
      <c r="AJ393" s="602"/>
      <c r="AK393" s="602"/>
      <c r="AL393" s="602"/>
      <c r="AM393" s="602"/>
      <c r="AN393" s="602"/>
      <c r="AO393" s="602"/>
      <c r="AP393" s="602"/>
      <c r="AQ393" s="602"/>
      <c r="AR393" s="602"/>
      <c r="AS393" s="602"/>
      <c r="AT393" s="602"/>
      <c r="AU393" s="602"/>
      <c r="AV393" s="602"/>
      <c r="AW393" s="602"/>
      <c r="AX393" s="602"/>
      <c r="AY393" s="602"/>
      <c r="AZ393" s="602"/>
      <c r="BA393" s="602"/>
    </row>
    <row r="394" spans="2:53">
      <c r="B394" s="602"/>
      <c r="C394" s="602"/>
      <c r="D394" s="602"/>
      <c r="G394" s="602"/>
      <c r="H394" s="602"/>
      <c r="I394" s="602"/>
      <c r="J394" s="602"/>
      <c r="K394" s="602"/>
      <c r="L394" s="602"/>
      <c r="M394" s="602"/>
      <c r="N394" s="602"/>
      <c r="O394" s="602"/>
      <c r="P394" s="602"/>
      <c r="Q394" s="602"/>
      <c r="R394" s="602"/>
      <c r="S394" s="602"/>
      <c r="T394" s="602"/>
      <c r="U394" s="602"/>
      <c r="V394" s="602"/>
      <c r="W394" s="602"/>
      <c r="X394" s="602"/>
      <c r="Y394" s="602"/>
      <c r="Z394" s="602"/>
      <c r="AA394" s="602"/>
      <c r="AB394" s="602"/>
      <c r="AC394" s="602"/>
      <c r="AD394" s="602"/>
      <c r="AE394" s="602"/>
      <c r="AF394" s="602"/>
      <c r="AG394" s="602"/>
      <c r="AH394" s="602"/>
      <c r="AI394" s="602"/>
      <c r="AJ394" s="602"/>
      <c r="AK394" s="602"/>
      <c r="AL394" s="602"/>
      <c r="AM394" s="602"/>
      <c r="AN394" s="602"/>
      <c r="AO394" s="602"/>
      <c r="AP394" s="602"/>
      <c r="AQ394" s="602"/>
      <c r="AR394" s="602"/>
      <c r="AS394" s="602"/>
      <c r="AT394" s="602"/>
      <c r="AU394" s="602"/>
      <c r="AV394" s="602"/>
      <c r="AW394" s="602"/>
      <c r="AX394" s="602"/>
      <c r="AY394" s="602"/>
      <c r="AZ394" s="602"/>
      <c r="BA394" s="602"/>
    </row>
    <row r="395" spans="2:53">
      <c r="B395" s="602"/>
      <c r="C395" s="602"/>
      <c r="D395" s="602"/>
      <c r="G395" s="602"/>
      <c r="H395" s="602"/>
      <c r="I395" s="602"/>
      <c r="J395" s="602"/>
      <c r="K395" s="602"/>
      <c r="L395" s="602"/>
      <c r="M395" s="602"/>
      <c r="N395" s="602"/>
      <c r="O395" s="602"/>
      <c r="P395" s="602"/>
      <c r="Q395" s="602"/>
      <c r="R395" s="602"/>
      <c r="S395" s="602"/>
      <c r="T395" s="602"/>
      <c r="U395" s="602"/>
      <c r="V395" s="602"/>
      <c r="W395" s="602"/>
      <c r="X395" s="602"/>
      <c r="Y395" s="602"/>
      <c r="Z395" s="602"/>
      <c r="AA395" s="602"/>
      <c r="AB395" s="602"/>
      <c r="AC395" s="602"/>
      <c r="AD395" s="602"/>
      <c r="AE395" s="602"/>
      <c r="AF395" s="602"/>
      <c r="AG395" s="602"/>
      <c r="AH395" s="602"/>
      <c r="AI395" s="602"/>
      <c r="AJ395" s="602"/>
      <c r="AK395" s="602"/>
      <c r="AL395" s="602"/>
      <c r="AM395" s="602"/>
      <c r="AN395" s="602"/>
      <c r="AO395" s="602"/>
      <c r="AP395" s="602"/>
      <c r="AQ395" s="602"/>
      <c r="AR395" s="602"/>
      <c r="AS395" s="602"/>
      <c r="AT395" s="602"/>
      <c r="AU395" s="602"/>
      <c r="AV395" s="602"/>
      <c r="AW395" s="602"/>
      <c r="AX395" s="602"/>
      <c r="AY395" s="602"/>
      <c r="AZ395" s="602"/>
      <c r="BA395" s="602"/>
    </row>
    <row r="396" spans="2:53">
      <c r="B396" s="602"/>
      <c r="C396" s="602"/>
      <c r="D396" s="602"/>
      <c r="G396" s="602"/>
      <c r="H396" s="602"/>
      <c r="I396" s="602"/>
      <c r="J396" s="602"/>
      <c r="K396" s="602"/>
      <c r="L396" s="602"/>
      <c r="M396" s="602"/>
      <c r="N396" s="602"/>
      <c r="O396" s="602"/>
      <c r="P396" s="602"/>
      <c r="Q396" s="602"/>
      <c r="R396" s="602"/>
      <c r="S396" s="602"/>
      <c r="T396" s="602"/>
      <c r="U396" s="602"/>
      <c r="V396" s="602"/>
      <c r="W396" s="602"/>
      <c r="X396" s="602"/>
      <c r="Y396" s="602"/>
      <c r="Z396" s="602"/>
      <c r="AA396" s="602"/>
      <c r="AB396" s="602"/>
      <c r="AC396" s="602"/>
      <c r="AD396" s="602"/>
      <c r="AE396" s="602"/>
      <c r="AF396" s="602"/>
      <c r="AG396" s="602"/>
      <c r="AH396" s="602"/>
      <c r="AI396" s="602"/>
      <c r="AJ396" s="602"/>
      <c r="AK396" s="602"/>
      <c r="AL396" s="602"/>
      <c r="AM396" s="602"/>
      <c r="AN396" s="602"/>
      <c r="AO396" s="602"/>
      <c r="AP396" s="602"/>
      <c r="AQ396" s="602"/>
      <c r="AR396" s="602"/>
      <c r="AS396" s="602"/>
      <c r="AT396" s="602"/>
      <c r="AU396" s="602"/>
      <c r="AV396" s="602"/>
      <c r="AW396" s="602"/>
      <c r="AX396" s="602"/>
      <c r="AY396" s="602"/>
      <c r="AZ396" s="602"/>
      <c r="BA396" s="602"/>
    </row>
    <row r="397" spans="2:53">
      <c r="B397" s="602"/>
      <c r="C397" s="602"/>
      <c r="D397" s="602"/>
      <c r="G397" s="602"/>
      <c r="H397" s="602"/>
      <c r="I397" s="602"/>
      <c r="J397" s="602"/>
      <c r="K397" s="602"/>
      <c r="L397" s="602"/>
      <c r="M397" s="602"/>
      <c r="N397" s="602"/>
      <c r="O397" s="602"/>
      <c r="P397" s="602"/>
      <c r="Q397" s="602"/>
      <c r="R397" s="602"/>
      <c r="S397" s="602"/>
      <c r="T397" s="602"/>
      <c r="U397" s="602"/>
      <c r="V397" s="602"/>
      <c r="W397" s="602"/>
      <c r="X397" s="602"/>
      <c r="Y397" s="602"/>
      <c r="Z397" s="602"/>
      <c r="AA397" s="602"/>
      <c r="AB397" s="602"/>
      <c r="AC397" s="602"/>
      <c r="AD397" s="602"/>
      <c r="AE397" s="602"/>
      <c r="AF397" s="602"/>
      <c r="AG397" s="602"/>
      <c r="AH397" s="602"/>
      <c r="AI397" s="602"/>
      <c r="AJ397" s="602"/>
      <c r="AK397" s="602"/>
      <c r="AL397" s="602"/>
      <c r="AM397" s="602"/>
      <c r="AN397" s="602"/>
      <c r="AO397" s="602"/>
      <c r="AP397" s="602"/>
      <c r="AQ397" s="602"/>
      <c r="AR397" s="602"/>
      <c r="AS397" s="602"/>
      <c r="AT397" s="602"/>
      <c r="AU397" s="602"/>
      <c r="AV397" s="602"/>
      <c r="AW397" s="602"/>
      <c r="AX397" s="602"/>
      <c r="AY397" s="602"/>
      <c r="AZ397" s="602"/>
      <c r="BA397" s="602"/>
    </row>
    <row r="398" spans="2:53">
      <c r="B398" s="602"/>
      <c r="C398" s="602"/>
      <c r="D398" s="602"/>
      <c r="G398" s="602"/>
      <c r="H398" s="602"/>
      <c r="I398" s="602"/>
      <c r="J398" s="602"/>
      <c r="K398" s="602"/>
      <c r="L398" s="602"/>
      <c r="M398" s="602"/>
      <c r="N398" s="602"/>
      <c r="O398" s="602"/>
      <c r="P398" s="602"/>
      <c r="Q398" s="602"/>
      <c r="R398" s="602"/>
      <c r="S398" s="602"/>
      <c r="T398" s="602"/>
      <c r="U398" s="602"/>
      <c r="V398" s="602"/>
      <c r="W398" s="602"/>
      <c r="X398" s="602"/>
      <c r="Y398" s="602"/>
      <c r="Z398" s="602"/>
      <c r="AA398" s="602"/>
      <c r="AB398" s="602"/>
      <c r="AC398" s="602"/>
      <c r="AD398" s="602"/>
      <c r="AE398" s="602"/>
      <c r="AF398" s="602"/>
      <c r="AG398" s="602"/>
      <c r="AH398" s="602"/>
      <c r="AI398" s="602"/>
      <c r="AJ398" s="602"/>
      <c r="AK398" s="602"/>
      <c r="AL398" s="602"/>
      <c r="AM398" s="602"/>
      <c r="AN398" s="602"/>
      <c r="AO398" s="602"/>
      <c r="AP398" s="602"/>
      <c r="AQ398" s="602"/>
      <c r="AR398" s="602"/>
      <c r="AS398" s="602"/>
      <c r="AT398" s="602"/>
      <c r="AU398" s="602"/>
      <c r="AV398" s="602"/>
      <c r="AW398" s="602"/>
      <c r="AX398" s="602"/>
      <c r="AY398" s="602"/>
      <c r="AZ398" s="602"/>
      <c r="BA398" s="602"/>
    </row>
    <row r="399" spans="2:53">
      <c r="B399" s="602"/>
      <c r="C399" s="602"/>
      <c r="D399" s="602"/>
      <c r="G399" s="602"/>
      <c r="H399" s="602"/>
      <c r="I399" s="602"/>
      <c r="J399" s="602"/>
      <c r="K399" s="602"/>
      <c r="L399" s="602"/>
      <c r="M399" s="602"/>
      <c r="N399" s="602"/>
      <c r="O399" s="602"/>
      <c r="P399" s="602"/>
      <c r="Q399" s="602"/>
      <c r="R399" s="602"/>
      <c r="S399" s="602"/>
      <c r="T399" s="602"/>
      <c r="U399" s="602"/>
      <c r="V399" s="602"/>
      <c r="W399" s="602"/>
      <c r="X399" s="602"/>
      <c r="Y399" s="602"/>
      <c r="Z399" s="602"/>
      <c r="AA399" s="602"/>
      <c r="AB399" s="602"/>
      <c r="AC399" s="602"/>
      <c r="AD399" s="602"/>
      <c r="AE399" s="602"/>
      <c r="AF399" s="602"/>
      <c r="AG399" s="602"/>
      <c r="AH399" s="602"/>
      <c r="AI399" s="602"/>
      <c r="AJ399" s="602"/>
      <c r="AK399" s="602"/>
      <c r="AL399" s="602"/>
      <c r="AM399" s="602"/>
      <c r="AN399" s="602"/>
      <c r="AO399" s="602"/>
      <c r="AP399" s="602"/>
      <c r="AQ399" s="602"/>
      <c r="AR399" s="602"/>
      <c r="AS399" s="602"/>
      <c r="AT399" s="602"/>
      <c r="AU399" s="602"/>
      <c r="AV399" s="602"/>
      <c r="AW399" s="602"/>
      <c r="AX399" s="602"/>
      <c r="AY399" s="602"/>
      <c r="AZ399" s="602"/>
      <c r="BA399" s="602"/>
    </row>
    <row r="400" spans="2:53">
      <c r="B400" s="602"/>
      <c r="C400" s="602"/>
      <c r="D400" s="602"/>
      <c r="G400" s="602"/>
      <c r="H400" s="602"/>
      <c r="I400" s="602"/>
      <c r="J400" s="602"/>
      <c r="K400" s="602"/>
      <c r="L400" s="602"/>
      <c r="M400" s="602"/>
      <c r="N400" s="602"/>
      <c r="O400" s="602"/>
      <c r="P400" s="602"/>
      <c r="Q400" s="602"/>
      <c r="R400" s="602"/>
      <c r="S400" s="602"/>
      <c r="T400" s="602"/>
      <c r="U400" s="602"/>
      <c r="V400" s="602"/>
      <c r="W400" s="602"/>
      <c r="X400" s="602"/>
      <c r="Y400" s="602"/>
      <c r="Z400" s="602"/>
      <c r="AA400" s="602"/>
      <c r="AB400" s="602"/>
      <c r="AC400" s="602"/>
      <c r="AD400" s="602"/>
      <c r="AE400" s="602"/>
      <c r="AF400" s="602"/>
      <c r="AG400" s="602"/>
      <c r="AH400" s="602"/>
      <c r="AI400" s="602"/>
      <c r="AJ400" s="602"/>
      <c r="AK400" s="602"/>
      <c r="AL400" s="602"/>
      <c r="AM400" s="602"/>
      <c r="AN400" s="602"/>
      <c r="AO400" s="602"/>
      <c r="AP400" s="602"/>
      <c r="AQ400" s="602"/>
      <c r="AR400" s="602"/>
      <c r="AS400" s="602"/>
      <c r="AT400" s="602"/>
      <c r="AU400" s="602"/>
      <c r="AV400" s="602"/>
      <c r="AW400" s="602"/>
      <c r="AX400" s="602"/>
      <c r="AY400" s="602"/>
      <c r="AZ400" s="602"/>
      <c r="BA400" s="602"/>
    </row>
    <row r="401" spans="2:53">
      <c r="B401" s="602"/>
      <c r="C401" s="602"/>
      <c r="D401" s="602"/>
      <c r="G401" s="602"/>
      <c r="H401" s="602"/>
      <c r="I401" s="602"/>
      <c r="J401" s="602"/>
      <c r="K401" s="602"/>
      <c r="L401" s="602"/>
      <c r="M401" s="602"/>
      <c r="N401" s="602"/>
      <c r="O401" s="602"/>
      <c r="P401" s="602"/>
      <c r="Q401" s="602"/>
      <c r="R401" s="602"/>
      <c r="S401" s="602"/>
      <c r="T401" s="602"/>
      <c r="U401" s="602"/>
      <c r="V401" s="602"/>
      <c r="W401" s="602"/>
      <c r="X401" s="602"/>
      <c r="Y401" s="602"/>
      <c r="Z401" s="602"/>
      <c r="AA401" s="602"/>
      <c r="AB401" s="602"/>
      <c r="AC401" s="602"/>
      <c r="AD401" s="602"/>
      <c r="AE401" s="602"/>
      <c r="AF401" s="602"/>
      <c r="AG401" s="602"/>
      <c r="AH401" s="602"/>
      <c r="AI401" s="602"/>
      <c r="AJ401" s="602"/>
      <c r="AK401" s="602"/>
      <c r="AL401" s="602"/>
      <c r="AM401" s="602"/>
      <c r="AN401" s="602"/>
      <c r="AO401" s="602"/>
      <c r="AP401" s="602"/>
      <c r="AQ401" s="602"/>
      <c r="AR401" s="602"/>
      <c r="AS401" s="602"/>
      <c r="AT401" s="602"/>
      <c r="AU401" s="602"/>
      <c r="AV401" s="602"/>
      <c r="AW401" s="602"/>
      <c r="AX401" s="602"/>
      <c r="AY401" s="602"/>
      <c r="AZ401" s="602"/>
      <c r="BA401" s="602"/>
    </row>
    <row r="402" spans="2:53">
      <c r="B402" s="602"/>
      <c r="C402" s="602"/>
      <c r="D402" s="602"/>
      <c r="G402" s="602"/>
      <c r="H402" s="602"/>
      <c r="I402" s="602"/>
      <c r="J402" s="602"/>
      <c r="K402" s="602"/>
      <c r="L402" s="602"/>
      <c r="M402" s="602"/>
      <c r="N402" s="602"/>
      <c r="O402" s="602"/>
      <c r="P402" s="602"/>
      <c r="Q402" s="602"/>
      <c r="R402" s="602"/>
      <c r="S402" s="602"/>
      <c r="T402" s="602"/>
      <c r="U402" s="602"/>
      <c r="V402" s="602"/>
      <c r="W402" s="602"/>
      <c r="X402" s="602"/>
      <c r="Y402" s="602"/>
      <c r="Z402" s="602"/>
      <c r="AA402" s="602"/>
      <c r="AB402" s="602"/>
      <c r="AC402" s="602"/>
      <c r="AD402" s="602"/>
      <c r="AE402" s="602"/>
      <c r="AF402" s="602"/>
      <c r="AG402" s="602"/>
      <c r="AH402" s="602"/>
      <c r="AI402" s="602"/>
      <c r="AJ402" s="602"/>
      <c r="AK402" s="602"/>
      <c r="AL402" s="602"/>
      <c r="AM402" s="602"/>
      <c r="AN402" s="602"/>
      <c r="AO402" s="602"/>
      <c r="AP402" s="602"/>
      <c r="AQ402" s="602"/>
      <c r="AR402" s="602"/>
      <c r="AS402" s="602"/>
      <c r="AT402" s="602"/>
      <c r="AU402" s="602"/>
      <c r="AV402" s="602"/>
      <c r="AW402" s="602"/>
      <c r="AX402" s="602"/>
      <c r="AY402" s="602"/>
      <c r="AZ402" s="602"/>
      <c r="BA402" s="602"/>
    </row>
    <row r="403" spans="2:53">
      <c r="B403" s="602"/>
      <c r="C403" s="602"/>
      <c r="D403" s="602"/>
      <c r="G403" s="602"/>
      <c r="H403" s="602"/>
      <c r="I403" s="602"/>
      <c r="J403" s="602"/>
      <c r="K403" s="602"/>
      <c r="L403" s="602"/>
      <c r="M403" s="602"/>
      <c r="N403" s="602"/>
      <c r="O403" s="602"/>
      <c r="P403" s="602"/>
      <c r="Q403" s="602"/>
      <c r="R403" s="602"/>
      <c r="S403" s="602"/>
      <c r="T403" s="602"/>
      <c r="U403" s="602"/>
      <c r="V403" s="602"/>
      <c r="W403" s="602"/>
      <c r="X403" s="602"/>
      <c r="Y403" s="602"/>
      <c r="Z403" s="602"/>
      <c r="AA403" s="602"/>
      <c r="AB403" s="602"/>
      <c r="AC403" s="602"/>
      <c r="AD403" s="602"/>
      <c r="AE403" s="602"/>
      <c r="AF403" s="602"/>
      <c r="AG403" s="602"/>
      <c r="AH403" s="602"/>
      <c r="AI403" s="602"/>
      <c r="AJ403" s="602"/>
      <c r="AK403" s="602"/>
      <c r="AL403" s="602"/>
      <c r="AM403" s="602"/>
      <c r="AN403" s="602"/>
      <c r="AO403" s="602"/>
      <c r="AP403" s="602"/>
      <c r="AQ403" s="602"/>
      <c r="AR403" s="602"/>
      <c r="AS403" s="602"/>
      <c r="AT403" s="602"/>
      <c r="AU403" s="602"/>
      <c r="AV403" s="602"/>
      <c r="AW403" s="602"/>
      <c r="AX403" s="602"/>
      <c r="AY403" s="602"/>
      <c r="AZ403" s="602"/>
      <c r="BA403" s="602"/>
    </row>
    <row r="404" spans="2:53">
      <c r="B404" s="602"/>
      <c r="C404" s="602"/>
      <c r="D404" s="602"/>
      <c r="G404" s="602"/>
      <c r="H404" s="602"/>
      <c r="I404" s="602"/>
      <c r="J404" s="602"/>
      <c r="K404" s="602"/>
      <c r="L404" s="602"/>
      <c r="M404" s="602"/>
      <c r="N404" s="602"/>
      <c r="O404" s="602"/>
      <c r="P404" s="602"/>
      <c r="Q404" s="602"/>
      <c r="R404" s="602"/>
      <c r="S404" s="602"/>
      <c r="T404" s="602"/>
      <c r="U404" s="602"/>
      <c r="V404" s="602"/>
      <c r="W404" s="602"/>
      <c r="X404" s="602"/>
      <c r="Y404" s="602"/>
      <c r="Z404" s="602"/>
      <c r="AA404" s="602"/>
      <c r="AB404" s="602"/>
      <c r="AC404" s="602"/>
      <c r="AD404" s="602"/>
      <c r="AE404" s="602"/>
      <c r="AF404" s="602"/>
      <c r="AG404" s="602"/>
      <c r="AH404" s="602"/>
      <c r="AI404" s="602"/>
      <c r="AJ404" s="602"/>
      <c r="AK404" s="602"/>
      <c r="AL404" s="602"/>
      <c r="AM404" s="602"/>
      <c r="AN404" s="602"/>
      <c r="AO404" s="602"/>
      <c r="AP404" s="602"/>
      <c r="AQ404" s="602"/>
      <c r="AR404" s="602"/>
      <c r="AS404" s="602"/>
      <c r="AT404" s="602"/>
      <c r="AU404" s="602"/>
      <c r="AV404" s="602"/>
      <c r="AW404" s="602"/>
      <c r="AX404" s="602"/>
      <c r="AY404" s="602"/>
      <c r="AZ404" s="602"/>
      <c r="BA404" s="602"/>
    </row>
    <row r="405" spans="2:53">
      <c r="B405" s="602"/>
      <c r="C405" s="602"/>
      <c r="D405" s="602"/>
      <c r="G405" s="602"/>
      <c r="H405" s="602"/>
      <c r="I405" s="602"/>
      <c r="J405" s="602"/>
      <c r="K405" s="602"/>
      <c r="L405" s="602"/>
      <c r="M405" s="602"/>
      <c r="N405" s="602"/>
      <c r="O405" s="602"/>
      <c r="P405" s="602"/>
      <c r="Q405" s="602"/>
      <c r="R405" s="602"/>
      <c r="S405" s="602"/>
      <c r="T405" s="602"/>
      <c r="U405" s="602"/>
      <c r="V405" s="602"/>
      <c r="W405" s="602"/>
      <c r="X405" s="602"/>
      <c r="Y405" s="602"/>
      <c r="Z405" s="602"/>
      <c r="AA405" s="602"/>
      <c r="AB405" s="602"/>
      <c r="AC405" s="602"/>
      <c r="AD405" s="602"/>
      <c r="AE405" s="602"/>
      <c r="AF405" s="602"/>
      <c r="AG405" s="602"/>
      <c r="AH405" s="602"/>
      <c r="AI405" s="602"/>
      <c r="AJ405" s="602"/>
      <c r="AK405" s="602"/>
      <c r="AL405" s="602"/>
      <c r="AM405" s="602"/>
      <c r="AN405" s="602"/>
      <c r="AO405" s="602"/>
      <c r="AP405" s="602"/>
      <c r="AQ405" s="602"/>
      <c r="AR405" s="602"/>
      <c r="AS405" s="602"/>
      <c r="AT405" s="602"/>
      <c r="AU405" s="602"/>
      <c r="AV405" s="602"/>
      <c r="AW405" s="602"/>
      <c r="AX405" s="602"/>
      <c r="AY405" s="602"/>
      <c r="AZ405" s="602"/>
      <c r="BA405" s="602"/>
    </row>
    <row r="406" spans="2:53">
      <c r="B406" s="602"/>
      <c r="C406" s="602"/>
      <c r="D406" s="602"/>
      <c r="G406" s="602"/>
      <c r="H406" s="602"/>
      <c r="I406" s="602"/>
      <c r="J406" s="602"/>
      <c r="K406" s="602"/>
      <c r="L406" s="602"/>
      <c r="M406" s="602"/>
      <c r="N406" s="602"/>
      <c r="O406" s="602"/>
      <c r="P406" s="602"/>
      <c r="Q406" s="602"/>
      <c r="R406" s="602"/>
      <c r="S406" s="602"/>
      <c r="T406" s="602"/>
      <c r="U406" s="602"/>
      <c r="V406" s="602"/>
      <c r="W406" s="602"/>
      <c r="X406" s="602"/>
      <c r="Y406" s="602"/>
      <c r="Z406" s="602"/>
      <c r="AA406" s="602"/>
      <c r="AB406" s="602"/>
      <c r="AC406" s="602"/>
      <c r="AD406" s="602"/>
      <c r="AE406" s="602"/>
      <c r="AF406" s="602"/>
      <c r="AG406" s="602"/>
      <c r="AH406" s="602"/>
      <c r="AI406" s="602"/>
      <c r="AJ406" s="602"/>
      <c r="AK406" s="602"/>
      <c r="AL406" s="602"/>
      <c r="AM406" s="602"/>
      <c r="AN406" s="602"/>
      <c r="AO406" s="602"/>
      <c r="AP406" s="602"/>
      <c r="AQ406" s="602"/>
      <c r="AR406" s="602"/>
      <c r="AS406" s="602"/>
      <c r="AT406" s="602"/>
      <c r="AU406" s="602"/>
      <c r="AV406" s="602"/>
      <c r="AW406" s="602"/>
      <c r="AX406" s="602"/>
      <c r="AY406" s="602"/>
      <c r="AZ406" s="602"/>
      <c r="BA406" s="602"/>
    </row>
    <row r="407" spans="2:53">
      <c r="B407" s="602"/>
      <c r="C407" s="602"/>
      <c r="D407" s="602"/>
      <c r="G407" s="602"/>
      <c r="H407" s="602"/>
      <c r="I407" s="602"/>
      <c r="J407" s="602"/>
      <c r="K407" s="602"/>
      <c r="L407" s="602"/>
      <c r="M407" s="602"/>
      <c r="N407" s="602"/>
      <c r="O407" s="602"/>
      <c r="P407" s="602"/>
      <c r="Q407" s="602"/>
      <c r="R407" s="602"/>
      <c r="S407" s="602"/>
      <c r="T407" s="602"/>
      <c r="U407" s="602"/>
      <c r="V407" s="602"/>
      <c r="W407" s="602"/>
      <c r="X407" s="602"/>
      <c r="Y407" s="602"/>
      <c r="Z407" s="602"/>
      <c r="AA407" s="602"/>
      <c r="AB407" s="602"/>
      <c r="AC407" s="602"/>
      <c r="AD407" s="602"/>
      <c r="AE407" s="602"/>
      <c r="AF407" s="602"/>
      <c r="AG407" s="602"/>
      <c r="AH407" s="602"/>
      <c r="AI407" s="602"/>
      <c r="AJ407" s="602"/>
      <c r="AK407" s="602"/>
      <c r="AL407" s="602"/>
      <c r="AM407" s="602"/>
      <c r="AN407" s="602"/>
      <c r="AO407" s="602"/>
      <c r="AP407" s="602"/>
      <c r="AQ407" s="602"/>
      <c r="AR407" s="602"/>
      <c r="AS407" s="602"/>
      <c r="AT407" s="602"/>
      <c r="AU407" s="602"/>
      <c r="AV407" s="602"/>
      <c r="AW407" s="602"/>
      <c r="AX407" s="602"/>
      <c r="AY407" s="602"/>
      <c r="AZ407" s="602"/>
      <c r="BA407" s="602"/>
    </row>
    <row r="408" spans="2:53">
      <c r="B408" s="602"/>
      <c r="C408" s="602"/>
      <c r="D408" s="602"/>
      <c r="G408" s="602"/>
      <c r="H408" s="602"/>
      <c r="I408" s="602"/>
      <c r="J408" s="602"/>
      <c r="K408" s="602"/>
      <c r="L408" s="602"/>
      <c r="M408" s="602"/>
      <c r="N408" s="602"/>
      <c r="O408" s="602"/>
      <c r="P408" s="602"/>
      <c r="Q408" s="602"/>
      <c r="R408" s="602"/>
      <c r="S408" s="602"/>
      <c r="T408" s="602"/>
      <c r="U408" s="602"/>
      <c r="V408" s="602"/>
      <c r="W408" s="602"/>
      <c r="X408" s="602"/>
      <c r="Y408" s="602"/>
      <c r="Z408" s="602"/>
      <c r="AA408" s="602"/>
      <c r="AB408" s="602"/>
      <c r="AC408" s="602"/>
      <c r="AD408" s="602"/>
      <c r="AE408" s="602"/>
      <c r="AF408" s="602"/>
      <c r="AG408" s="602"/>
      <c r="AH408" s="602"/>
      <c r="AI408" s="602"/>
      <c r="AJ408" s="602"/>
      <c r="AK408" s="602"/>
      <c r="AL408" s="602"/>
      <c r="AM408" s="602"/>
      <c r="AN408" s="602"/>
      <c r="AO408" s="602"/>
      <c r="AP408" s="602"/>
      <c r="AQ408" s="602"/>
      <c r="AR408" s="602"/>
      <c r="AS408" s="602"/>
      <c r="AT408" s="602"/>
      <c r="AU408" s="602"/>
      <c r="AV408" s="602"/>
      <c r="AW408" s="602"/>
      <c r="AX408" s="602"/>
      <c r="AY408" s="602"/>
      <c r="AZ408" s="602"/>
      <c r="BA408" s="602"/>
    </row>
    <row r="409" spans="2:53">
      <c r="B409" s="602"/>
      <c r="C409" s="602"/>
      <c r="D409" s="602"/>
      <c r="G409" s="602"/>
      <c r="H409" s="602"/>
      <c r="I409" s="602"/>
      <c r="J409" s="602"/>
      <c r="K409" s="602"/>
      <c r="L409" s="602"/>
      <c r="M409" s="602"/>
      <c r="N409" s="602"/>
      <c r="O409" s="602"/>
      <c r="P409" s="602"/>
      <c r="Q409" s="602"/>
      <c r="R409" s="602"/>
      <c r="S409" s="602"/>
      <c r="T409" s="602"/>
      <c r="U409" s="602"/>
      <c r="V409" s="602"/>
      <c r="W409" s="602"/>
      <c r="X409" s="602"/>
      <c r="Y409" s="602"/>
      <c r="Z409" s="602"/>
      <c r="AA409" s="602"/>
      <c r="AB409" s="602"/>
      <c r="AC409" s="602"/>
      <c r="AD409" s="602"/>
      <c r="AE409" s="602"/>
      <c r="AF409" s="602"/>
      <c r="AG409" s="602"/>
      <c r="AH409" s="602"/>
      <c r="AI409" s="602"/>
      <c r="AJ409" s="602"/>
      <c r="AK409" s="602"/>
      <c r="AL409" s="602"/>
      <c r="AM409" s="602"/>
      <c r="AN409" s="602"/>
      <c r="AO409" s="602"/>
      <c r="AP409" s="602"/>
      <c r="AQ409" s="602"/>
      <c r="AR409" s="602"/>
      <c r="AS409" s="602"/>
      <c r="AT409" s="602"/>
      <c r="AU409" s="602"/>
      <c r="AV409" s="602"/>
      <c r="AW409" s="602"/>
      <c r="AX409" s="602"/>
      <c r="AY409" s="602"/>
      <c r="AZ409" s="602"/>
      <c r="BA409" s="602"/>
    </row>
    <row r="410" spans="2:53">
      <c r="B410" s="602"/>
      <c r="C410" s="602"/>
      <c r="D410" s="602"/>
      <c r="G410" s="602"/>
      <c r="H410" s="602"/>
      <c r="I410" s="602"/>
      <c r="J410" s="602"/>
      <c r="K410" s="602"/>
      <c r="L410" s="602"/>
      <c r="M410" s="602"/>
      <c r="N410" s="602"/>
      <c r="O410" s="602"/>
      <c r="P410" s="602"/>
      <c r="Q410" s="602"/>
      <c r="R410" s="602"/>
      <c r="S410" s="602"/>
      <c r="T410" s="602"/>
      <c r="U410" s="602"/>
      <c r="V410" s="602"/>
      <c r="W410" s="602"/>
      <c r="X410" s="602"/>
      <c r="Y410" s="602"/>
      <c r="Z410" s="602"/>
      <c r="AA410" s="602"/>
      <c r="AB410" s="602"/>
      <c r="AC410" s="602"/>
      <c r="AD410" s="602"/>
      <c r="AE410" s="602"/>
      <c r="AF410" s="602"/>
      <c r="AG410" s="602"/>
      <c r="AH410" s="602"/>
      <c r="AI410" s="602"/>
      <c r="AJ410" s="602"/>
      <c r="AK410" s="602"/>
      <c r="AL410" s="602"/>
      <c r="AM410" s="602"/>
      <c r="AN410" s="602"/>
      <c r="AO410" s="602"/>
      <c r="AP410" s="602"/>
      <c r="AQ410" s="602"/>
      <c r="AR410" s="602"/>
      <c r="AS410" s="602"/>
      <c r="AT410" s="602"/>
      <c r="AU410" s="602"/>
      <c r="AV410" s="602"/>
      <c r="AW410" s="602"/>
      <c r="AX410" s="602"/>
      <c r="AY410" s="602"/>
      <c r="AZ410" s="602"/>
      <c r="BA410" s="602"/>
    </row>
    <row r="411" spans="2:53">
      <c r="B411" s="602"/>
      <c r="C411" s="602"/>
      <c r="D411" s="602"/>
      <c r="G411" s="602"/>
      <c r="H411" s="602"/>
      <c r="I411" s="602"/>
      <c r="J411" s="602"/>
      <c r="K411" s="602"/>
      <c r="L411" s="602"/>
      <c r="M411" s="602"/>
      <c r="N411" s="602"/>
      <c r="O411" s="602"/>
      <c r="P411" s="602"/>
      <c r="Q411" s="602"/>
      <c r="R411" s="602"/>
      <c r="S411" s="602"/>
      <c r="T411" s="602"/>
      <c r="U411" s="602"/>
      <c r="V411" s="602"/>
      <c r="W411" s="602"/>
      <c r="X411" s="602"/>
      <c r="Y411" s="602"/>
      <c r="Z411" s="602"/>
      <c r="AA411" s="602"/>
      <c r="AB411" s="602"/>
      <c r="AC411" s="602"/>
      <c r="AD411" s="602"/>
      <c r="AE411" s="602"/>
      <c r="AF411" s="602"/>
      <c r="AG411" s="602"/>
      <c r="AH411" s="602"/>
      <c r="AI411" s="602"/>
      <c r="AJ411" s="602"/>
      <c r="AK411" s="602"/>
      <c r="AL411" s="602"/>
      <c r="AM411" s="602"/>
      <c r="AN411" s="602"/>
      <c r="AO411" s="602"/>
      <c r="AP411" s="602"/>
      <c r="AQ411" s="602"/>
      <c r="AR411" s="602"/>
      <c r="AS411" s="602"/>
      <c r="AT411" s="602"/>
      <c r="AU411" s="602"/>
      <c r="AV411" s="602"/>
      <c r="AW411" s="602"/>
      <c r="AX411" s="602"/>
      <c r="AY411" s="602"/>
      <c r="AZ411" s="602"/>
      <c r="BA411" s="602"/>
    </row>
    <row r="412" spans="2:53">
      <c r="B412" s="602"/>
      <c r="C412" s="602"/>
      <c r="D412" s="602"/>
      <c r="G412" s="602"/>
      <c r="H412" s="602"/>
      <c r="I412" s="602"/>
      <c r="J412" s="602"/>
      <c r="K412" s="602"/>
      <c r="L412" s="602"/>
      <c r="M412" s="602"/>
      <c r="N412" s="602"/>
      <c r="O412" s="602"/>
      <c r="P412" s="602"/>
      <c r="Q412" s="602"/>
      <c r="R412" s="602"/>
      <c r="S412" s="602"/>
      <c r="T412" s="602"/>
      <c r="U412" s="602"/>
      <c r="V412" s="602"/>
      <c r="W412" s="602"/>
      <c r="X412" s="602"/>
      <c r="Y412" s="602"/>
      <c r="Z412" s="602"/>
      <c r="AA412" s="602"/>
      <c r="AB412" s="602"/>
      <c r="AC412" s="602"/>
      <c r="AD412" s="602"/>
      <c r="AE412" s="602"/>
      <c r="AF412" s="602"/>
      <c r="AG412" s="602"/>
      <c r="AH412" s="602"/>
      <c r="AI412" s="602"/>
      <c r="AJ412" s="602"/>
      <c r="AK412" s="602"/>
      <c r="AL412" s="602"/>
      <c r="AM412" s="602"/>
      <c r="AN412" s="602"/>
      <c r="AO412" s="602"/>
      <c r="AP412" s="602"/>
      <c r="AQ412" s="602"/>
      <c r="AR412" s="602"/>
      <c r="AS412" s="602"/>
      <c r="AT412" s="602"/>
      <c r="AU412" s="602"/>
      <c r="AV412" s="602"/>
      <c r="AW412" s="602"/>
      <c r="AX412" s="602"/>
      <c r="AY412" s="602"/>
      <c r="AZ412" s="602"/>
      <c r="BA412" s="602"/>
    </row>
    <row r="413" spans="2:53">
      <c r="B413" s="602"/>
      <c r="C413" s="602"/>
      <c r="D413" s="602"/>
      <c r="G413" s="602"/>
      <c r="H413" s="602"/>
      <c r="I413" s="602"/>
      <c r="J413" s="602"/>
      <c r="K413" s="602"/>
      <c r="L413" s="602"/>
      <c r="M413" s="602"/>
      <c r="N413" s="602"/>
      <c r="O413" s="602"/>
      <c r="P413" s="602"/>
      <c r="Q413" s="602"/>
      <c r="R413" s="602"/>
      <c r="S413" s="602"/>
      <c r="T413" s="602"/>
      <c r="U413" s="602"/>
      <c r="V413" s="602"/>
      <c r="W413" s="602"/>
      <c r="X413" s="602"/>
      <c r="Y413" s="602"/>
      <c r="Z413" s="602"/>
      <c r="AA413" s="602"/>
      <c r="AB413" s="602"/>
      <c r="AC413" s="602"/>
      <c r="AD413" s="602"/>
      <c r="AE413" s="602"/>
      <c r="AF413" s="602"/>
      <c r="AG413" s="602"/>
      <c r="AH413" s="602"/>
      <c r="AI413" s="602"/>
      <c r="AJ413" s="602"/>
      <c r="AK413" s="602"/>
      <c r="AL413" s="602"/>
      <c r="AM413" s="602"/>
      <c r="AN413" s="602"/>
      <c r="AO413" s="602"/>
      <c r="AP413" s="602"/>
      <c r="AQ413" s="602"/>
      <c r="AR413" s="602"/>
      <c r="AS413" s="602"/>
      <c r="AT413" s="602"/>
      <c r="AU413" s="602"/>
      <c r="AV413" s="602"/>
      <c r="AW413" s="602"/>
      <c r="AX413" s="602"/>
      <c r="AY413" s="602"/>
      <c r="AZ413" s="602"/>
      <c r="BA413" s="602"/>
    </row>
    <row r="414" spans="2:53">
      <c r="B414" s="602"/>
      <c r="C414" s="602"/>
      <c r="D414" s="602"/>
      <c r="G414" s="602"/>
      <c r="H414" s="602"/>
      <c r="I414" s="602"/>
      <c r="J414" s="602"/>
      <c r="K414" s="602"/>
      <c r="L414" s="602"/>
      <c r="M414" s="602"/>
      <c r="N414" s="602"/>
      <c r="O414" s="602"/>
      <c r="P414" s="602"/>
      <c r="Q414" s="602"/>
      <c r="R414" s="602"/>
      <c r="S414" s="602"/>
      <c r="T414" s="602"/>
      <c r="U414" s="602"/>
      <c r="V414" s="602"/>
      <c r="W414" s="602"/>
      <c r="X414" s="602"/>
      <c r="Y414" s="602"/>
      <c r="Z414" s="602"/>
      <c r="AA414" s="602"/>
      <c r="AB414" s="602"/>
      <c r="AC414" s="602"/>
      <c r="AD414" s="602"/>
      <c r="AE414" s="602"/>
      <c r="AF414" s="602"/>
      <c r="AG414" s="602"/>
      <c r="AH414" s="602"/>
      <c r="AI414" s="602"/>
      <c r="AJ414" s="602"/>
      <c r="AK414" s="602"/>
      <c r="AL414" s="602"/>
      <c r="AM414" s="602"/>
      <c r="AN414" s="602"/>
      <c r="AO414" s="602"/>
      <c r="AP414" s="602"/>
      <c r="AQ414" s="602"/>
      <c r="AR414" s="602"/>
      <c r="AS414" s="602"/>
      <c r="AT414" s="602"/>
      <c r="AU414" s="602"/>
      <c r="AV414" s="602"/>
      <c r="AW414" s="602"/>
      <c r="AX414" s="602"/>
      <c r="AY414" s="602"/>
      <c r="AZ414" s="602"/>
      <c r="BA414" s="602"/>
    </row>
    <row r="415" spans="2:53">
      <c r="B415" s="602"/>
      <c r="C415" s="602"/>
      <c r="D415" s="602"/>
      <c r="G415" s="602"/>
      <c r="H415" s="602"/>
      <c r="I415" s="602"/>
      <c r="J415" s="602"/>
      <c r="K415" s="602"/>
      <c r="L415" s="602"/>
      <c r="M415" s="602"/>
      <c r="N415" s="602"/>
      <c r="O415" s="602"/>
      <c r="P415" s="602"/>
      <c r="Q415" s="602"/>
      <c r="R415" s="602"/>
      <c r="S415" s="602"/>
      <c r="T415" s="602"/>
      <c r="U415" s="602"/>
      <c r="V415" s="602"/>
      <c r="W415" s="602"/>
      <c r="X415" s="602"/>
      <c r="Y415" s="602"/>
      <c r="Z415" s="602"/>
      <c r="AA415" s="602"/>
      <c r="AB415" s="602"/>
      <c r="AC415" s="602"/>
      <c r="AD415" s="602"/>
      <c r="AE415" s="602"/>
      <c r="AF415" s="602"/>
      <c r="AG415" s="602"/>
      <c r="AH415" s="602"/>
      <c r="AI415" s="602"/>
      <c r="AJ415" s="602"/>
      <c r="AK415" s="602"/>
      <c r="AL415" s="602"/>
      <c r="AM415" s="602"/>
      <c r="AN415" s="602"/>
      <c r="AO415" s="602"/>
      <c r="AP415" s="602"/>
      <c r="AQ415" s="602"/>
      <c r="AR415" s="602"/>
      <c r="AS415" s="602"/>
      <c r="AT415" s="602"/>
      <c r="AU415" s="602"/>
      <c r="AV415" s="602"/>
      <c r="AW415" s="602"/>
      <c r="AX415" s="602"/>
      <c r="AY415" s="602"/>
      <c r="AZ415" s="602"/>
      <c r="BA415" s="602"/>
    </row>
    <row r="416" spans="2:53">
      <c r="B416" s="602"/>
      <c r="C416" s="602"/>
      <c r="D416" s="602"/>
      <c r="G416" s="602"/>
      <c r="H416" s="602"/>
      <c r="I416" s="602"/>
      <c r="J416" s="602"/>
      <c r="K416" s="602"/>
      <c r="L416" s="602"/>
      <c r="M416" s="602"/>
      <c r="N416" s="602"/>
      <c r="O416" s="602"/>
      <c r="P416" s="602"/>
      <c r="Q416" s="602"/>
      <c r="R416" s="602"/>
      <c r="S416" s="602"/>
      <c r="T416" s="602"/>
      <c r="U416" s="602"/>
      <c r="V416" s="602"/>
      <c r="W416" s="602"/>
      <c r="X416" s="602"/>
      <c r="Y416" s="602"/>
      <c r="Z416" s="602"/>
      <c r="AA416" s="602"/>
      <c r="AB416" s="602"/>
      <c r="AC416" s="602"/>
      <c r="AD416" s="602"/>
      <c r="AE416" s="602"/>
      <c r="AF416" s="602"/>
      <c r="AG416" s="602"/>
      <c r="AH416" s="602"/>
      <c r="AI416" s="602"/>
      <c r="AJ416" s="602"/>
      <c r="AK416" s="602"/>
      <c r="AL416" s="602"/>
      <c r="AM416" s="602"/>
      <c r="AN416" s="602"/>
      <c r="AO416" s="602"/>
      <c r="AP416" s="602"/>
      <c r="AQ416" s="602"/>
      <c r="AR416" s="602"/>
      <c r="AS416" s="602"/>
      <c r="AT416" s="602"/>
      <c r="AU416" s="602"/>
      <c r="AV416" s="602"/>
      <c r="AW416" s="602"/>
      <c r="AX416" s="602"/>
      <c r="AY416" s="602"/>
      <c r="AZ416" s="602"/>
      <c r="BA416" s="602"/>
    </row>
    <row r="417" spans="2:53">
      <c r="B417" s="602"/>
      <c r="C417" s="602"/>
      <c r="D417" s="602"/>
      <c r="G417" s="602"/>
      <c r="H417" s="602"/>
      <c r="I417" s="602"/>
      <c r="J417" s="602"/>
      <c r="K417" s="602"/>
      <c r="L417" s="602"/>
      <c r="M417" s="602"/>
      <c r="N417" s="602"/>
      <c r="O417" s="602"/>
      <c r="P417" s="602"/>
      <c r="Q417" s="602"/>
      <c r="R417" s="602"/>
      <c r="S417" s="602"/>
      <c r="T417" s="602"/>
      <c r="U417" s="602"/>
      <c r="V417" s="602"/>
      <c r="W417" s="602"/>
      <c r="X417" s="602"/>
      <c r="Y417" s="602"/>
      <c r="Z417" s="602"/>
      <c r="AA417" s="602"/>
      <c r="AB417" s="602"/>
      <c r="AC417" s="602"/>
      <c r="AD417" s="602"/>
      <c r="AE417" s="602"/>
      <c r="AF417" s="602"/>
      <c r="AG417" s="602"/>
      <c r="AH417" s="602"/>
      <c r="AI417" s="602"/>
      <c r="AJ417" s="602"/>
      <c r="AK417" s="602"/>
      <c r="AL417" s="602"/>
      <c r="AM417" s="602"/>
      <c r="AN417" s="602"/>
      <c r="AO417" s="602"/>
      <c r="AP417" s="602"/>
      <c r="AQ417" s="602"/>
      <c r="AR417" s="602"/>
      <c r="AS417" s="602"/>
      <c r="AT417" s="602"/>
      <c r="AU417" s="602"/>
      <c r="AV417" s="602"/>
      <c r="AW417" s="602"/>
      <c r="AX417" s="602"/>
      <c r="AY417" s="602"/>
      <c r="AZ417" s="602"/>
      <c r="BA417" s="602"/>
    </row>
    <row r="418" spans="2:53">
      <c r="B418" s="602"/>
      <c r="C418" s="602"/>
      <c r="D418" s="602"/>
      <c r="G418" s="602"/>
      <c r="H418" s="602"/>
      <c r="I418" s="602"/>
      <c r="J418" s="602"/>
      <c r="K418" s="602"/>
      <c r="L418" s="602"/>
      <c r="M418" s="602"/>
      <c r="N418" s="602"/>
      <c r="O418" s="602"/>
      <c r="P418" s="602"/>
      <c r="Q418" s="602"/>
      <c r="R418" s="602"/>
      <c r="S418" s="602"/>
      <c r="T418" s="602"/>
      <c r="U418" s="602"/>
      <c r="V418" s="602"/>
      <c r="W418" s="602"/>
      <c r="X418" s="602"/>
      <c r="Y418" s="602"/>
      <c r="Z418" s="602"/>
      <c r="AA418" s="602"/>
      <c r="AB418" s="602"/>
      <c r="AC418" s="602"/>
      <c r="AD418" s="602"/>
      <c r="AE418" s="602"/>
      <c r="AF418" s="602"/>
      <c r="AG418" s="602"/>
      <c r="AH418" s="602"/>
      <c r="AI418" s="602"/>
      <c r="AJ418" s="602"/>
      <c r="AK418" s="602"/>
      <c r="AL418" s="602"/>
      <c r="AM418" s="602"/>
      <c r="AN418" s="602"/>
      <c r="AO418" s="602"/>
      <c r="AP418" s="602"/>
      <c r="AQ418" s="602"/>
      <c r="AR418" s="602"/>
      <c r="AS418" s="602"/>
      <c r="AT418" s="602"/>
      <c r="AU418" s="602"/>
      <c r="AV418" s="602"/>
      <c r="AW418" s="602"/>
      <c r="AX418" s="602"/>
      <c r="AY418" s="602"/>
      <c r="AZ418" s="602"/>
      <c r="BA418" s="602"/>
    </row>
    <row r="419" spans="2:53">
      <c r="B419" s="602"/>
      <c r="C419" s="602"/>
      <c r="D419" s="602"/>
      <c r="G419" s="602"/>
      <c r="H419" s="602"/>
      <c r="I419" s="602"/>
      <c r="J419" s="602"/>
      <c r="K419" s="602"/>
      <c r="L419" s="602"/>
      <c r="M419" s="602"/>
      <c r="N419" s="602"/>
      <c r="O419" s="602"/>
      <c r="P419" s="602"/>
      <c r="Q419" s="602"/>
      <c r="R419" s="602"/>
      <c r="S419" s="602"/>
      <c r="T419" s="602"/>
      <c r="U419" s="602"/>
      <c r="V419" s="602"/>
      <c r="W419" s="602"/>
      <c r="X419" s="602"/>
      <c r="Y419" s="602"/>
      <c r="Z419" s="602"/>
      <c r="AA419" s="602"/>
      <c r="AB419" s="602"/>
      <c r="AC419" s="602"/>
      <c r="AD419" s="602"/>
      <c r="AE419" s="602"/>
      <c r="AF419" s="602"/>
      <c r="AG419" s="602"/>
      <c r="AH419" s="602"/>
      <c r="AI419" s="602"/>
      <c r="AJ419" s="602"/>
      <c r="AK419" s="602"/>
      <c r="AL419" s="602"/>
      <c r="AM419" s="602"/>
      <c r="AN419" s="602"/>
      <c r="AO419" s="602"/>
      <c r="AP419" s="602"/>
      <c r="AQ419" s="602"/>
      <c r="AR419" s="602"/>
      <c r="AS419" s="602"/>
      <c r="AT419" s="602"/>
      <c r="AU419" s="602"/>
      <c r="AV419" s="602"/>
      <c r="AW419" s="602"/>
      <c r="AX419" s="602"/>
      <c r="AY419" s="602"/>
      <c r="AZ419" s="602"/>
      <c r="BA419" s="602"/>
    </row>
    <row r="420" spans="2:53">
      <c r="B420" s="602"/>
      <c r="C420" s="602"/>
      <c r="D420" s="602"/>
      <c r="G420" s="602"/>
      <c r="H420" s="602"/>
      <c r="I420" s="602"/>
      <c r="J420" s="602"/>
      <c r="K420" s="602"/>
      <c r="L420" s="602"/>
      <c r="M420" s="602"/>
      <c r="N420" s="602"/>
      <c r="O420" s="602"/>
      <c r="P420" s="602"/>
      <c r="Q420" s="602"/>
      <c r="R420" s="602"/>
      <c r="S420" s="602"/>
      <c r="T420" s="602"/>
      <c r="U420" s="602"/>
      <c r="V420" s="602"/>
      <c r="W420" s="602"/>
      <c r="X420" s="602"/>
      <c r="Y420" s="602"/>
      <c r="Z420" s="602"/>
      <c r="AA420" s="602"/>
      <c r="AB420" s="602"/>
      <c r="AC420" s="602"/>
      <c r="AD420" s="602"/>
      <c r="AE420" s="602"/>
      <c r="AF420" s="602"/>
      <c r="AG420" s="602"/>
      <c r="AH420" s="602"/>
      <c r="AI420" s="602"/>
      <c r="AJ420" s="602"/>
      <c r="AK420" s="602"/>
      <c r="AL420" s="602"/>
      <c r="AM420" s="602"/>
      <c r="AN420" s="602"/>
      <c r="AO420" s="602"/>
      <c r="AP420" s="602"/>
      <c r="AQ420" s="602"/>
      <c r="AR420" s="602"/>
      <c r="AS420" s="602"/>
      <c r="AT420" s="602"/>
      <c r="AU420" s="602"/>
      <c r="AV420" s="602"/>
      <c r="AW420" s="602"/>
      <c r="AX420" s="602"/>
      <c r="AY420" s="602"/>
      <c r="AZ420" s="602"/>
      <c r="BA420" s="602"/>
    </row>
    <row r="421" spans="2:53">
      <c r="B421" s="602"/>
      <c r="C421" s="602"/>
      <c r="D421" s="602"/>
      <c r="G421" s="602"/>
      <c r="H421" s="602"/>
      <c r="I421" s="602"/>
      <c r="J421" s="602"/>
      <c r="K421" s="602"/>
      <c r="L421" s="602"/>
      <c r="M421" s="602"/>
      <c r="N421" s="602"/>
      <c r="O421" s="602"/>
      <c r="P421" s="602"/>
      <c r="Q421" s="602"/>
      <c r="R421" s="602"/>
      <c r="S421" s="602"/>
      <c r="T421" s="602"/>
      <c r="U421" s="602"/>
      <c r="V421" s="602"/>
      <c r="W421" s="602"/>
      <c r="X421" s="602"/>
      <c r="Y421" s="602"/>
      <c r="Z421" s="602"/>
      <c r="AA421" s="602"/>
      <c r="AB421" s="602"/>
      <c r="AC421" s="602"/>
      <c r="AD421" s="602"/>
      <c r="AE421" s="602"/>
      <c r="AF421" s="602"/>
      <c r="AG421" s="602"/>
      <c r="AH421" s="602"/>
      <c r="AI421" s="602"/>
      <c r="AJ421" s="602"/>
      <c r="AK421" s="602"/>
      <c r="AL421" s="602"/>
      <c r="AM421" s="602"/>
      <c r="AN421" s="602"/>
      <c r="AO421" s="602"/>
      <c r="AP421" s="602"/>
      <c r="AQ421" s="602"/>
      <c r="AR421" s="602"/>
      <c r="AS421" s="602"/>
      <c r="AT421" s="602"/>
      <c r="AU421" s="602"/>
      <c r="AV421" s="602"/>
      <c r="AW421" s="602"/>
      <c r="AX421" s="602"/>
      <c r="AY421" s="602"/>
      <c r="AZ421" s="602"/>
      <c r="BA421" s="602"/>
    </row>
    <row r="422" spans="2:53">
      <c r="B422" s="602"/>
      <c r="C422" s="602"/>
      <c r="D422" s="602"/>
      <c r="G422" s="602"/>
      <c r="H422" s="602"/>
      <c r="I422" s="602"/>
      <c r="J422" s="602"/>
      <c r="K422" s="602"/>
      <c r="L422" s="602"/>
      <c r="M422" s="602"/>
      <c r="N422" s="602"/>
      <c r="O422" s="602"/>
      <c r="P422" s="602"/>
      <c r="Q422" s="602"/>
      <c r="R422" s="602"/>
      <c r="S422" s="602"/>
      <c r="T422" s="602"/>
      <c r="U422" s="602"/>
      <c r="V422" s="602"/>
      <c r="W422" s="602"/>
      <c r="X422" s="602"/>
      <c r="Y422" s="602"/>
      <c r="Z422" s="602"/>
      <c r="AA422" s="602"/>
      <c r="AB422" s="602"/>
      <c r="AC422" s="602"/>
      <c r="AD422" s="602"/>
      <c r="AE422" s="602"/>
      <c r="AF422" s="602"/>
      <c r="AG422" s="602"/>
      <c r="AH422" s="602"/>
      <c r="AI422" s="602"/>
      <c r="AJ422" s="602"/>
      <c r="AK422" s="602"/>
      <c r="AL422" s="602"/>
      <c r="AM422" s="602"/>
      <c r="AN422" s="602"/>
      <c r="AO422" s="602"/>
      <c r="AP422" s="602"/>
      <c r="AQ422" s="602"/>
      <c r="AR422" s="602"/>
      <c r="AS422" s="602"/>
      <c r="AT422" s="602"/>
      <c r="AU422" s="602"/>
      <c r="AV422" s="602"/>
      <c r="AW422" s="602"/>
      <c r="AX422" s="602"/>
      <c r="AY422" s="602"/>
      <c r="AZ422" s="602"/>
      <c r="BA422" s="602"/>
    </row>
    <row r="423" spans="2:53">
      <c r="B423" s="602"/>
      <c r="C423" s="602"/>
      <c r="D423" s="602"/>
      <c r="G423" s="602"/>
      <c r="H423" s="602"/>
      <c r="I423" s="602"/>
      <c r="J423" s="602"/>
      <c r="K423" s="602"/>
      <c r="L423" s="602"/>
      <c r="M423" s="602"/>
      <c r="N423" s="602"/>
      <c r="O423" s="602"/>
      <c r="P423" s="602"/>
      <c r="Q423" s="602"/>
      <c r="R423" s="602"/>
      <c r="S423" s="602"/>
      <c r="T423" s="602"/>
      <c r="U423" s="602"/>
      <c r="V423" s="602"/>
      <c r="W423" s="602"/>
      <c r="X423" s="602"/>
      <c r="Y423" s="602"/>
      <c r="Z423" s="602"/>
      <c r="AA423" s="602"/>
      <c r="AB423" s="602"/>
      <c r="AC423" s="602"/>
      <c r="AD423" s="602"/>
      <c r="AE423" s="602"/>
      <c r="AF423" s="602"/>
      <c r="AG423" s="602"/>
      <c r="AH423" s="602"/>
      <c r="AI423" s="602"/>
      <c r="AJ423" s="602"/>
      <c r="AK423" s="602"/>
      <c r="AL423" s="602"/>
      <c r="AM423" s="602"/>
      <c r="AN423" s="602"/>
      <c r="AO423" s="602"/>
      <c r="AP423" s="602"/>
      <c r="AQ423" s="602"/>
      <c r="AR423" s="602"/>
      <c r="AS423" s="602"/>
      <c r="AT423" s="602"/>
      <c r="AU423" s="602"/>
      <c r="AV423" s="602"/>
      <c r="AW423" s="602"/>
      <c r="AX423" s="602"/>
      <c r="AY423" s="602"/>
      <c r="AZ423" s="602"/>
      <c r="BA423" s="602"/>
    </row>
    <row r="424" spans="2:53">
      <c r="B424" s="602"/>
      <c r="C424" s="602"/>
      <c r="D424" s="602"/>
      <c r="G424" s="602"/>
      <c r="H424" s="602"/>
      <c r="I424" s="602"/>
      <c r="J424" s="602"/>
      <c r="K424" s="602"/>
      <c r="L424" s="602"/>
      <c r="M424" s="602"/>
      <c r="N424" s="602"/>
      <c r="O424" s="602"/>
      <c r="P424" s="602"/>
      <c r="Q424" s="602"/>
      <c r="R424" s="602"/>
      <c r="S424" s="602"/>
      <c r="T424" s="602"/>
      <c r="U424" s="602"/>
      <c r="V424" s="602"/>
      <c r="W424" s="602"/>
      <c r="X424" s="602"/>
      <c r="Y424" s="602"/>
      <c r="Z424" s="602"/>
      <c r="AA424" s="602"/>
      <c r="AB424" s="602"/>
      <c r="AC424" s="602"/>
      <c r="AD424" s="602"/>
      <c r="AE424" s="602"/>
      <c r="AF424" s="602"/>
      <c r="AG424" s="602"/>
      <c r="AH424" s="602"/>
      <c r="AI424" s="602"/>
      <c r="AJ424" s="602"/>
      <c r="AK424" s="602"/>
      <c r="AL424" s="602"/>
      <c r="AM424" s="602"/>
      <c r="AN424" s="602"/>
      <c r="AO424" s="602"/>
      <c r="AP424" s="602"/>
      <c r="AQ424" s="602"/>
      <c r="AR424" s="602"/>
      <c r="AS424" s="602"/>
      <c r="AT424" s="602"/>
      <c r="AU424" s="602"/>
      <c r="AV424" s="602"/>
      <c r="AW424" s="602"/>
      <c r="AX424" s="602"/>
      <c r="AY424" s="602"/>
      <c r="AZ424" s="602"/>
      <c r="BA424" s="602"/>
    </row>
    <row r="425" spans="2:53">
      <c r="B425" s="602"/>
      <c r="C425" s="602"/>
      <c r="D425" s="602"/>
      <c r="G425" s="602"/>
      <c r="H425" s="602"/>
      <c r="I425" s="602"/>
      <c r="J425" s="602"/>
      <c r="K425" s="602"/>
      <c r="L425" s="602"/>
      <c r="M425" s="602"/>
      <c r="N425" s="602"/>
      <c r="O425" s="602"/>
      <c r="P425" s="602"/>
      <c r="Q425" s="602"/>
      <c r="R425" s="602"/>
      <c r="S425" s="602"/>
      <c r="T425" s="602"/>
      <c r="U425" s="602"/>
      <c r="V425" s="602"/>
      <c r="W425" s="602"/>
      <c r="X425" s="602"/>
      <c r="Y425" s="602"/>
      <c r="Z425" s="602"/>
      <c r="AA425" s="602"/>
      <c r="AB425" s="602"/>
      <c r="AC425" s="602"/>
      <c r="AD425" s="602"/>
      <c r="AE425" s="602"/>
      <c r="AF425" s="602"/>
      <c r="AG425" s="602"/>
      <c r="AH425" s="602"/>
      <c r="AI425" s="602"/>
      <c r="AJ425" s="602"/>
      <c r="AK425" s="602"/>
      <c r="AL425" s="602"/>
      <c r="AM425" s="602"/>
      <c r="AN425" s="602"/>
      <c r="AO425" s="602"/>
      <c r="AP425" s="602"/>
      <c r="AQ425" s="602"/>
      <c r="AR425" s="602"/>
      <c r="AS425" s="602"/>
      <c r="AT425" s="602"/>
      <c r="AU425" s="602"/>
      <c r="AV425" s="602"/>
      <c r="AW425" s="602"/>
      <c r="AX425" s="602"/>
      <c r="AY425" s="602"/>
      <c r="AZ425" s="602"/>
      <c r="BA425" s="602"/>
    </row>
    <row r="426" spans="2:53">
      <c r="B426" s="602"/>
      <c r="C426" s="602"/>
      <c r="D426" s="602"/>
      <c r="G426" s="602"/>
      <c r="H426" s="602"/>
      <c r="I426" s="602"/>
      <c r="J426" s="602"/>
      <c r="K426" s="602"/>
      <c r="L426" s="602"/>
      <c r="M426" s="602"/>
      <c r="N426" s="602"/>
      <c r="O426" s="602"/>
      <c r="P426" s="602"/>
      <c r="Q426" s="602"/>
      <c r="R426" s="602"/>
      <c r="S426" s="602"/>
      <c r="T426" s="602"/>
      <c r="U426" s="602"/>
      <c r="V426" s="602"/>
      <c r="W426" s="602"/>
      <c r="X426" s="602"/>
      <c r="Y426" s="602"/>
      <c r="Z426" s="602"/>
      <c r="AA426" s="602"/>
      <c r="AB426" s="602"/>
      <c r="AC426" s="602"/>
      <c r="AD426" s="602"/>
      <c r="AE426" s="602"/>
      <c r="AF426" s="602"/>
      <c r="AG426" s="602"/>
      <c r="AH426" s="602"/>
      <c r="AI426" s="602"/>
      <c r="AJ426" s="602"/>
      <c r="AK426" s="602"/>
      <c r="AL426" s="602"/>
      <c r="AM426" s="602"/>
      <c r="AN426" s="602"/>
      <c r="AO426" s="602"/>
      <c r="AP426" s="602"/>
      <c r="AQ426" s="602"/>
      <c r="AR426" s="602"/>
      <c r="AS426" s="602"/>
      <c r="AT426" s="602"/>
      <c r="AU426" s="602"/>
      <c r="AV426" s="602"/>
      <c r="AW426" s="602"/>
      <c r="AX426" s="602"/>
      <c r="AY426" s="602"/>
      <c r="AZ426" s="602"/>
      <c r="BA426" s="602"/>
    </row>
    <row r="427" spans="2:53">
      <c r="B427" s="602"/>
      <c r="C427" s="602"/>
      <c r="D427" s="602"/>
      <c r="G427" s="602"/>
      <c r="H427" s="602"/>
      <c r="I427" s="602"/>
      <c r="J427" s="602"/>
      <c r="K427" s="602"/>
      <c r="L427" s="602"/>
      <c r="M427" s="602"/>
      <c r="N427" s="602"/>
      <c r="O427" s="602"/>
      <c r="P427" s="602"/>
      <c r="Q427" s="602"/>
      <c r="R427" s="602"/>
      <c r="S427" s="602"/>
      <c r="T427" s="602"/>
      <c r="U427" s="602"/>
      <c r="V427" s="602"/>
      <c r="W427" s="602"/>
      <c r="X427" s="602"/>
      <c r="Y427" s="602"/>
      <c r="Z427" s="602"/>
      <c r="AA427" s="602"/>
      <c r="AB427" s="602"/>
      <c r="AC427" s="602"/>
      <c r="AD427" s="602"/>
      <c r="AE427" s="602"/>
      <c r="AF427" s="602"/>
      <c r="AG427" s="602"/>
      <c r="AH427" s="602"/>
      <c r="AI427" s="602"/>
      <c r="AJ427" s="602"/>
      <c r="AK427" s="602"/>
      <c r="AL427" s="602"/>
      <c r="AM427" s="602"/>
      <c r="AN427" s="602"/>
      <c r="AO427" s="602"/>
      <c r="AP427" s="602"/>
      <c r="AQ427" s="602"/>
      <c r="AR427" s="602"/>
      <c r="AS427" s="602"/>
      <c r="AT427" s="602"/>
      <c r="AU427" s="602"/>
      <c r="AV427" s="602"/>
      <c r="AW427" s="602"/>
      <c r="AX427" s="602"/>
      <c r="AY427" s="602"/>
      <c r="AZ427" s="602"/>
      <c r="BA427" s="602"/>
    </row>
    <row r="428" spans="2:53">
      <c r="B428" s="602"/>
      <c r="C428" s="602"/>
      <c r="D428" s="602"/>
      <c r="G428" s="602"/>
      <c r="H428" s="602"/>
      <c r="I428" s="602"/>
      <c r="J428" s="602"/>
      <c r="K428" s="602"/>
      <c r="L428" s="602"/>
      <c r="M428" s="602"/>
      <c r="N428" s="602"/>
      <c r="O428" s="602"/>
      <c r="P428" s="602"/>
      <c r="Q428" s="602"/>
      <c r="R428" s="602"/>
      <c r="S428" s="602"/>
      <c r="T428" s="602"/>
      <c r="U428" s="602"/>
      <c r="V428" s="602"/>
      <c r="W428" s="602"/>
      <c r="X428" s="602"/>
      <c r="Y428" s="602"/>
      <c r="Z428" s="602"/>
      <c r="AA428" s="602"/>
      <c r="AB428" s="602"/>
      <c r="AC428" s="602"/>
      <c r="AD428" s="602"/>
      <c r="AE428" s="602"/>
      <c r="AF428" s="602"/>
      <c r="AG428" s="602"/>
      <c r="AH428" s="602"/>
      <c r="AI428" s="602"/>
      <c r="AJ428" s="602"/>
      <c r="AK428" s="602"/>
      <c r="AL428" s="602"/>
      <c r="AM428" s="602"/>
      <c r="AN428" s="602"/>
      <c r="AO428" s="602"/>
      <c r="AP428" s="602"/>
      <c r="AQ428" s="602"/>
      <c r="AR428" s="602"/>
      <c r="AS428" s="602"/>
      <c r="AT428" s="602"/>
      <c r="AU428" s="602"/>
      <c r="AV428" s="602"/>
      <c r="AW428" s="602"/>
      <c r="AX428" s="602"/>
      <c r="AY428" s="602"/>
      <c r="AZ428" s="602"/>
      <c r="BA428" s="602"/>
    </row>
    <row r="429" spans="2:53">
      <c r="B429" s="602"/>
      <c r="C429" s="602"/>
      <c r="D429" s="602"/>
      <c r="G429" s="602"/>
      <c r="H429" s="602"/>
      <c r="I429" s="602"/>
      <c r="J429" s="602"/>
      <c r="K429" s="602"/>
      <c r="L429" s="602"/>
      <c r="M429" s="602"/>
      <c r="N429" s="602"/>
      <c r="O429" s="602"/>
      <c r="P429" s="602"/>
      <c r="Q429" s="602"/>
      <c r="R429" s="602"/>
      <c r="S429" s="602"/>
      <c r="T429" s="602"/>
      <c r="U429" s="602"/>
      <c r="V429" s="602"/>
      <c r="W429" s="602"/>
      <c r="X429" s="602"/>
      <c r="Y429" s="602"/>
      <c r="Z429" s="602"/>
      <c r="AA429" s="602"/>
      <c r="AB429" s="602"/>
      <c r="AC429" s="602"/>
      <c r="AD429" s="602"/>
      <c r="AE429" s="602"/>
      <c r="AF429" s="602"/>
      <c r="AG429" s="602"/>
      <c r="AH429" s="602"/>
      <c r="AI429" s="602"/>
      <c r="AJ429" s="602"/>
      <c r="AK429" s="602"/>
      <c r="AL429" s="602"/>
      <c r="AM429" s="602"/>
      <c r="AN429" s="602"/>
      <c r="AO429" s="602"/>
      <c r="AP429" s="602"/>
      <c r="AQ429" s="602"/>
      <c r="AR429" s="602"/>
      <c r="AS429" s="602"/>
      <c r="AT429" s="602"/>
      <c r="AU429" s="602"/>
      <c r="AV429" s="602"/>
      <c r="AW429" s="602"/>
      <c r="AX429" s="602"/>
      <c r="AY429" s="602"/>
      <c r="AZ429" s="602"/>
      <c r="BA429" s="602"/>
    </row>
    <row r="430" spans="2:53">
      <c r="B430" s="602"/>
      <c r="C430" s="602"/>
      <c r="D430" s="602"/>
      <c r="G430" s="602"/>
      <c r="H430" s="602"/>
      <c r="I430" s="602"/>
      <c r="J430" s="602"/>
      <c r="K430" s="602"/>
      <c r="L430" s="602"/>
      <c r="M430" s="602"/>
      <c r="N430" s="602"/>
      <c r="O430" s="602"/>
      <c r="P430" s="602"/>
      <c r="Q430" s="602"/>
      <c r="R430" s="602"/>
      <c r="S430" s="602"/>
      <c r="T430" s="602"/>
      <c r="U430" s="602"/>
      <c r="V430" s="602"/>
      <c r="W430" s="602"/>
      <c r="X430" s="602"/>
      <c r="Y430" s="602"/>
      <c r="Z430" s="602"/>
      <c r="AA430" s="602"/>
      <c r="AB430" s="602"/>
      <c r="AC430" s="602"/>
      <c r="AD430" s="602"/>
      <c r="AE430" s="602"/>
      <c r="AF430" s="602"/>
      <c r="AG430" s="602"/>
      <c r="AH430" s="602"/>
      <c r="AI430" s="602"/>
      <c r="AJ430" s="602"/>
      <c r="AK430" s="602"/>
      <c r="AL430" s="602"/>
      <c r="AM430" s="602"/>
      <c r="AN430" s="602"/>
      <c r="AO430" s="602"/>
      <c r="AP430" s="602"/>
      <c r="AQ430" s="602"/>
      <c r="AR430" s="602"/>
      <c r="AS430" s="602"/>
      <c r="AT430" s="602"/>
      <c r="AU430" s="602"/>
      <c r="AV430" s="602"/>
      <c r="AW430" s="602"/>
      <c r="AX430" s="602"/>
      <c r="AY430" s="602"/>
      <c r="AZ430" s="602"/>
      <c r="BA430" s="602"/>
    </row>
    <row r="431" spans="2:53">
      <c r="B431" s="602"/>
      <c r="C431" s="602"/>
      <c r="D431" s="602"/>
      <c r="G431" s="602"/>
      <c r="H431" s="602"/>
      <c r="I431" s="602"/>
      <c r="J431" s="602"/>
      <c r="K431" s="602"/>
      <c r="L431" s="602"/>
      <c r="M431" s="602"/>
      <c r="N431" s="602"/>
      <c r="O431" s="602"/>
      <c r="P431" s="602"/>
      <c r="Q431" s="602"/>
      <c r="R431" s="602"/>
      <c r="S431" s="602"/>
      <c r="T431" s="602"/>
      <c r="U431" s="602"/>
      <c r="V431" s="602"/>
      <c r="W431" s="602"/>
      <c r="X431" s="602"/>
      <c r="Y431" s="602"/>
      <c r="Z431" s="602"/>
      <c r="AA431" s="602"/>
      <c r="AB431" s="602"/>
      <c r="AC431" s="602"/>
      <c r="AD431" s="602"/>
      <c r="AE431" s="602"/>
      <c r="AF431" s="602"/>
      <c r="AG431" s="602"/>
      <c r="AH431" s="602"/>
      <c r="AI431" s="602"/>
      <c r="AJ431" s="602"/>
      <c r="AK431" s="602"/>
      <c r="AL431" s="602"/>
      <c r="AM431" s="602"/>
      <c r="AN431" s="602"/>
      <c r="AO431" s="602"/>
      <c r="AP431" s="602"/>
      <c r="AQ431" s="602"/>
      <c r="AR431" s="602"/>
      <c r="AS431" s="602"/>
      <c r="AT431" s="602"/>
      <c r="AU431" s="602"/>
      <c r="AV431" s="602"/>
      <c r="AW431" s="602"/>
      <c r="AX431" s="602"/>
      <c r="AY431" s="602"/>
      <c r="AZ431" s="602"/>
      <c r="BA431" s="602"/>
    </row>
    <row r="432" spans="2:53">
      <c r="B432" s="602"/>
      <c r="C432" s="602"/>
      <c r="D432" s="602"/>
      <c r="G432" s="602"/>
      <c r="H432" s="602"/>
      <c r="I432" s="602"/>
      <c r="J432" s="602"/>
      <c r="K432" s="602"/>
      <c r="L432" s="602"/>
      <c r="M432" s="602"/>
      <c r="N432" s="602"/>
      <c r="O432" s="602"/>
      <c r="P432" s="602"/>
      <c r="Q432" s="602"/>
      <c r="R432" s="602"/>
      <c r="S432" s="602"/>
      <c r="T432" s="602"/>
      <c r="U432" s="602"/>
      <c r="V432" s="602"/>
      <c r="W432" s="602"/>
      <c r="X432" s="602"/>
      <c r="Y432" s="602"/>
      <c r="Z432" s="602"/>
      <c r="AA432" s="602"/>
      <c r="AB432" s="602"/>
      <c r="AC432" s="602"/>
      <c r="AD432" s="602"/>
      <c r="AE432" s="602"/>
      <c r="AF432" s="602"/>
      <c r="AG432" s="602"/>
      <c r="AH432" s="602"/>
      <c r="AI432" s="602"/>
      <c r="AJ432" s="602"/>
      <c r="AK432" s="602"/>
      <c r="AL432" s="602"/>
      <c r="AM432" s="602"/>
      <c r="AN432" s="602"/>
      <c r="AO432" s="602"/>
      <c r="AP432" s="602"/>
      <c r="AQ432" s="602"/>
      <c r="AR432" s="602"/>
      <c r="AS432" s="602"/>
      <c r="AT432" s="602"/>
      <c r="AU432" s="602"/>
      <c r="AV432" s="602"/>
      <c r="AW432" s="602"/>
      <c r="AX432" s="602"/>
      <c r="AY432" s="602"/>
      <c r="AZ432" s="602"/>
      <c r="BA432" s="602"/>
    </row>
    <row r="433" spans="2:53">
      <c r="B433" s="602"/>
      <c r="C433" s="602"/>
      <c r="D433" s="602"/>
      <c r="G433" s="602"/>
      <c r="H433" s="602"/>
      <c r="I433" s="602"/>
      <c r="J433" s="602"/>
      <c r="K433" s="602"/>
      <c r="L433" s="602"/>
      <c r="M433" s="602"/>
      <c r="N433" s="602"/>
      <c r="O433" s="602"/>
      <c r="P433" s="602"/>
      <c r="Q433" s="602"/>
      <c r="R433" s="602"/>
      <c r="S433" s="602"/>
      <c r="T433" s="602"/>
      <c r="U433" s="602"/>
      <c r="V433" s="602"/>
      <c r="W433" s="602"/>
      <c r="X433" s="602"/>
      <c r="Y433" s="602"/>
      <c r="Z433" s="602"/>
      <c r="AA433" s="602"/>
      <c r="AB433" s="602"/>
      <c r="AC433" s="602"/>
      <c r="AD433" s="602"/>
      <c r="AE433" s="602"/>
      <c r="AF433" s="602"/>
      <c r="AG433" s="602"/>
      <c r="AH433" s="602"/>
      <c r="AI433" s="602"/>
      <c r="AJ433" s="602"/>
      <c r="AK433" s="602"/>
      <c r="AL433" s="602"/>
      <c r="AM433" s="602"/>
      <c r="AN433" s="602"/>
      <c r="AO433" s="602"/>
      <c r="AP433" s="602"/>
      <c r="AQ433" s="602"/>
      <c r="AR433" s="602"/>
      <c r="AS433" s="602"/>
      <c r="AT433" s="602"/>
      <c r="AU433" s="602"/>
      <c r="AV433" s="602"/>
      <c r="AW433" s="602"/>
      <c r="AX433" s="602"/>
      <c r="AY433" s="602"/>
      <c r="AZ433" s="602"/>
      <c r="BA433" s="602"/>
    </row>
    <row r="434" spans="2:53">
      <c r="B434" s="602"/>
      <c r="C434" s="602"/>
      <c r="D434" s="602"/>
      <c r="G434" s="602"/>
      <c r="H434" s="602"/>
      <c r="I434" s="602"/>
      <c r="J434" s="602"/>
      <c r="K434" s="602"/>
      <c r="L434" s="602"/>
      <c r="M434" s="602"/>
      <c r="N434" s="602"/>
      <c r="O434" s="602"/>
      <c r="P434" s="602"/>
      <c r="Q434" s="602"/>
      <c r="R434" s="602"/>
      <c r="S434" s="602"/>
      <c r="T434" s="602"/>
      <c r="U434" s="602"/>
      <c r="V434" s="602"/>
      <c r="W434" s="602"/>
      <c r="X434" s="602"/>
      <c r="Y434" s="602"/>
      <c r="Z434" s="602"/>
      <c r="AA434" s="602"/>
      <c r="AB434" s="602"/>
      <c r="AC434" s="602"/>
      <c r="AD434" s="602"/>
      <c r="AE434" s="602"/>
      <c r="AF434" s="602"/>
      <c r="AG434" s="602"/>
      <c r="AH434" s="602"/>
      <c r="AI434" s="602"/>
      <c r="AJ434" s="602"/>
      <c r="AK434" s="602"/>
      <c r="AL434" s="602"/>
      <c r="AM434" s="602"/>
      <c r="AN434" s="602"/>
      <c r="AO434" s="602"/>
      <c r="AP434" s="602"/>
      <c r="AQ434" s="602"/>
      <c r="AR434" s="602"/>
      <c r="AS434" s="602"/>
      <c r="AT434" s="602"/>
      <c r="AU434" s="602"/>
      <c r="AV434" s="602"/>
      <c r="AW434" s="602"/>
      <c r="AX434" s="602"/>
      <c r="AY434" s="602"/>
      <c r="AZ434" s="602"/>
      <c r="BA434" s="602"/>
    </row>
    <row r="435" spans="2:53">
      <c r="B435" s="602"/>
      <c r="C435" s="602"/>
      <c r="D435" s="602"/>
      <c r="G435" s="602"/>
      <c r="H435" s="602"/>
      <c r="I435" s="602"/>
      <c r="J435" s="602"/>
      <c r="K435" s="602"/>
      <c r="L435" s="602"/>
      <c r="M435" s="602"/>
      <c r="N435" s="602"/>
      <c r="O435" s="602"/>
      <c r="P435" s="602"/>
      <c r="Q435" s="602"/>
      <c r="R435" s="602"/>
      <c r="S435" s="602"/>
      <c r="T435" s="602"/>
      <c r="U435" s="602"/>
      <c r="V435" s="602"/>
      <c r="W435" s="602"/>
      <c r="X435" s="602"/>
      <c r="Y435" s="602"/>
      <c r="Z435" s="602"/>
      <c r="AA435" s="602"/>
      <c r="AB435" s="602"/>
      <c r="AC435" s="602"/>
      <c r="AD435" s="602"/>
      <c r="AE435" s="602"/>
      <c r="AF435" s="602"/>
      <c r="AG435" s="602"/>
      <c r="AH435" s="602"/>
      <c r="AI435" s="602"/>
      <c r="AJ435" s="602"/>
      <c r="AK435" s="602"/>
      <c r="AL435" s="602"/>
      <c r="AM435" s="602"/>
      <c r="AN435" s="602"/>
      <c r="AO435" s="602"/>
      <c r="AP435" s="602"/>
      <c r="AQ435" s="602"/>
      <c r="AR435" s="602"/>
      <c r="AS435" s="602"/>
      <c r="AT435" s="602"/>
      <c r="AU435" s="602"/>
      <c r="AV435" s="602"/>
      <c r="AW435" s="602"/>
      <c r="AX435" s="602"/>
      <c r="AY435" s="602"/>
      <c r="AZ435" s="602"/>
      <c r="BA435" s="602"/>
    </row>
    <row r="436" spans="2:53">
      <c r="B436" s="602"/>
      <c r="C436" s="602"/>
      <c r="D436" s="602"/>
      <c r="G436" s="602"/>
      <c r="H436" s="602"/>
      <c r="I436" s="602"/>
      <c r="J436" s="602"/>
      <c r="K436" s="602"/>
      <c r="L436" s="602"/>
      <c r="M436" s="602"/>
      <c r="N436" s="602"/>
      <c r="O436" s="602"/>
      <c r="P436" s="602"/>
      <c r="Q436" s="602"/>
      <c r="R436" s="602"/>
      <c r="S436" s="602"/>
      <c r="T436" s="602"/>
      <c r="U436" s="602"/>
      <c r="V436" s="602"/>
      <c r="W436" s="602"/>
      <c r="X436" s="602"/>
      <c r="Y436" s="602"/>
      <c r="Z436" s="602"/>
      <c r="AA436" s="602"/>
      <c r="AB436" s="602"/>
      <c r="AC436" s="602"/>
      <c r="AD436" s="602"/>
      <c r="AE436" s="602"/>
      <c r="AF436" s="602"/>
      <c r="AG436" s="602"/>
      <c r="AH436" s="602"/>
      <c r="AI436" s="602"/>
      <c r="AJ436" s="602"/>
      <c r="AK436" s="602"/>
      <c r="AL436" s="602"/>
      <c r="AM436" s="602"/>
      <c r="AN436" s="602"/>
      <c r="AO436" s="602"/>
      <c r="AP436" s="602"/>
      <c r="AQ436" s="602"/>
      <c r="AR436" s="602"/>
      <c r="AS436" s="602"/>
      <c r="AT436" s="602"/>
      <c r="AU436" s="602"/>
      <c r="AV436" s="602"/>
      <c r="AW436" s="602"/>
      <c r="AX436" s="602"/>
      <c r="AY436" s="602"/>
      <c r="AZ436" s="602"/>
      <c r="BA436" s="602"/>
    </row>
    <row r="437" spans="2:53">
      <c r="B437" s="602"/>
      <c r="C437" s="602"/>
      <c r="D437" s="602"/>
      <c r="G437" s="602"/>
      <c r="H437" s="602"/>
      <c r="I437" s="602"/>
      <c r="J437" s="602"/>
      <c r="K437" s="602"/>
      <c r="L437" s="602"/>
      <c r="M437" s="602"/>
      <c r="N437" s="602"/>
      <c r="O437" s="602"/>
      <c r="P437" s="602"/>
      <c r="Q437" s="602"/>
      <c r="R437" s="602"/>
      <c r="S437" s="602"/>
      <c r="T437" s="602"/>
      <c r="U437" s="602"/>
      <c r="V437" s="602"/>
      <c r="W437" s="602"/>
      <c r="X437" s="602"/>
      <c r="Y437" s="602"/>
      <c r="Z437" s="602"/>
      <c r="AA437" s="602"/>
      <c r="AB437" s="602"/>
      <c r="AC437" s="602"/>
      <c r="AD437" s="602"/>
      <c r="AE437" s="602"/>
      <c r="AF437" s="602"/>
      <c r="AG437" s="602"/>
      <c r="AH437" s="602"/>
      <c r="AI437" s="602"/>
      <c r="AJ437" s="602"/>
      <c r="AK437" s="602"/>
      <c r="AL437" s="602"/>
      <c r="AM437" s="602"/>
      <c r="AN437" s="602"/>
      <c r="AO437" s="602"/>
      <c r="AP437" s="602"/>
      <c r="AQ437" s="602"/>
      <c r="AR437" s="602"/>
      <c r="AS437" s="602"/>
      <c r="AT437" s="602"/>
      <c r="AU437" s="602"/>
      <c r="AV437" s="602"/>
      <c r="AW437" s="602"/>
      <c r="AX437" s="602"/>
      <c r="AY437" s="602"/>
      <c r="AZ437" s="602"/>
      <c r="BA437" s="602"/>
    </row>
    <row r="438" spans="2:53">
      <c r="B438" s="602"/>
      <c r="C438" s="602"/>
      <c r="D438" s="602"/>
      <c r="G438" s="602"/>
      <c r="H438" s="602"/>
      <c r="I438" s="602"/>
      <c r="J438" s="602"/>
      <c r="K438" s="602"/>
      <c r="L438" s="602"/>
      <c r="M438" s="602"/>
      <c r="N438" s="602"/>
      <c r="O438" s="602"/>
      <c r="P438" s="602"/>
      <c r="Q438" s="602"/>
      <c r="R438" s="602"/>
      <c r="S438" s="602"/>
      <c r="T438" s="602"/>
      <c r="U438" s="602"/>
      <c r="V438" s="602"/>
      <c r="W438" s="602"/>
      <c r="X438" s="602"/>
      <c r="Y438" s="602"/>
      <c r="Z438" s="602"/>
      <c r="AA438" s="602"/>
      <c r="AB438" s="602"/>
      <c r="AC438" s="602"/>
      <c r="AD438" s="602"/>
      <c r="AE438" s="602"/>
      <c r="AF438" s="602"/>
      <c r="AG438" s="602"/>
      <c r="AH438" s="602"/>
      <c r="AI438" s="602"/>
      <c r="AJ438" s="602"/>
      <c r="AK438" s="602"/>
      <c r="AL438" s="602"/>
      <c r="AM438" s="602"/>
      <c r="AN438" s="602"/>
      <c r="AO438" s="602"/>
      <c r="AP438" s="602"/>
      <c r="AQ438" s="602"/>
      <c r="AR438" s="602"/>
      <c r="AS438" s="602"/>
      <c r="AT438" s="602"/>
      <c r="AU438" s="602"/>
      <c r="AV438" s="602"/>
      <c r="AW438" s="602"/>
      <c r="AX438" s="602"/>
      <c r="AY438" s="602"/>
      <c r="AZ438" s="602"/>
      <c r="BA438" s="602"/>
    </row>
    <row r="439" spans="2:53">
      <c r="B439" s="602"/>
      <c r="C439" s="602"/>
      <c r="D439" s="602"/>
      <c r="G439" s="602"/>
      <c r="H439" s="602"/>
      <c r="I439" s="602"/>
      <c r="J439" s="602"/>
      <c r="K439" s="602"/>
      <c r="L439" s="602"/>
      <c r="M439" s="602"/>
      <c r="N439" s="602"/>
      <c r="O439" s="602"/>
      <c r="P439" s="602"/>
      <c r="Q439" s="602"/>
      <c r="R439" s="602"/>
      <c r="S439" s="602"/>
      <c r="T439" s="602"/>
      <c r="U439" s="602"/>
      <c r="V439" s="602"/>
      <c r="W439" s="602"/>
      <c r="X439" s="602"/>
      <c r="Y439" s="602"/>
      <c r="Z439" s="602"/>
      <c r="AA439" s="602"/>
      <c r="AB439" s="602"/>
      <c r="AC439" s="602"/>
      <c r="AD439" s="602"/>
      <c r="AE439" s="602"/>
      <c r="AF439" s="602"/>
      <c r="AG439" s="602"/>
      <c r="AH439" s="602"/>
      <c r="AI439" s="602"/>
      <c r="AJ439" s="602"/>
      <c r="AK439" s="602"/>
      <c r="AL439" s="602"/>
      <c r="AM439" s="602"/>
      <c r="AN439" s="602"/>
      <c r="AO439" s="602"/>
      <c r="AP439" s="602"/>
      <c r="AQ439" s="602"/>
      <c r="AR439" s="602"/>
      <c r="AS439" s="602"/>
      <c r="AT439" s="602"/>
      <c r="AU439" s="602"/>
      <c r="AV439" s="602"/>
      <c r="AW439" s="602"/>
      <c r="AX439" s="602"/>
      <c r="AY439" s="602"/>
      <c r="AZ439" s="602"/>
      <c r="BA439" s="602"/>
    </row>
    <row r="440" spans="2:53">
      <c r="B440" s="602"/>
      <c r="C440" s="602"/>
      <c r="D440" s="602"/>
      <c r="G440" s="602"/>
      <c r="H440" s="602"/>
      <c r="I440" s="602"/>
      <c r="J440" s="602"/>
      <c r="K440" s="602"/>
      <c r="L440" s="602"/>
      <c r="M440" s="602"/>
      <c r="N440" s="602"/>
      <c r="O440" s="602"/>
      <c r="P440" s="602"/>
      <c r="Q440" s="602"/>
      <c r="R440" s="602"/>
      <c r="S440" s="602"/>
      <c r="T440" s="602"/>
      <c r="U440" s="602"/>
      <c r="V440" s="602"/>
      <c r="W440" s="602"/>
      <c r="X440" s="602"/>
      <c r="Y440" s="602"/>
      <c r="Z440" s="602"/>
      <c r="AA440" s="602"/>
      <c r="AB440" s="602"/>
      <c r="AC440" s="602"/>
      <c r="AD440" s="602"/>
      <c r="AE440" s="602"/>
      <c r="AF440" s="602"/>
      <c r="AG440" s="602"/>
      <c r="AH440" s="602"/>
      <c r="AI440" s="602"/>
      <c r="AJ440" s="602"/>
      <c r="AK440" s="602"/>
      <c r="AL440" s="602"/>
      <c r="AM440" s="602"/>
      <c r="AN440" s="602"/>
      <c r="AO440" s="602"/>
      <c r="AP440" s="602"/>
      <c r="AQ440" s="602"/>
      <c r="AR440" s="602"/>
      <c r="AS440" s="602"/>
      <c r="AT440" s="602"/>
      <c r="AU440" s="602"/>
      <c r="AV440" s="602"/>
      <c r="AW440" s="602"/>
      <c r="AX440" s="602"/>
      <c r="AY440" s="602"/>
      <c r="AZ440" s="602"/>
      <c r="BA440" s="602"/>
    </row>
    <row r="441" spans="2:53">
      <c r="B441" s="602"/>
      <c r="C441" s="602"/>
      <c r="D441" s="602"/>
      <c r="G441" s="602"/>
      <c r="H441" s="602"/>
      <c r="I441" s="602"/>
      <c r="J441" s="602"/>
      <c r="K441" s="602"/>
      <c r="L441" s="602"/>
      <c r="M441" s="602"/>
      <c r="N441" s="602"/>
      <c r="O441" s="602"/>
      <c r="P441" s="602"/>
      <c r="Q441" s="602"/>
      <c r="R441" s="602"/>
      <c r="S441" s="602"/>
      <c r="T441" s="602"/>
      <c r="U441" s="602"/>
      <c r="V441" s="602"/>
      <c r="W441" s="602"/>
      <c r="X441" s="602"/>
      <c r="Y441" s="602"/>
      <c r="Z441" s="602"/>
      <c r="AA441" s="602"/>
      <c r="AB441" s="602"/>
      <c r="AC441" s="602"/>
      <c r="AD441" s="602"/>
      <c r="AE441" s="602"/>
      <c r="AF441" s="602"/>
      <c r="AG441" s="602"/>
      <c r="AH441" s="602"/>
      <c r="AI441" s="602"/>
      <c r="AJ441" s="602"/>
      <c r="AK441" s="602"/>
      <c r="AL441" s="602"/>
      <c r="AM441" s="602"/>
      <c r="AN441" s="602"/>
      <c r="AO441" s="602"/>
      <c r="AP441" s="602"/>
      <c r="AQ441" s="602"/>
      <c r="AR441" s="602"/>
      <c r="AS441" s="602"/>
      <c r="AT441" s="602"/>
      <c r="AU441" s="602"/>
      <c r="AV441" s="602"/>
      <c r="AW441" s="602"/>
      <c r="AX441" s="602"/>
      <c r="AY441" s="602"/>
      <c r="AZ441" s="602"/>
      <c r="BA441" s="602"/>
    </row>
    <row r="442" spans="2:53">
      <c r="B442" s="602"/>
      <c r="C442" s="602"/>
      <c r="D442" s="602"/>
      <c r="G442" s="602"/>
      <c r="H442" s="602"/>
      <c r="I442" s="602"/>
      <c r="J442" s="602"/>
      <c r="K442" s="602"/>
      <c r="L442" s="602"/>
      <c r="M442" s="602"/>
      <c r="N442" s="602"/>
      <c r="O442" s="602"/>
      <c r="P442" s="602"/>
      <c r="Q442" s="602"/>
      <c r="R442" s="602"/>
      <c r="S442" s="602"/>
      <c r="T442" s="602"/>
      <c r="U442" s="602"/>
      <c r="V442" s="602"/>
      <c r="W442" s="602"/>
      <c r="X442" s="602"/>
      <c r="Y442" s="602"/>
      <c r="Z442" s="602"/>
      <c r="AA442" s="602"/>
      <c r="AB442" s="602"/>
      <c r="AC442" s="602"/>
      <c r="AD442" s="602"/>
      <c r="AE442" s="602"/>
      <c r="AF442" s="602"/>
      <c r="AG442" s="602"/>
      <c r="AH442" s="602"/>
      <c r="AI442" s="602"/>
      <c r="AJ442" s="602"/>
      <c r="AK442" s="602"/>
      <c r="AL442" s="602"/>
      <c r="AM442" s="602"/>
      <c r="AN442" s="602"/>
      <c r="AO442" s="602"/>
      <c r="AP442" s="602"/>
      <c r="AQ442" s="602"/>
      <c r="AR442" s="602"/>
      <c r="AS442" s="602"/>
      <c r="AT442" s="602"/>
      <c r="AU442" s="602"/>
      <c r="AV442" s="602"/>
      <c r="AW442" s="602"/>
      <c r="AX442" s="602"/>
      <c r="AY442" s="602"/>
      <c r="AZ442" s="602"/>
      <c r="BA442" s="602"/>
    </row>
    <row r="443" spans="2:53">
      <c r="B443" s="602"/>
      <c r="C443" s="602"/>
      <c r="D443" s="602"/>
      <c r="G443" s="602"/>
      <c r="H443" s="602"/>
      <c r="I443" s="602"/>
      <c r="J443" s="602"/>
      <c r="K443" s="602"/>
      <c r="L443" s="602"/>
      <c r="M443" s="602"/>
      <c r="N443" s="602"/>
      <c r="O443" s="602"/>
      <c r="P443" s="602"/>
      <c r="Q443" s="602"/>
      <c r="R443" s="602"/>
      <c r="S443" s="602"/>
      <c r="T443" s="602"/>
      <c r="U443" s="602"/>
      <c r="V443" s="602"/>
      <c r="W443" s="602"/>
      <c r="X443" s="602"/>
      <c r="Y443" s="602"/>
      <c r="Z443" s="602"/>
      <c r="AA443" s="602"/>
      <c r="AB443" s="602"/>
      <c r="AC443" s="602"/>
      <c r="AD443" s="602"/>
      <c r="AE443" s="602"/>
      <c r="AF443" s="602"/>
      <c r="AG443" s="602"/>
      <c r="AH443" s="602"/>
      <c r="AI443" s="602"/>
      <c r="AJ443" s="602"/>
      <c r="AK443" s="602"/>
      <c r="AL443" s="602"/>
      <c r="AM443" s="602"/>
      <c r="AN443" s="602"/>
      <c r="AO443" s="602"/>
      <c r="AP443" s="602"/>
      <c r="AQ443" s="602"/>
      <c r="AR443" s="602"/>
      <c r="AS443" s="602"/>
      <c r="AT443" s="602"/>
      <c r="AU443" s="602"/>
      <c r="AV443" s="602"/>
      <c r="AW443" s="602"/>
      <c r="AX443" s="602"/>
      <c r="AY443" s="602"/>
      <c r="AZ443" s="602"/>
      <c r="BA443" s="602"/>
    </row>
    <row r="444" spans="2:53">
      <c r="B444" s="602"/>
      <c r="C444" s="602"/>
      <c r="D444" s="602"/>
      <c r="G444" s="602"/>
      <c r="H444" s="602"/>
      <c r="I444" s="602"/>
      <c r="J444" s="602"/>
      <c r="K444" s="602"/>
      <c r="L444" s="602"/>
      <c r="M444" s="602"/>
      <c r="N444" s="602"/>
      <c r="O444" s="602"/>
      <c r="P444" s="602"/>
      <c r="Q444" s="602"/>
      <c r="R444" s="602"/>
      <c r="S444" s="602"/>
      <c r="T444" s="602"/>
      <c r="U444" s="602"/>
      <c r="V444" s="602"/>
      <c r="W444" s="602"/>
      <c r="X444" s="602"/>
      <c r="Y444" s="602"/>
      <c r="Z444" s="602"/>
      <c r="AA444" s="602"/>
      <c r="AB444" s="602"/>
      <c r="AC444" s="602"/>
      <c r="AD444" s="602"/>
      <c r="AE444" s="602"/>
      <c r="AF444" s="602"/>
      <c r="AG444" s="602"/>
      <c r="AH444" s="602"/>
      <c r="AI444" s="602"/>
      <c r="AJ444" s="602"/>
      <c r="AK444" s="602"/>
      <c r="AL444" s="602"/>
      <c r="AM444" s="602"/>
      <c r="AN444" s="602"/>
      <c r="AO444" s="602"/>
      <c r="AP444" s="602"/>
      <c r="AQ444" s="602"/>
      <c r="AR444" s="602"/>
      <c r="AS444" s="602"/>
      <c r="AT444" s="602"/>
      <c r="AU444" s="602"/>
      <c r="AV444" s="602"/>
      <c r="AW444" s="602"/>
      <c r="AX444" s="602"/>
      <c r="AY444" s="602"/>
      <c r="AZ444" s="602"/>
      <c r="BA444" s="602"/>
    </row>
    <row r="445" spans="2:53">
      <c r="B445" s="602"/>
      <c r="C445" s="602"/>
      <c r="D445" s="602"/>
      <c r="G445" s="602"/>
      <c r="H445" s="602"/>
      <c r="I445" s="602"/>
      <c r="J445" s="602"/>
      <c r="K445" s="602"/>
      <c r="L445" s="602"/>
      <c r="M445" s="602"/>
      <c r="N445" s="602"/>
      <c r="O445" s="602"/>
      <c r="P445" s="602"/>
      <c r="Q445" s="602"/>
      <c r="R445" s="602"/>
      <c r="S445" s="602"/>
      <c r="T445" s="602"/>
      <c r="U445" s="602"/>
      <c r="V445" s="602"/>
      <c r="W445" s="602"/>
      <c r="X445" s="602"/>
      <c r="Y445" s="602"/>
      <c r="Z445" s="602"/>
      <c r="AA445" s="602"/>
      <c r="AB445" s="602"/>
      <c r="AC445" s="602"/>
      <c r="AD445" s="602"/>
      <c r="AE445" s="602"/>
      <c r="AF445" s="602"/>
      <c r="AG445" s="602"/>
      <c r="AH445" s="602"/>
      <c r="AI445" s="602"/>
      <c r="AJ445" s="602"/>
      <c r="AK445" s="602"/>
      <c r="AL445" s="602"/>
      <c r="AM445" s="602"/>
      <c r="AN445" s="602"/>
      <c r="AO445" s="602"/>
      <c r="AP445" s="602"/>
      <c r="AQ445" s="602"/>
      <c r="AR445" s="602"/>
      <c r="AS445" s="602"/>
      <c r="AT445" s="602"/>
      <c r="AU445" s="602"/>
      <c r="AV445" s="602"/>
      <c r="AW445" s="602"/>
      <c r="AX445" s="602"/>
      <c r="AY445" s="602"/>
      <c r="AZ445" s="602"/>
      <c r="BA445" s="602"/>
    </row>
    <row r="446" spans="2:53">
      <c r="B446" s="602"/>
      <c r="C446" s="602"/>
      <c r="D446" s="602"/>
      <c r="G446" s="602"/>
      <c r="H446" s="602"/>
      <c r="I446" s="602"/>
      <c r="J446" s="602"/>
      <c r="K446" s="602"/>
      <c r="L446" s="602"/>
      <c r="M446" s="602"/>
      <c r="N446" s="602"/>
      <c r="O446" s="602"/>
      <c r="P446" s="602"/>
      <c r="Q446" s="602"/>
      <c r="R446" s="602"/>
      <c r="S446" s="602"/>
      <c r="T446" s="602"/>
      <c r="U446" s="602"/>
      <c r="V446" s="602"/>
      <c r="W446" s="602"/>
      <c r="X446" s="602"/>
      <c r="Y446" s="602"/>
      <c r="Z446" s="602"/>
      <c r="AA446" s="602"/>
      <c r="AB446" s="602"/>
      <c r="AC446" s="602"/>
      <c r="AD446" s="602"/>
      <c r="AE446" s="602"/>
      <c r="AF446" s="602"/>
      <c r="AG446" s="602"/>
      <c r="AH446" s="602"/>
      <c r="AI446" s="602"/>
      <c r="AJ446" s="602"/>
      <c r="AK446" s="602"/>
      <c r="AL446" s="602"/>
      <c r="AM446" s="602"/>
      <c r="AN446" s="602"/>
      <c r="AO446" s="602"/>
      <c r="AP446" s="602"/>
      <c r="AQ446" s="602"/>
      <c r="AR446" s="602"/>
      <c r="AS446" s="602"/>
      <c r="AT446" s="602"/>
      <c r="AU446" s="602"/>
      <c r="AV446" s="602"/>
      <c r="AW446" s="602"/>
      <c r="AX446" s="602"/>
      <c r="AY446" s="602"/>
      <c r="AZ446" s="602"/>
      <c r="BA446" s="602"/>
    </row>
    <row r="447" spans="2:53">
      <c r="B447" s="602"/>
      <c r="C447" s="602"/>
      <c r="D447" s="602"/>
      <c r="G447" s="602"/>
      <c r="H447" s="602"/>
      <c r="I447" s="602"/>
      <c r="J447" s="602"/>
      <c r="K447" s="602"/>
      <c r="L447" s="602"/>
      <c r="M447" s="602"/>
      <c r="N447" s="602"/>
      <c r="O447" s="602"/>
      <c r="P447" s="602"/>
      <c r="Q447" s="602"/>
      <c r="R447" s="602"/>
      <c r="S447" s="602"/>
      <c r="T447" s="602"/>
      <c r="U447" s="602"/>
      <c r="V447" s="602"/>
      <c r="W447" s="602"/>
      <c r="X447" s="602"/>
      <c r="Y447" s="602"/>
      <c r="Z447" s="602"/>
      <c r="AA447" s="602"/>
      <c r="AB447" s="602"/>
      <c r="AC447" s="602"/>
      <c r="AD447" s="602"/>
      <c r="AE447" s="602"/>
      <c r="AF447" s="602"/>
      <c r="AG447" s="602"/>
      <c r="AH447" s="602"/>
      <c r="AI447" s="602"/>
      <c r="AJ447" s="602"/>
      <c r="AK447" s="602"/>
      <c r="AL447" s="602"/>
      <c r="AM447" s="602"/>
      <c r="AN447" s="602"/>
      <c r="AO447" s="602"/>
      <c r="AP447" s="602"/>
      <c r="AQ447" s="602"/>
      <c r="AR447" s="602"/>
      <c r="AS447" s="602"/>
      <c r="AT447" s="602"/>
      <c r="AU447" s="602"/>
      <c r="AV447" s="602"/>
      <c r="AW447" s="602"/>
      <c r="AX447" s="602"/>
      <c r="AY447" s="602"/>
      <c r="AZ447" s="602"/>
      <c r="BA447" s="602"/>
    </row>
    <row r="448" spans="2:53">
      <c r="B448" s="602"/>
      <c r="C448" s="602"/>
      <c r="D448" s="602"/>
      <c r="G448" s="602"/>
      <c r="H448" s="602"/>
      <c r="I448" s="602"/>
      <c r="J448" s="602"/>
      <c r="K448" s="602"/>
      <c r="L448" s="602"/>
      <c r="M448" s="602"/>
      <c r="N448" s="602"/>
      <c r="O448" s="602"/>
      <c r="P448" s="602"/>
      <c r="Q448" s="602"/>
      <c r="R448" s="602"/>
      <c r="S448" s="602"/>
      <c r="T448" s="602"/>
      <c r="U448" s="602"/>
      <c r="V448" s="602"/>
      <c r="W448" s="602"/>
      <c r="X448" s="602"/>
      <c r="Y448" s="602"/>
      <c r="Z448" s="602"/>
      <c r="AA448" s="602"/>
      <c r="AB448" s="602"/>
      <c r="AC448" s="602"/>
      <c r="AD448" s="602"/>
      <c r="AE448" s="602"/>
      <c r="AF448" s="602"/>
      <c r="AG448" s="602"/>
      <c r="AH448" s="602"/>
      <c r="AI448" s="602"/>
      <c r="AJ448" s="602"/>
      <c r="AK448" s="602"/>
      <c r="AL448" s="602"/>
      <c r="AM448" s="602"/>
      <c r="AN448" s="602"/>
      <c r="AO448" s="602"/>
      <c r="AP448" s="602"/>
      <c r="AQ448" s="602"/>
      <c r="AR448" s="602"/>
      <c r="AS448" s="602"/>
      <c r="AT448" s="602"/>
      <c r="AU448" s="602"/>
      <c r="AV448" s="602"/>
      <c r="AW448" s="602"/>
      <c r="AX448" s="602"/>
      <c r="AY448" s="602"/>
      <c r="AZ448" s="602"/>
      <c r="BA448" s="602"/>
    </row>
    <row r="449" spans="2:53">
      <c r="B449" s="602"/>
      <c r="C449" s="602"/>
      <c r="D449" s="602"/>
      <c r="G449" s="602"/>
      <c r="H449" s="602"/>
      <c r="I449" s="602"/>
      <c r="J449" s="602"/>
      <c r="K449" s="602"/>
      <c r="L449" s="602"/>
      <c r="M449" s="602"/>
      <c r="N449" s="602"/>
      <c r="O449" s="602"/>
      <c r="P449" s="602"/>
      <c r="Q449" s="602"/>
      <c r="R449" s="602"/>
      <c r="S449" s="602"/>
      <c r="T449" s="602"/>
      <c r="U449" s="602"/>
      <c r="V449" s="602"/>
      <c r="W449" s="602"/>
      <c r="X449" s="602"/>
      <c r="Y449" s="602"/>
      <c r="Z449" s="602"/>
      <c r="AA449" s="602"/>
      <c r="AB449" s="602"/>
      <c r="AC449" s="602"/>
      <c r="AD449" s="602"/>
      <c r="AE449" s="602"/>
      <c r="AF449" s="602"/>
      <c r="AG449" s="602"/>
      <c r="AH449" s="602"/>
      <c r="AI449" s="602"/>
      <c r="AJ449" s="602"/>
      <c r="AK449" s="602"/>
      <c r="AL449" s="602"/>
      <c r="AM449" s="602"/>
      <c r="AN449" s="602"/>
      <c r="AO449" s="602"/>
      <c r="AP449" s="602"/>
      <c r="AQ449" s="602"/>
      <c r="AR449" s="602"/>
      <c r="AS449" s="602"/>
      <c r="AT449" s="602"/>
      <c r="AU449" s="602"/>
      <c r="AV449" s="602"/>
      <c r="AW449" s="602"/>
      <c r="AX449" s="602"/>
      <c r="AY449" s="602"/>
      <c r="AZ449" s="602"/>
      <c r="BA449" s="602"/>
    </row>
    <row r="450" spans="2:53">
      <c r="B450" s="602"/>
      <c r="C450" s="602"/>
      <c r="D450" s="602"/>
      <c r="G450" s="602"/>
      <c r="H450" s="602"/>
      <c r="I450" s="602"/>
      <c r="J450" s="602"/>
      <c r="K450" s="602"/>
      <c r="L450" s="602"/>
      <c r="M450" s="602"/>
      <c r="N450" s="602"/>
      <c r="O450" s="602"/>
      <c r="P450" s="602"/>
      <c r="Q450" s="602"/>
      <c r="R450" s="602"/>
      <c r="S450" s="602"/>
      <c r="T450" s="602"/>
      <c r="U450" s="602"/>
      <c r="V450" s="602"/>
      <c r="W450" s="602"/>
      <c r="X450" s="602"/>
      <c r="Y450" s="602"/>
      <c r="Z450" s="602"/>
      <c r="AA450" s="602"/>
      <c r="AB450" s="602"/>
      <c r="AC450" s="602"/>
      <c r="AD450" s="602"/>
      <c r="AE450" s="602"/>
      <c r="AF450" s="602"/>
      <c r="AG450" s="602"/>
      <c r="AH450" s="602"/>
      <c r="AI450" s="602"/>
      <c r="AJ450" s="602"/>
      <c r="AK450" s="602"/>
      <c r="AL450" s="602"/>
      <c r="AM450" s="602"/>
      <c r="AN450" s="602"/>
      <c r="AO450" s="602"/>
      <c r="AP450" s="602"/>
      <c r="AQ450" s="602"/>
      <c r="AR450" s="602"/>
      <c r="AS450" s="602"/>
      <c r="AT450" s="602"/>
      <c r="AU450" s="602"/>
      <c r="AV450" s="602"/>
      <c r="AW450" s="602"/>
      <c r="AX450" s="602"/>
      <c r="AY450" s="602"/>
      <c r="AZ450" s="602"/>
      <c r="BA450" s="602"/>
    </row>
    <row r="451" spans="2:53">
      <c r="B451" s="602"/>
      <c r="C451" s="602"/>
      <c r="D451" s="602"/>
      <c r="G451" s="602"/>
      <c r="H451" s="602"/>
      <c r="I451" s="602"/>
      <c r="J451" s="602"/>
      <c r="K451" s="602"/>
      <c r="L451" s="602"/>
      <c r="M451" s="602"/>
      <c r="N451" s="602"/>
      <c r="O451" s="602"/>
      <c r="P451" s="602"/>
      <c r="Q451" s="602"/>
      <c r="R451" s="602"/>
      <c r="S451" s="602"/>
      <c r="T451" s="602"/>
      <c r="U451" s="602"/>
      <c r="V451" s="602"/>
      <c r="W451" s="602"/>
      <c r="X451" s="602"/>
      <c r="Y451" s="602"/>
      <c r="Z451" s="602"/>
      <c r="AA451" s="602"/>
      <c r="AB451" s="602"/>
      <c r="AC451" s="602"/>
      <c r="AD451" s="602"/>
      <c r="AE451" s="602"/>
      <c r="AF451" s="602"/>
      <c r="AG451" s="602"/>
      <c r="AH451" s="602"/>
      <c r="AI451" s="602"/>
      <c r="AJ451" s="602"/>
      <c r="AK451" s="602"/>
      <c r="AL451" s="602"/>
      <c r="AM451" s="602"/>
      <c r="AN451" s="602"/>
      <c r="AO451" s="602"/>
      <c r="AP451" s="602"/>
      <c r="AQ451" s="602"/>
      <c r="AR451" s="602"/>
      <c r="AS451" s="602"/>
      <c r="AT451" s="602"/>
      <c r="AU451" s="602"/>
      <c r="AV451" s="602"/>
      <c r="AW451" s="602"/>
      <c r="AX451" s="602"/>
      <c r="AY451" s="602"/>
      <c r="AZ451" s="602"/>
      <c r="BA451" s="602"/>
    </row>
    <row r="452" spans="2:53">
      <c r="B452" s="602"/>
      <c r="C452" s="602"/>
      <c r="D452" s="602"/>
      <c r="G452" s="602"/>
      <c r="H452" s="602"/>
      <c r="I452" s="602"/>
      <c r="J452" s="602"/>
      <c r="K452" s="602"/>
      <c r="L452" s="602"/>
      <c r="M452" s="602"/>
      <c r="N452" s="602"/>
      <c r="O452" s="602"/>
      <c r="P452" s="602"/>
      <c r="Q452" s="602"/>
      <c r="R452" s="602"/>
      <c r="S452" s="602"/>
      <c r="T452" s="602"/>
      <c r="U452" s="602"/>
      <c r="V452" s="602"/>
      <c r="W452" s="602"/>
      <c r="X452" s="602"/>
      <c r="Y452" s="602"/>
      <c r="Z452" s="602"/>
      <c r="AA452" s="602"/>
      <c r="AB452" s="602"/>
      <c r="AC452" s="602"/>
      <c r="AD452" s="602"/>
      <c r="AE452" s="602"/>
      <c r="AF452" s="602"/>
      <c r="AG452" s="602"/>
      <c r="AH452" s="602"/>
      <c r="AI452" s="602"/>
      <c r="AJ452" s="602"/>
      <c r="AK452" s="602"/>
      <c r="AL452" s="602"/>
      <c r="AM452" s="602"/>
      <c r="AN452" s="602"/>
      <c r="AO452" s="602"/>
      <c r="AP452" s="602"/>
      <c r="AQ452" s="602"/>
      <c r="AR452" s="602"/>
      <c r="AS452" s="602"/>
      <c r="AT452" s="602"/>
      <c r="AU452" s="602"/>
      <c r="AV452" s="602"/>
      <c r="AW452" s="602"/>
      <c r="AX452" s="602"/>
      <c r="AY452" s="602"/>
      <c r="AZ452" s="602"/>
      <c r="BA452" s="602"/>
    </row>
    <row r="453" spans="2:53">
      <c r="B453" s="602"/>
      <c r="C453" s="602"/>
      <c r="D453" s="602"/>
      <c r="G453" s="602"/>
      <c r="H453" s="602"/>
      <c r="I453" s="602"/>
      <c r="J453" s="602"/>
      <c r="K453" s="602"/>
      <c r="L453" s="602"/>
      <c r="M453" s="602"/>
      <c r="N453" s="602"/>
      <c r="O453" s="602"/>
      <c r="P453" s="602"/>
      <c r="Q453" s="602"/>
      <c r="R453" s="602"/>
      <c r="S453" s="602"/>
      <c r="T453" s="602"/>
      <c r="U453" s="602"/>
      <c r="V453" s="602"/>
      <c r="W453" s="602"/>
      <c r="X453" s="602"/>
      <c r="Y453" s="602"/>
      <c r="Z453" s="602"/>
      <c r="AA453" s="602"/>
      <c r="AB453" s="602"/>
      <c r="AC453" s="602"/>
      <c r="AD453" s="602"/>
      <c r="AE453" s="602"/>
      <c r="AF453" s="602"/>
      <c r="AG453" s="602"/>
      <c r="AH453" s="602"/>
      <c r="AI453" s="602"/>
      <c r="AJ453" s="602"/>
      <c r="AK453" s="602"/>
      <c r="AL453" s="602"/>
      <c r="AM453" s="602"/>
      <c r="AN453" s="602"/>
      <c r="AO453" s="602"/>
      <c r="AP453" s="602"/>
      <c r="AQ453" s="602"/>
      <c r="AR453" s="602"/>
      <c r="AS453" s="602"/>
      <c r="AT453" s="602"/>
      <c r="AU453" s="602"/>
      <c r="AV453" s="602"/>
      <c r="AW453" s="602"/>
      <c r="AX453" s="602"/>
      <c r="AY453" s="602"/>
      <c r="AZ453" s="602"/>
      <c r="BA453" s="602"/>
    </row>
    <row r="454" spans="2:53">
      <c r="B454" s="602"/>
      <c r="C454" s="602"/>
      <c r="D454" s="602"/>
      <c r="G454" s="602"/>
      <c r="H454" s="602"/>
      <c r="I454" s="602"/>
      <c r="J454" s="602"/>
      <c r="K454" s="602"/>
      <c r="L454" s="602"/>
      <c r="M454" s="602"/>
      <c r="N454" s="602"/>
      <c r="O454" s="602"/>
      <c r="P454" s="602"/>
      <c r="Q454" s="602"/>
      <c r="R454" s="602"/>
      <c r="S454" s="602"/>
      <c r="T454" s="602"/>
      <c r="U454" s="602"/>
      <c r="V454" s="602"/>
      <c r="W454" s="602"/>
      <c r="X454" s="602"/>
      <c r="Y454" s="602"/>
      <c r="Z454" s="602"/>
      <c r="AA454" s="602"/>
      <c r="AB454" s="602"/>
      <c r="AC454" s="602"/>
      <c r="AD454" s="602"/>
      <c r="AE454" s="602"/>
      <c r="AF454" s="602"/>
      <c r="AG454" s="602"/>
      <c r="AH454" s="602"/>
      <c r="AI454" s="602"/>
      <c r="AJ454" s="602"/>
      <c r="AK454" s="602"/>
      <c r="AL454" s="602"/>
      <c r="AM454" s="602"/>
      <c r="AN454" s="602"/>
      <c r="AO454" s="602"/>
      <c r="AP454" s="602"/>
      <c r="AQ454" s="602"/>
      <c r="AR454" s="602"/>
      <c r="AS454" s="602"/>
      <c r="AT454" s="602"/>
      <c r="AU454" s="602"/>
      <c r="AV454" s="602"/>
      <c r="AW454" s="602"/>
      <c r="AX454" s="602"/>
      <c r="AY454" s="602"/>
      <c r="AZ454" s="602"/>
      <c r="BA454" s="602"/>
    </row>
    <row r="455" spans="2:53">
      <c r="B455" s="602"/>
      <c r="C455" s="602"/>
      <c r="D455" s="602"/>
      <c r="G455" s="602"/>
      <c r="H455" s="602"/>
      <c r="I455" s="602"/>
      <c r="J455" s="602"/>
      <c r="K455" s="602"/>
      <c r="L455" s="602"/>
      <c r="M455" s="602"/>
      <c r="N455" s="602"/>
      <c r="O455" s="602"/>
      <c r="P455" s="602"/>
      <c r="Q455" s="602"/>
      <c r="R455" s="602"/>
      <c r="S455" s="602"/>
      <c r="T455" s="602"/>
      <c r="U455" s="602"/>
      <c r="V455" s="602"/>
      <c r="W455" s="602"/>
      <c r="X455" s="602"/>
      <c r="Y455" s="602"/>
      <c r="Z455" s="602"/>
      <c r="AA455" s="602"/>
      <c r="AB455" s="602"/>
      <c r="AC455" s="602"/>
      <c r="AD455" s="602"/>
      <c r="AE455" s="602"/>
      <c r="AF455" s="602"/>
      <c r="AG455" s="602"/>
      <c r="AH455" s="602"/>
      <c r="AI455" s="602"/>
      <c r="AJ455" s="602"/>
      <c r="AK455" s="602"/>
      <c r="AL455" s="602"/>
      <c r="AM455" s="602"/>
      <c r="AN455" s="602"/>
      <c r="AO455" s="602"/>
      <c r="AP455" s="602"/>
      <c r="AQ455" s="602"/>
      <c r="AR455" s="602"/>
      <c r="AS455" s="602"/>
      <c r="AT455" s="602"/>
      <c r="AU455" s="602"/>
      <c r="AV455" s="602"/>
      <c r="AW455" s="602"/>
      <c r="AX455" s="602"/>
      <c r="AY455" s="602"/>
      <c r="AZ455" s="602"/>
      <c r="BA455" s="602"/>
    </row>
    <row r="456" spans="2:53">
      <c r="B456" s="602"/>
      <c r="C456" s="602"/>
      <c r="D456" s="602"/>
      <c r="G456" s="602"/>
      <c r="H456" s="602"/>
      <c r="I456" s="602"/>
      <c r="J456" s="602"/>
      <c r="K456" s="602"/>
      <c r="L456" s="602"/>
      <c r="M456" s="602"/>
      <c r="N456" s="602"/>
      <c r="O456" s="602"/>
      <c r="P456" s="602"/>
      <c r="Q456" s="602"/>
      <c r="R456" s="602"/>
      <c r="S456" s="602"/>
      <c r="T456" s="602"/>
      <c r="U456" s="602"/>
      <c r="V456" s="602"/>
      <c r="W456" s="602"/>
      <c r="X456" s="602"/>
      <c r="Y456" s="602"/>
      <c r="Z456" s="602"/>
      <c r="AA456" s="602"/>
      <c r="AB456" s="602"/>
      <c r="AC456" s="602"/>
      <c r="AD456" s="602"/>
      <c r="AE456" s="602"/>
      <c r="AF456" s="602"/>
      <c r="AG456" s="602"/>
      <c r="AH456" s="602"/>
      <c r="AI456" s="602"/>
      <c r="AJ456" s="602"/>
      <c r="AK456" s="602"/>
      <c r="AL456" s="602"/>
      <c r="AM456" s="602"/>
      <c r="AN456" s="602"/>
      <c r="AO456" s="602"/>
      <c r="AP456" s="602"/>
      <c r="AQ456" s="602"/>
      <c r="AR456" s="602"/>
      <c r="AS456" s="602"/>
      <c r="AT456" s="602"/>
      <c r="AU456" s="602"/>
      <c r="AV456" s="602"/>
      <c r="AW456" s="602"/>
      <c r="AX456" s="602"/>
      <c r="AY456" s="602"/>
      <c r="AZ456" s="602"/>
      <c r="BA456" s="602"/>
    </row>
    <row r="457" spans="2:53">
      <c r="B457" s="602"/>
      <c r="C457" s="602"/>
      <c r="D457" s="602"/>
      <c r="G457" s="602"/>
      <c r="H457" s="602"/>
      <c r="I457" s="602"/>
      <c r="J457" s="602"/>
      <c r="K457" s="602"/>
      <c r="L457" s="602"/>
      <c r="M457" s="602"/>
      <c r="N457" s="602"/>
      <c r="O457" s="602"/>
      <c r="P457" s="602"/>
      <c r="Q457" s="602"/>
      <c r="R457" s="602"/>
      <c r="S457" s="602"/>
      <c r="T457" s="602"/>
      <c r="U457" s="602"/>
      <c r="V457" s="602"/>
      <c r="W457" s="602"/>
      <c r="X457" s="602"/>
      <c r="Y457" s="602"/>
      <c r="Z457" s="602"/>
      <c r="AA457" s="602"/>
      <c r="AB457" s="602"/>
      <c r="AC457" s="602"/>
      <c r="AD457" s="602"/>
      <c r="AE457" s="602"/>
      <c r="AF457" s="602"/>
      <c r="AG457" s="602"/>
      <c r="AH457" s="602"/>
      <c r="AI457" s="602"/>
      <c r="AJ457" s="602"/>
      <c r="AK457" s="602"/>
      <c r="AL457" s="602"/>
      <c r="AM457" s="602"/>
      <c r="AN457" s="602"/>
      <c r="AO457" s="602"/>
      <c r="AP457" s="602"/>
      <c r="AQ457" s="602"/>
      <c r="AR457" s="602"/>
      <c r="AS457" s="602"/>
      <c r="AT457" s="602"/>
      <c r="AU457" s="602"/>
      <c r="AV457" s="602"/>
      <c r="AW457" s="602"/>
      <c r="AX457" s="602"/>
      <c r="AY457" s="602"/>
      <c r="AZ457" s="602"/>
      <c r="BA457" s="602"/>
    </row>
    <row r="458" spans="2:53">
      <c r="B458" s="602"/>
      <c r="C458" s="602"/>
      <c r="D458" s="602"/>
      <c r="G458" s="602"/>
      <c r="H458" s="602"/>
      <c r="I458" s="602"/>
      <c r="J458" s="602"/>
      <c r="K458" s="602"/>
      <c r="L458" s="602"/>
      <c r="M458" s="602"/>
      <c r="N458" s="602"/>
      <c r="O458" s="602"/>
      <c r="P458" s="602"/>
      <c r="Q458" s="602"/>
      <c r="R458" s="602"/>
      <c r="S458" s="602"/>
      <c r="T458" s="602"/>
      <c r="U458" s="602"/>
      <c r="V458" s="602"/>
      <c r="W458" s="602"/>
      <c r="X458" s="602"/>
      <c r="Y458" s="602"/>
      <c r="Z458" s="602"/>
      <c r="AA458" s="602"/>
      <c r="AB458" s="602"/>
      <c r="AC458" s="602"/>
      <c r="AD458" s="602"/>
      <c r="AE458" s="602"/>
      <c r="AF458" s="602"/>
      <c r="AG458" s="602"/>
      <c r="AH458" s="602"/>
      <c r="AI458" s="602"/>
      <c r="AJ458" s="602"/>
      <c r="AK458" s="602"/>
      <c r="AL458" s="602"/>
      <c r="AM458" s="602"/>
      <c r="AN458" s="602"/>
      <c r="AO458" s="602"/>
      <c r="AP458" s="602"/>
      <c r="AQ458" s="602"/>
      <c r="AR458" s="602"/>
      <c r="AS458" s="602"/>
      <c r="AT458" s="602"/>
      <c r="AU458" s="602"/>
      <c r="AV458" s="602"/>
      <c r="AW458" s="602"/>
      <c r="AX458" s="602"/>
      <c r="AY458" s="602"/>
      <c r="AZ458" s="602"/>
      <c r="BA458" s="602"/>
    </row>
    <row r="459" spans="2:53">
      <c r="B459" s="602"/>
      <c r="C459" s="602"/>
      <c r="D459" s="602"/>
      <c r="G459" s="602"/>
      <c r="H459" s="602"/>
      <c r="I459" s="602"/>
      <c r="J459" s="602"/>
      <c r="K459" s="602"/>
      <c r="L459" s="602"/>
      <c r="M459" s="602"/>
      <c r="N459" s="602"/>
      <c r="O459" s="602"/>
      <c r="P459" s="602"/>
      <c r="Q459" s="602"/>
      <c r="R459" s="602"/>
      <c r="S459" s="602"/>
      <c r="T459" s="602"/>
      <c r="U459" s="602"/>
      <c r="V459" s="602"/>
      <c r="W459" s="602"/>
      <c r="X459" s="602"/>
      <c r="Y459" s="602"/>
      <c r="Z459" s="602"/>
      <c r="AA459" s="602"/>
      <c r="AB459" s="602"/>
      <c r="AC459" s="602"/>
      <c r="AD459" s="602"/>
      <c r="AE459" s="602"/>
      <c r="AF459" s="602"/>
      <c r="AG459" s="602"/>
      <c r="AH459" s="602"/>
      <c r="AI459" s="602"/>
      <c r="AJ459" s="602"/>
      <c r="AK459" s="602"/>
      <c r="AL459" s="602"/>
      <c r="AM459" s="602"/>
      <c r="AN459" s="602"/>
      <c r="AO459" s="602"/>
      <c r="AP459" s="602"/>
      <c r="AQ459" s="602"/>
      <c r="AR459" s="602"/>
      <c r="AS459" s="602"/>
      <c r="AT459" s="602"/>
      <c r="AU459" s="602"/>
      <c r="AV459" s="602"/>
      <c r="AW459" s="602"/>
      <c r="AX459" s="602"/>
      <c r="AY459" s="602"/>
      <c r="AZ459" s="602"/>
      <c r="BA459" s="602"/>
    </row>
    <row r="460" spans="2:53">
      <c r="B460" s="602"/>
      <c r="C460" s="602"/>
      <c r="D460" s="602"/>
      <c r="G460" s="602"/>
      <c r="H460" s="602"/>
      <c r="I460" s="602"/>
      <c r="J460" s="602"/>
      <c r="K460" s="602"/>
      <c r="L460" s="602"/>
      <c r="M460" s="602"/>
      <c r="N460" s="602"/>
      <c r="O460" s="602"/>
      <c r="P460" s="602"/>
      <c r="Q460" s="602"/>
      <c r="R460" s="602"/>
      <c r="S460" s="602"/>
      <c r="T460" s="602"/>
      <c r="U460" s="602"/>
      <c r="V460" s="602"/>
      <c r="W460" s="602"/>
      <c r="X460" s="602"/>
      <c r="Y460" s="602"/>
      <c r="Z460" s="602"/>
      <c r="AA460" s="602"/>
      <c r="AB460" s="602"/>
      <c r="AC460" s="602"/>
      <c r="AD460" s="602"/>
      <c r="AE460" s="602"/>
      <c r="AF460" s="602"/>
      <c r="AG460" s="602"/>
      <c r="AH460" s="602"/>
      <c r="AI460" s="602"/>
      <c r="AJ460" s="602"/>
      <c r="AK460" s="602"/>
      <c r="AL460" s="602"/>
      <c r="AM460" s="602"/>
      <c r="AN460" s="602"/>
      <c r="AO460" s="602"/>
      <c r="AP460" s="602"/>
      <c r="AQ460" s="602"/>
      <c r="AR460" s="602"/>
      <c r="AS460" s="602"/>
      <c r="AT460" s="602"/>
      <c r="AU460" s="602"/>
      <c r="AV460" s="602"/>
      <c r="AW460" s="602"/>
      <c r="AX460" s="602"/>
      <c r="AY460" s="602"/>
      <c r="AZ460" s="602"/>
      <c r="BA460" s="602"/>
    </row>
    <row r="461" spans="2:53">
      <c r="B461" s="602"/>
      <c r="C461" s="602"/>
      <c r="D461" s="602"/>
      <c r="G461" s="602"/>
      <c r="H461" s="602"/>
      <c r="I461" s="602"/>
      <c r="J461" s="602"/>
      <c r="K461" s="602"/>
      <c r="L461" s="602"/>
      <c r="M461" s="602"/>
      <c r="N461" s="602"/>
      <c r="O461" s="602"/>
      <c r="P461" s="602"/>
      <c r="Q461" s="602"/>
      <c r="R461" s="602"/>
      <c r="S461" s="602"/>
      <c r="T461" s="602"/>
      <c r="U461" s="602"/>
      <c r="V461" s="602"/>
      <c r="W461" s="602"/>
      <c r="X461" s="602"/>
      <c r="Y461" s="602"/>
      <c r="Z461" s="602"/>
      <c r="AA461" s="602"/>
      <c r="AB461" s="602"/>
      <c r="AC461" s="602"/>
      <c r="AD461" s="602"/>
      <c r="AE461" s="602"/>
      <c r="AF461" s="602"/>
      <c r="AG461" s="602"/>
      <c r="AH461" s="602"/>
      <c r="AI461" s="602"/>
      <c r="AJ461" s="602"/>
      <c r="AK461" s="602"/>
      <c r="AL461" s="602"/>
      <c r="AM461" s="602"/>
      <c r="AN461" s="602"/>
      <c r="AO461" s="602"/>
      <c r="AP461" s="602"/>
      <c r="AQ461" s="602"/>
      <c r="AR461" s="602"/>
      <c r="AS461" s="602"/>
      <c r="AT461" s="602"/>
      <c r="AU461" s="602"/>
      <c r="AV461" s="602"/>
      <c r="AW461" s="602"/>
      <c r="AX461" s="602"/>
      <c r="AY461" s="602"/>
      <c r="AZ461" s="602"/>
      <c r="BA461" s="602"/>
    </row>
    <row r="462" spans="2:53">
      <c r="B462" s="602"/>
      <c r="C462" s="602"/>
      <c r="D462" s="602"/>
      <c r="G462" s="602"/>
      <c r="H462" s="602"/>
      <c r="I462" s="602"/>
      <c r="J462" s="602"/>
      <c r="K462" s="602"/>
      <c r="L462" s="602"/>
      <c r="M462" s="602"/>
      <c r="N462" s="602"/>
      <c r="O462" s="602"/>
      <c r="P462" s="602"/>
      <c r="Q462" s="602"/>
      <c r="R462" s="602"/>
      <c r="S462" s="602"/>
      <c r="T462" s="602"/>
      <c r="U462" s="602"/>
      <c r="V462" s="602"/>
      <c r="W462" s="602"/>
      <c r="X462" s="602"/>
      <c r="Y462" s="602"/>
      <c r="Z462" s="602"/>
      <c r="AA462" s="602"/>
      <c r="AB462" s="602"/>
      <c r="AC462" s="602"/>
      <c r="AD462" s="602"/>
      <c r="AE462" s="602"/>
      <c r="AF462" s="602"/>
      <c r="AG462" s="602"/>
      <c r="AH462" s="602"/>
      <c r="AI462" s="602"/>
      <c r="AJ462" s="602"/>
      <c r="AK462" s="602"/>
      <c r="AL462" s="602"/>
      <c r="AM462" s="602"/>
      <c r="AN462" s="602"/>
      <c r="AO462" s="602"/>
      <c r="AP462" s="602"/>
      <c r="AQ462" s="602"/>
      <c r="AR462" s="602"/>
      <c r="AS462" s="602"/>
      <c r="AT462" s="602"/>
      <c r="AU462" s="602"/>
      <c r="AV462" s="602"/>
      <c r="AW462" s="602"/>
      <c r="AX462" s="602"/>
      <c r="AY462" s="602"/>
      <c r="AZ462" s="602"/>
      <c r="BA462" s="602"/>
    </row>
    <row r="463" spans="2:53">
      <c r="B463" s="602"/>
      <c r="C463" s="602"/>
      <c r="D463" s="602"/>
      <c r="G463" s="602"/>
      <c r="H463" s="602"/>
      <c r="I463" s="602"/>
      <c r="J463" s="602"/>
      <c r="K463" s="602"/>
      <c r="L463" s="602"/>
      <c r="M463" s="602"/>
      <c r="N463" s="602"/>
      <c r="O463" s="602"/>
      <c r="P463" s="602"/>
      <c r="Q463" s="602"/>
      <c r="R463" s="602"/>
      <c r="S463" s="602"/>
      <c r="T463" s="602"/>
      <c r="U463" s="602"/>
      <c r="V463" s="602"/>
      <c r="W463" s="602"/>
      <c r="X463" s="602"/>
      <c r="Y463" s="602"/>
      <c r="Z463" s="602"/>
      <c r="AA463" s="602"/>
      <c r="AB463" s="602"/>
      <c r="AC463" s="602"/>
      <c r="AD463" s="602"/>
      <c r="AE463" s="602"/>
      <c r="AF463" s="602"/>
      <c r="AG463" s="602"/>
      <c r="AH463" s="602"/>
      <c r="AI463" s="602"/>
      <c r="AJ463" s="602"/>
      <c r="AK463" s="602"/>
      <c r="AL463" s="602"/>
      <c r="AM463" s="602"/>
      <c r="AN463" s="602"/>
      <c r="AO463" s="602"/>
      <c r="AP463" s="602"/>
      <c r="AQ463" s="602"/>
      <c r="AR463" s="602"/>
      <c r="AS463" s="602"/>
      <c r="AT463" s="602"/>
      <c r="AU463" s="602"/>
      <c r="AV463" s="602"/>
      <c r="AW463" s="602"/>
      <c r="AX463" s="602"/>
      <c r="AY463" s="602"/>
      <c r="AZ463" s="602"/>
      <c r="BA463" s="602"/>
    </row>
    <row r="464" spans="2:53">
      <c r="B464" s="602"/>
      <c r="C464" s="602"/>
      <c r="D464" s="602"/>
      <c r="G464" s="602"/>
      <c r="H464" s="602"/>
      <c r="I464" s="602"/>
      <c r="J464" s="602"/>
      <c r="K464" s="602"/>
      <c r="L464" s="602"/>
      <c r="M464" s="602"/>
      <c r="N464" s="602"/>
      <c r="O464" s="602"/>
      <c r="P464" s="602"/>
      <c r="Q464" s="602"/>
      <c r="R464" s="602"/>
      <c r="S464" s="602"/>
      <c r="T464" s="602"/>
      <c r="U464" s="602"/>
      <c r="V464" s="602"/>
      <c r="W464" s="602"/>
      <c r="X464" s="602"/>
      <c r="Y464" s="602"/>
      <c r="Z464" s="602"/>
      <c r="AA464" s="602"/>
      <c r="AB464" s="602"/>
      <c r="AC464" s="602"/>
      <c r="AD464" s="602"/>
      <c r="AE464" s="602"/>
      <c r="AF464" s="602"/>
      <c r="AG464" s="602"/>
      <c r="AH464" s="602"/>
      <c r="AI464" s="602"/>
      <c r="AJ464" s="602"/>
      <c r="AK464" s="602"/>
      <c r="AL464" s="602"/>
      <c r="AM464" s="602"/>
      <c r="AN464" s="602"/>
      <c r="AO464" s="602"/>
      <c r="AP464" s="602"/>
      <c r="AQ464" s="602"/>
      <c r="AR464" s="602"/>
      <c r="AS464" s="602"/>
      <c r="AT464" s="602"/>
      <c r="AU464" s="602"/>
      <c r="AV464" s="602"/>
      <c r="AW464" s="602"/>
      <c r="AX464" s="602"/>
      <c r="AY464" s="602"/>
      <c r="AZ464" s="602"/>
      <c r="BA464" s="602"/>
    </row>
    <row r="465" spans="2:53">
      <c r="B465" s="602"/>
      <c r="C465" s="602"/>
      <c r="D465" s="602"/>
      <c r="G465" s="602"/>
      <c r="H465" s="602"/>
      <c r="I465" s="602"/>
      <c r="J465" s="602"/>
      <c r="K465" s="602"/>
      <c r="L465" s="602"/>
      <c r="M465" s="602"/>
      <c r="N465" s="602"/>
      <c r="O465" s="602"/>
      <c r="P465" s="602"/>
      <c r="Q465" s="602"/>
      <c r="R465" s="602"/>
      <c r="S465" s="602"/>
      <c r="T465" s="602"/>
      <c r="U465" s="602"/>
      <c r="V465" s="602"/>
      <c r="W465" s="602"/>
      <c r="X465" s="602"/>
      <c r="Y465" s="602"/>
      <c r="Z465" s="602"/>
      <c r="AA465" s="602"/>
      <c r="AB465" s="602"/>
      <c r="AC465" s="602"/>
      <c r="AD465" s="602"/>
      <c r="AE465" s="602"/>
      <c r="AF465" s="602"/>
      <c r="AG465" s="602"/>
      <c r="AH465" s="602"/>
      <c r="AI465" s="602"/>
      <c r="AJ465" s="602"/>
      <c r="AK465" s="602"/>
      <c r="AL465" s="602"/>
      <c r="AM465" s="602"/>
      <c r="AN465" s="602"/>
      <c r="AO465" s="602"/>
      <c r="AP465" s="602"/>
      <c r="AQ465" s="602"/>
      <c r="AR465" s="602"/>
      <c r="AS465" s="602"/>
      <c r="AT465" s="602"/>
      <c r="AU465" s="602"/>
      <c r="AV465" s="602"/>
      <c r="AW465" s="602"/>
      <c r="AX465" s="602"/>
      <c r="AY465" s="602"/>
      <c r="AZ465" s="602"/>
      <c r="BA465" s="602"/>
    </row>
    <row r="466" spans="2:53">
      <c r="B466" s="602"/>
      <c r="C466" s="602"/>
      <c r="D466" s="602"/>
      <c r="G466" s="602"/>
      <c r="H466" s="602"/>
      <c r="I466" s="602"/>
      <c r="J466" s="602"/>
      <c r="K466" s="602"/>
      <c r="L466" s="602"/>
      <c r="M466" s="602"/>
      <c r="N466" s="602"/>
      <c r="O466" s="602"/>
      <c r="P466" s="602"/>
      <c r="Q466" s="602"/>
      <c r="R466" s="602"/>
      <c r="S466" s="602"/>
      <c r="T466" s="602"/>
      <c r="U466" s="602"/>
      <c r="V466" s="602"/>
      <c r="W466" s="602"/>
      <c r="X466" s="602"/>
      <c r="Y466" s="602"/>
      <c r="Z466" s="602"/>
      <c r="AA466" s="602"/>
      <c r="AB466" s="602"/>
      <c r="AC466" s="602"/>
      <c r="AD466" s="602"/>
      <c r="AE466" s="602"/>
      <c r="AF466" s="602"/>
      <c r="AG466" s="602"/>
      <c r="AH466" s="602"/>
      <c r="AI466" s="602"/>
      <c r="AJ466" s="602"/>
      <c r="AK466" s="602"/>
      <c r="AL466" s="602"/>
      <c r="AM466" s="602"/>
      <c r="AN466" s="602"/>
      <c r="AO466" s="602"/>
      <c r="AP466" s="602"/>
      <c r="AQ466" s="602"/>
      <c r="AR466" s="602"/>
      <c r="AS466" s="602"/>
      <c r="AT466" s="602"/>
      <c r="AU466" s="602"/>
      <c r="AV466" s="602"/>
      <c r="AW466" s="602"/>
      <c r="AX466" s="602"/>
      <c r="AY466" s="602"/>
      <c r="AZ466" s="602"/>
      <c r="BA466" s="602"/>
    </row>
    <row r="467" spans="2:53">
      <c r="B467" s="602"/>
      <c r="C467" s="602"/>
      <c r="D467" s="602"/>
      <c r="G467" s="602"/>
      <c r="H467" s="602"/>
      <c r="I467" s="602"/>
      <c r="J467" s="602"/>
      <c r="K467" s="602"/>
      <c r="L467" s="602"/>
      <c r="M467" s="602"/>
      <c r="N467" s="602"/>
      <c r="O467" s="602"/>
      <c r="P467" s="602"/>
      <c r="Q467" s="602"/>
      <c r="R467" s="602"/>
      <c r="S467" s="602"/>
      <c r="T467" s="602"/>
      <c r="U467" s="602"/>
      <c r="V467" s="602"/>
      <c r="W467" s="602"/>
      <c r="X467" s="602"/>
      <c r="Y467" s="602"/>
      <c r="Z467" s="602"/>
      <c r="AA467" s="602"/>
      <c r="AB467" s="602"/>
      <c r="AC467" s="602"/>
      <c r="AD467" s="602"/>
      <c r="AE467" s="602"/>
      <c r="AF467" s="602"/>
      <c r="AG467" s="602"/>
      <c r="AH467" s="602"/>
      <c r="AI467" s="602"/>
      <c r="AJ467" s="602"/>
      <c r="AK467" s="602"/>
      <c r="AL467" s="602"/>
      <c r="AM467" s="602"/>
      <c r="AN467" s="602"/>
      <c r="AO467" s="602"/>
      <c r="AP467" s="602"/>
      <c r="AQ467" s="602"/>
      <c r="AR467" s="602"/>
      <c r="AS467" s="602"/>
      <c r="AT467" s="602"/>
      <c r="AU467" s="602"/>
      <c r="AV467" s="602"/>
      <c r="AW467" s="602"/>
      <c r="AX467" s="602"/>
      <c r="AY467" s="602"/>
      <c r="AZ467" s="602"/>
      <c r="BA467" s="602"/>
    </row>
    <row r="468" spans="2:53">
      <c r="B468" s="602"/>
      <c r="C468" s="602"/>
      <c r="D468" s="602"/>
      <c r="G468" s="602"/>
      <c r="H468" s="602"/>
      <c r="I468" s="602"/>
      <c r="J468" s="602"/>
      <c r="K468" s="602"/>
      <c r="L468" s="602"/>
      <c r="M468" s="602"/>
      <c r="N468" s="602"/>
      <c r="O468" s="602"/>
      <c r="P468" s="602"/>
      <c r="Q468" s="602"/>
      <c r="R468" s="602"/>
      <c r="S468" s="602"/>
      <c r="T468" s="602"/>
      <c r="U468" s="602"/>
      <c r="V468" s="602"/>
      <c r="W468" s="602"/>
      <c r="X468" s="602"/>
      <c r="Y468" s="602"/>
      <c r="Z468" s="602"/>
      <c r="AA468" s="602"/>
      <c r="AB468" s="602"/>
      <c r="AC468" s="602"/>
      <c r="AD468" s="602"/>
      <c r="AE468" s="602"/>
      <c r="AF468" s="602"/>
      <c r="AG468" s="602"/>
      <c r="AH468" s="602"/>
      <c r="AI468" s="602"/>
      <c r="AJ468" s="602"/>
      <c r="AK468" s="602"/>
      <c r="AL468" s="602"/>
      <c r="AM468" s="602"/>
      <c r="AN468" s="602"/>
      <c r="AO468" s="602"/>
      <c r="AP468" s="602"/>
      <c r="AQ468" s="602"/>
      <c r="AR468" s="602"/>
      <c r="AS468" s="602"/>
      <c r="AT468" s="602"/>
      <c r="AU468" s="602"/>
      <c r="AV468" s="602"/>
      <c r="AW468" s="602"/>
      <c r="AX468" s="602"/>
      <c r="AY468" s="602"/>
      <c r="AZ468" s="602"/>
      <c r="BA468" s="602"/>
    </row>
    <row r="469" spans="2:53">
      <c r="B469" s="602"/>
      <c r="C469" s="602"/>
      <c r="D469" s="602"/>
      <c r="G469" s="602"/>
      <c r="H469" s="602"/>
      <c r="I469" s="602"/>
      <c r="J469" s="602"/>
      <c r="K469" s="602"/>
      <c r="L469" s="602"/>
      <c r="M469" s="602"/>
      <c r="N469" s="602"/>
      <c r="O469" s="602"/>
      <c r="P469" s="602"/>
      <c r="Q469" s="602"/>
      <c r="R469" s="602"/>
      <c r="S469" s="602"/>
      <c r="T469" s="602"/>
      <c r="U469" s="602"/>
      <c r="V469" s="602"/>
      <c r="W469" s="602"/>
      <c r="X469" s="602"/>
      <c r="Y469" s="602"/>
      <c r="Z469" s="602"/>
      <c r="AA469" s="602"/>
      <c r="AB469" s="602"/>
      <c r="AC469" s="602"/>
      <c r="AD469" s="602"/>
      <c r="AE469" s="602"/>
      <c r="AF469" s="602"/>
      <c r="AG469" s="602"/>
      <c r="AH469" s="602"/>
      <c r="AI469" s="602"/>
      <c r="AJ469" s="602"/>
      <c r="AK469" s="602"/>
      <c r="AL469" s="602"/>
      <c r="AM469" s="602"/>
      <c r="AN469" s="602"/>
      <c r="AO469" s="602"/>
      <c r="AP469" s="602"/>
      <c r="AQ469" s="602"/>
      <c r="AR469" s="602"/>
      <c r="AS469" s="602"/>
      <c r="AT469" s="602"/>
      <c r="AU469" s="602"/>
      <c r="AV469" s="602"/>
      <c r="AW469" s="602"/>
      <c r="AX469" s="602"/>
      <c r="AY469" s="602"/>
      <c r="AZ469" s="602"/>
      <c r="BA469" s="602"/>
    </row>
    <row r="470" spans="2:53">
      <c r="B470" s="602"/>
      <c r="C470" s="602"/>
      <c r="D470" s="602"/>
      <c r="G470" s="602"/>
      <c r="H470" s="602"/>
      <c r="I470" s="602"/>
      <c r="J470" s="602"/>
      <c r="K470" s="602"/>
      <c r="L470" s="602"/>
      <c r="M470" s="602"/>
      <c r="N470" s="602"/>
      <c r="O470" s="602"/>
      <c r="P470" s="602"/>
      <c r="Q470" s="602"/>
      <c r="R470" s="602"/>
      <c r="S470" s="602"/>
      <c r="T470" s="602"/>
      <c r="U470" s="602"/>
      <c r="V470" s="602"/>
      <c r="W470" s="602"/>
      <c r="X470" s="602"/>
      <c r="Y470" s="602"/>
      <c r="Z470" s="602"/>
      <c r="AA470" s="602"/>
      <c r="AB470" s="602"/>
      <c r="AC470" s="602"/>
      <c r="AD470" s="602"/>
      <c r="AE470" s="602"/>
      <c r="AF470" s="602"/>
      <c r="AG470" s="602"/>
      <c r="AH470" s="602"/>
      <c r="AI470" s="602"/>
      <c r="AJ470" s="602"/>
      <c r="AK470" s="602"/>
      <c r="AL470" s="602"/>
      <c r="AM470" s="602"/>
      <c r="AN470" s="602"/>
      <c r="AO470" s="602"/>
      <c r="AP470" s="602"/>
      <c r="AQ470" s="602"/>
      <c r="AR470" s="602"/>
      <c r="AS470" s="602"/>
      <c r="AT470" s="602"/>
      <c r="AU470" s="602"/>
      <c r="AV470" s="602"/>
      <c r="AW470" s="602"/>
      <c r="AX470" s="602"/>
      <c r="AY470" s="602"/>
      <c r="AZ470" s="602"/>
      <c r="BA470" s="602"/>
    </row>
    <row r="471" spans="2:53">
      <c r="B471" s="602"/>
      <c r="C471" s="602"/>
      <c r="D471" s="602"/>
      <c r="G471" s="602"/>
      <c r="H471" s="602"/>
      <c r="I471" s="602"/>
      <c r="J471" s="602"/>
      <c r="K471" s="602"/>
      <c r="L471" s="602"/>
      <c r="M471" s="602"/>
      <c r="N471" s="602"/>
      <c r="O471" s="602"/>
      <c r="P471" s="602"/>
      <c r="Q471" s="602"/>
      <c r="R471" s="602"/>
      <c r="S471" s="602"/>
      <c r="T471" s="602"/>
      <c r="U471" s="602"/>
      <c r="V471" s="602"/>
      <c r="W471" s="602"/>
      <c r="X471" s="602"/>
      <c r="Y471" s="602"/>
      <c r="Z471" s="602"/>
      <c r="AA471" s="602"/>
      <c r="AB471" s="602"/>
      <c r="AC471" s="602"/>
      <c r="AD471" s="602"/>
      <c r="AE471" s="602"/>
      <c r="AF471" s="602"/>
      <c r="AG471" s="602"/>
      <c r="AH471" s="602"/>
      <c r="AI471" s="602"/>
      <c r="AJ471" s="602"/>
      <c r="AK471" s="602"/>
      <c r="AL471" s="602"/>
      <c r="AM471" s="602"/>
      <c r="AN471" s="602"/>
      <c r="AO471" s="602"/>
      <c r="AP471" s="602"/>
      <c r="AQ471" s="602"/>
      <c r="AR471" s="602"/>
      <c r="AS471" s="602"/>
      <c r="AT471" s="602"/>
      <c r="AU471" s="602"/>
      <c r="AV471" s="602"/>
      <c r="AW471" s="602"/>
      <c r="AX471" s="602"/>
      <c r="AY471" s="602"/>
      <c r="AZ471" s="602"/>
      <c r="BA471" s="602"/>
    </row>
    <row r="472" spans="2:53">
      <c r="B472" s="602"/>
      <c r="C472" s="602"/>
      <c r="D472" s="602"/>
      <c r="G472" s="602"/>
      <c r="H472" s="602"/>
      <c r="I472" s="602"/>
      <c r="J472" s="602"/>
      <c r="K472" s="602"/>
      <c r="L472" s="602"/>
      <c r="M472" s="602"/>
      <c r="N472" s="602"/>
      <c r="O472" s="602"/>
      <c r="P472" s="602"/>
      <c r="Q472" s="602"/>
      <c r="R472" s="602"/>
      <c r="S472" s="602"/>
      <c r="T472" s="602"/>
      <c r="U472" s="602"/>
      <c r="V472" s="602"/>
      <c r="W472" s="602"/>
      <c r="X472" s="602"/>
      <c r="Y472" s="602"/>
      <c r="Z472" s="602"/>
      <c r="AA472" s="602"/>
      <c r="AB472" s="602"/>
      <c r="AC472" s="602"/>
      <c r="AD472" s="602"/>
      <c r="AE472" s="602"/>
      <c r="AF472" s="602"/>
      <c r="AG472" s="602"/>
      <c r="AH472" s="602"/>
      <c r="AI472" s="602"/>
      <c r="AJ472" s="602"/>
      <c r="AK472" s="602"/>
      <c r="AL472" s="602"/>
      <c r="AM472" s="602"/>
      <c r="AN472" s="602"/>
      <c r="AO472" s="602"/>
      <c r="AP472" s="602"/>
      <c r="AQ472" s="602"/>
      <c r="AR472" s="602"/>
      <c r="AS472" s="602"/>
      <c r="AT472" s="602"/>
      <c r="AU472" s="602"/>
      <c r="AV472" s="602"/>
      <c r="AW472" s="602"/>
      <c r="AX472" s="602"/>
      <c r="AY472" s="602"/>
      <c r="AZ472" s="602"/>
      <c r="BA472" s="602"/>
    </row>
    <row r="473" spans="2:53">
      <c r="B473" s="602"/>
      <c r="C473" s="602"/>
      <c r="D473" s="602"/>
      <c r="G473" s="602"/>
      <c r="H473" s="602"/>
      <c r="I473" s="602"/>
      <c r="J473" s="602"/>
      <c r="K473" s="602"/>
      <c r="L473" s="602"/>
      <c r="M473" s="602"/>
      <c r="N473" s="602"/>
      <c r="O473" s="602"/>
      <c r="P473" s="602"/>
      <c r="Q473" s="602"/>
      <c r="R473" s="602"/>
      <c r="S473" s="602"/>
      <c r="T473" s="602"/>
      <c r="U473" s="602"/>
      <c r="V473" s="602"/>
      <c r="W473" s="602"/>
      <c r="X473" s="602"/>
      <c r="Y473" s="602"/>
      <c r="Z473" s="602"/>
      <c r="AA473" s="602"/>
      <c r="AB473" s="602"/>
      <c r="AC473" s="602"/>
      <c r="AD473" s="602"/>
      <c r="AE473" s="602"/>
      <c r="AF473" s="602"/>
      <c r="AG473" s="602"/>
      <c r="AH473" s="602"/>
      <c r="AI473" s="602"/>
      <c r="AJ473" s="602"/>
      <c r="AK473" s="602"/>
      <c r="AL473" s="602"/>
      <c r="AM473" s="602"/>
      <c r="AN473" s="602"/>
      <c r="AO473" s="602"/>
      <c r="AP473" s="602"/>
      <c r="AQ473" s="602"/>
      <c r="AR473" s="602"/>
      <c r="AS473" s="602"/>
      <c r="AT473" s="602"/>
      <c r="AU473" s="602"/>
      <c r="AV473" s="602"/>
      <c r="AW473" s="602"/>
      <c r="AX473" s="602"/>
      <c r="AY473" s="602"/>
      <c r="AZ473" s="602"/>
      <c r="BA473" s="602"/>
    </row>
    <row r="474" spans="2:53">
      <c r="B474" s="602"/>
      <c r="C474" s="602"/>
      <c r="D474" s="602"/>
      <c r="G474" s="602"/>
      <c r="H474" s="602"/>
      <c r="I474" s="602"/>
      <c r="J474" s="602"/>
      <c r="K474" s="602"/>
      <c r="L474" s="602"/>
      <c r="M474" s="602"/>
      <c r="N474" s="602"/>
      <c r="O474" s="602"/>
      <c r="P474" s="602"/>
      <c r="Q474" s="602"/>
      <c r="R474" s="602"/>
      <c r="S474" s="602"/>
      <c r="T474" s="602"/>
      <c r="U474" s="602"/>
      <c r="V474" s="602"/>
      <c r="W474" s="602"/>
      <c r="X474" s="602"/>
      <c r="Y474" s="602"/>
      <c r="Z474" s="602"/>
      <c r="AA474" s="602"/>
      <c r="AB474" s="602"/>
      <c r="AC474" s="602"/>
      <c r="AD474" s="602"/>
      <c r="AE474" s="602"/>
      <c r="AF474" s="602"/>
      <c r="AG474" s="602"/>
      <c r="AH474" s="602"/>
      <c r="AI474" s="602"/>
      <c r="AJ474" s="602"/>
      <c r="AK474" s="602"/>
      <c r="AL474" s="602"/>
      <c r="AM474" s="602"/>
      <c r="AN474" s="602"/>
      <c r="AO474" s="602"/>
      <c r="AP474" s="602"/>
      <c r="AQ474" s="602"/>
      <c r="AR474" s="602"/>
      <c r="AS474" s="602"/>
      <c r="AT474" s="602"/>
      <c r="AU474" s="602"/>
      <c r="AV474" s="602"/>
      <c r="AW474" s="602"/>
      <c r="AX474" s="602"/>
      <c r="AY474" s="602"/>
      <c r="AZ474" s="602"/>
      <c r="BA474" s="602"/>
    </row>
    <row r="475" spans="2:53">
      <c r="B475" s="602"/>
      <c r="C475" s="602"/>
      <c r="D475" s="602"/>
      <c r="G475" s="602"/>
      <c r="H475" s="602"/>
      <c r="I475" s="602"/>
      <c r="J475" s="602"/>
      <c r="K475" s="602"/>
      <c r="L475" s="602"/>
      <c r="M475" s="602"/>
      <c r="N475" s="602"/>
      <c r="O475" s="602"/>
      <c r="P475" s="602"/>
      <c r="Q475" s="602"/>
      <c r="R475" s="602"/>
      <c r="S475" s="602"/>
      <c r="T475" s="602"/>
      <c r="U475" s="602"/>
      <c r="V475" s="602"/>
      <c r="W475" s="602"/>
      <c r="X475" s="602"/>
      <c r="Y475" s="602"/>
      <c r="Z475" s="602"/>
      <c r="AA475" s="602"/>
      <c r="AB475" s="602"/>
      <c r="AC475" s="602"/>
      <c r="AD475" s="602"/>
      <c r="AE475" s="602"/>
      <c r="AF475" s="602"/>
      <c r="AG475" s="602"/>
      <c r="AH475" s="602"/>
      <c r="AI475" s="602"/>
      <c r="AJ475" s="602"/>
      <c r="AK475" s="602"/>
      <c r="AL475" s="602"/>
      <c r="AM475" s="602"/>
      <c r="AN475" s="602"/>
      <c r="AO475" s="602"/>
      <c r="AP475" s="602"/>
      <c r="AQ475" s="602"/>
      <c r="AR475" s="602"/>
      <c r="AS475" s="602"/>
      <c r="AT475" s="602"/>
      <c r="AU475" s="602"/>
      <c r="AV475" s="602"/>
      <c r="AW475" s="602"/>
      <c r="AX475" s="602"/>
      <c r="AY475" s="602"/>
      <c r="AZ475" s="602"/>
      <c r="BA475" s="602"/>
    </row>
    <row r="476" spans="2:53">
      <c r="B476" s="602"/>
      <c r="C476" s="602"/>
      <c r="D476" s="602"/>
      <c r="G476" s="602"/>
      <c r="H476" s="602"/>
      <c r="I476" s="602"/>
      <c r="J476" s="602"/>
      <c r="K476" s="602"/>
      <c r="L476" s="602"/>
      <c r="M476" s="602"/>
      <c r="N476" s="602"/>
      <c r="O476" s="602"/>
      <c r="P476" s="602"/>
      <c r="Q476" s="602"/>
      <c r="R476" s="602"/>
      <c r="S476" s="602"/>
      <c r="T476" s="602"/>
      <c r="U476" s="602"/>
      <c r="V476" s="602"/>
      <c r="W476" s="602"/>
      <c r="X476" s="602"/>
      <c r="Y476" s="602"/>
      <c r="Z476" s="602"/>
      <c r="AA476" s="602"/>
      <c r="AB476" s="602"/>
      <c r="AC476" s="602"/>
      <c r="AD476" s="602"/>
      <c r="AE476" s="602"/>
      <c r="AF476" s="602"/>
      <c r="AG476" s="602"/>
      <c r="AH476" s="602"/>
      <c r="AI476" s="602"/>
      <c r="AJ476" s="602"/>
      <c r="AK476" s="602"/>
      <c r="AL476" s="602"/>
      <c r="AM476" s="602"/>
      <c r="AN476" s="602"/>
      <c r="AO476" s="602"/>
      <c r="AP476" s="602"/>
      <c r="AQ476" s="602"/>
      <c r="AR476" s="602"/>
      <c r="AS476" s="602"/>
      <c r="AT476" s="602"/>
      <c r="AU476" s="602"/>
      <c r="AV476" s="602"/>
      <c r="AW476" s="602"/>
      <c r="AX476" s="602"/>
      <c r="AY476" s="602"/>
      <c r="AZ476" s="602"/>
      <c r="BA476" s="602"/>
    </row>
    <row r="477" spans="2:53">
      <c r="B477" s="602"/>
      <c r="C477" s="602"/>
      <c r="D477" s="602"/>
      <c r="G477" s="602"/>
      <c r="H477" s="602"/>
      <c r="I477" s="602"/>
      <c r="J477" s="602"/>
      <c r="K477" s="602"/>
      <c r="L477" s="602"/>
      <c r="M477" s="602"/>
      <c r="N477" s="602"/>
      <c r="O477" s="602"/>
      <c r="P477" s="602"/>
      <c r="Q477" s="602"/>
      <c r="R477" s="602"/>
      <c r="S477" s="602"/>
      <c r="T477" s="602"/>
      <c r="U477" s="602"/>
      <c r="V477" s="602"/>
      <c r="W477" s="602"/>
      <c r="X477" s="602"/>
      <c r="Y477" s="602"/>
      <c r="Z477" s="602"/>
      <c r="AA477" s="602"/>
      <c r="AB477" s="602"/>
      <c r="AC477" s="602"/>
      <c r="AD477" s="602"/>
      <c r="AE477" s="602"/>
      <c r="AF477" s="602"/>
      <c r="AG477" s="602"/>
      <c r="AH477" s="602"/>
      <c r="AI477" s="602"/>
      <c r="AJ477" s="602"/>
      <c r="AK477" s="602"/>
      <c r="AL477" s="602"/>
      <c r="AM477" s="602"/>
      <c r="AN477" s="602"/>
      <c r="AO477" s="602"/>
      <c r="AP477" s="602"/>
      <c r="AQ477" s="602"/>
      <c r="AR477" s="602"/>
      <c r="AS477" s="602"/>
      <c r="AT477" s="602"/>
      <c r="AU477" s="602"/>
      <c r="AV477" s="602"/>
      <c r="AW477" s="602"/>
      <c r="AX477" s="602"/>
      <c r="AY477" s="602"/>
      <c r="AZ477" s="602"/>
      <c r="BA477" s="602"/>
    </row>
    <row r="478" spans="2:53">
      <c r="B478" s="602"/>
      <c r="C478" s="602"/>
      <c r="D478" s="602"/>
      <c r="G478" s="602"/>
      <c r="H478" s="602"/>
      <c r="I478" s="602"/>
      <c r="J478" s="602"/>
      <c r="K478" s="602"/>
      <c r="L478" s="602"/>
      <c r="M478" s="602"/>
      <c r="N478" s="602"/>
      <c r="O478" s="602"/>
      <c r="P478" s="602"/>
      <c r="Q478" s="602"/>
      <c r="R478" s="602"/>
      <c r="S478" s="602"/>
      <c r="T478" s="602"/>
      <c r="U478" s="602"/>
      <c r="V478" s="602"/>
      <c r="W478" s="602"/>
      <c r="X478" s="602"/>
      <c r="Y478" s="602"/>
      <c r="Z478" s="602"/>
      <c r="AA478" s="602"/>
      <c r="AB478" s="602"/>
      <c r="AC478" s="602"/>
      <c r="AD478" s="602"/>
      <c r="AE478" s="602"/>
      <c r="AF478" s="602"/>
      <c r="AG478" s="602"/>
      <c r="AH478" s="602"/>
      <c r="AI478" s="602"/>
      <c r="AJ478" s="602"/>
      <c r="AK478" s="602"/>
      <c r="AL478" s="602"/>
      <c r="AM478" s="602"/>
      <c r="AN478" s="602"/>
      <c r="AO478" s="602"/>
      <c r="AP478" s="602"/>
      <c r="AQ478" s="602"/>
      <c r="AR478" s="602"/>
      <c r="AS478" s="602"/>
      <c r="AT478" s="602"/>
      <c r="AU478" s="602"/>
      <c r="AV478" s="602"/>
      <c r="AW478" s="602"/>
      <c r="AX478" s="602"/>
      <c r="AY478" s="602"/>
      <c r="AZ478" s="602"/>
      <c r="BA478" s="602"/>
    </row>
    <row r="479" spans="2:53">
      <c r="B479" s="602"/>
      <c r="C479" s="602"/>
      <c r="D479" s="602"/>
      <c r="G479" s="602"/>
      <c r="H479" s="602"/>
      <c r="I479" s="602"/>
      <c r="J479" s="602"/>
      <c r="K479" s="602"/>
      <c r="L479" s="602"/>
      <c r="M479" s="602"/>
      <c r="N479" s="602"/>
      <c r="O479" s="602"/>
      <c r="P479" s="602"/>
      <c r="Q479" s="602"/>
      <c r="R479" s="602"/>
      <c r="S479" s="602"/>
      <c r="T479" s="602"/>
      <c r="U479" s="602"/>
      <c r="V479" s="602"/>
      <c r="W479" s="602"/>
      <c r="X479" s="602"/>
      <c r="Y479" s="602"/>
      <c r="Z479" s="602"/>
      <c r="AA479" s="602"/>
      <c r="AB479" s="602"/>
      <c r="AC479" s="602"/>
      <c r="AD479" s="602"/>
      <c r="AE479" s="602"/>
      <c r="AF479" s="602"/>
      <c r="AG479" s="602"/>
      <c r="AH479" s="602"/>
      <c r="AI479" s="602"/>
      <c r="AJ479" s="602"/>
      <c r="AK479" s="602"/>
      <c r="AL479" s="602"/>
      <c r="AM479" s="602"/>
      <c r="AN479" s="602"/>
      <c r="AO479" s="602"/>
      <c r="AP479" s="602"/>
      <c r="AQ479" s="602"/>
      <c r="AR479" s="602"/>
      <c r="AS479" s="602"/>
      <c r="AT479" s="602"/>
      <c r="AU479" s="602"/>
      <c r="AV479" s="602"/>
      <c r="AW479" s="602"/>
      <c r="AX479" s="602"/>
      <c r="AY479" s="602"/>
      <c r="AZ479" s="602"/>
      <c r="BA479" s="602"/>
    </row>
    <row r="480" spans="2:53">
      <c r="B480" s="602"/>
      <c r="C480" s="602"/>
      <c r="D480" s="602"/>
      <c r="G480" s="602"/>
      <c r="H480" s="602"/>
      <c r="I480" s="602"/>
      <c r="J480" s="602"/>
      <c r="K480" s="602"/>
      <c r="L480" s="602"/>
      <c r="M480" s="602"/>
      <c r="N480" s="602"/>
      <c r="O480" s="602"/>
      <c r="P480" s="602"/>
      <c r="Q480" s="602"/>
      <c r="R480" s="602"/>
      <c r="S480" s="602"/>
      <c r="T480" s="602"/>
      <c r="U480" s="602"/>
      <c r="V480" s="602"/>
      <c r="W480" s="602"/>
      <c r="X480" s="602"/>
      <c r="Y480" s="602"/>
      <c r="Z480" s="602"/>
      <c r="AA480" s="602"/>
      <c r="AB480" s="602"/>
      <c r="AC480" s="602"/>
      <c r="AD480" s="602"/>
      <c r="AE480" s="602"/>
      <c r="AF480" s="602"/>
      <c r="AG480" s="602"/>
      <c r="AH480" s="602"/>
      <c r="AI480" s="602"/>
      <c r="AJ480" s="602"/>
      <c r="AK480" s="602"/>
      <c r="AL480" s="602"/>
      <c r="AM480" s="602"/>
      <c r="AN480" s="602"/>
      <c r="AO480" s="602"/>
      <c r="AP480" s="602"/>
      <c r="AQ480" s="602"/>
      <c r="AR480" s="602"/>
      <c r="AS480" s="602"/>
      <c r="AT480" s="602"/>
      <c r="AU480" s="602"/>
      <c r="AV480" s="602"/>
      <c r="AW480" s="602"/>
      <c r="AX480" s="602"/>
      <c r="AY480" s="602"/>
      <c r="AZ480" s="602"/>
      <c r="BA480" s="602"/>
    </row>
    <row r="481" spans="2:53">
      <c r="B481" s="602"/>
      <c r="C481" s="602"/>
      <c r="D481" s="602"/>
      <c r="G481" s="602"/>
      <c r="H481" s="602"/>
      <c r="I481" s="602"/>
      <c r="J481" s="602"/>
      <c r="K481" s="602"/>
      <c r="L481" s="602"/>
      <c r="M481" s="602"/>
      <c r="N481" s="602"/>
      <c r="O481" s="602"/>
      <c r="P481" s="602"/>
      <c r="Q481" s="602"/>
      <c r="R481" s="602"/>
      <c r="S481" s="602"/>
      <c r="T481" s="602"/>
      <c r="U481" s="602"/>
      <c r="V481" s="602"/>
      <c r="W481" s="602"/>
      <c r="X481" s="602"/>
      <c r="Y481" s="602"/>
      <c r="Z481" s="602"/>
      <c r="AA481" s="602"/>
      <c r="AB481" s="602"/>
      <c r="AC481" s="602"/>
      <c r="AD481" s="602"/>
      <c r="AE481" s="602"/>
      <c r="AF481" s="602"/>
      <c r="AG481" s="602"/>
      <c r="AH481" s="602"/>
      <c r="AI481" s="602"/>
      <c r="AJ481" s="602"/>
      <c r="AK481" s="602"/>
      <c r="AL481" s="602"/>
      <c r="AM481" s="602"/>
      <c r="AN481" s="602"/>
      <c r="AO481" s="602"/>
      <c r="AP481" s="602"/>
      <c r="AQ481" s="602"/>
      <c r="AR481" s="602"/>
      <c r="AS481" s="602"/>
      <c r="AT481" s="602"/>
      <c r="AU481" s="602"/>
      <c r="AV481" s="602"/>
      <c r="AW481" s="602"/>
      <c r="AX481" s="602"/>
      <c r="AY481" s="602"/>
      <c r="AZ481" s="602"/>
      <c r="BA481" s="602"/>
    </row>
    <row r="482" spans="2:53">
      <c r="B482" s="602"/>
      <c r="C482" s="602"/>
      <c r="D482" s="602"/>
      <c r="G482" s="602"/>
      <c r="H482" s="602"/>
      <c r="I482" s="602"/>
      <c r="J482" s="602"/>
      <c r="K482" s="602"/>
      <c r="L482" s="602"/>
      <c r="M482" s="602"/>
      <c r="N482" s="602"/>
      <c r="O482" s="602"/>
      <c r="P482" s="602"/>
      <c r="Q482" s="602"/>
      <c r="R482" s="602"/>
      <c r="S482" s="602"/>
      <c r="T482" s="602"/>
      <c r="U482" s="602"/>
      <c r="V482" s="602"/>
      <c r="W482" s="602"/>
      <c r="X482" s="602"/>
      <c r="Y482" s="602"/>
      <c r="Z482" s="602"/>
      <c r="AA482" s="602"/>
      <c r="AB482" s="602"/>
      <c r="AC482" s="602"/>
      <c r="AD482" s="602"/>
      <c r="AE482" s="602"/>
      <c r="AF482" s="602"/>
      <c r="AG482" s="602"/>
      <c r="AH482" s="602"/>
      <c r="AI482" s="602"/>
      <c r="AJ482" s="602"/>
      <c r="AK482" s="602"/>
      <c r="AL482" s="602"/>
      <c r="AM482" s="602"/>
      <c r="AN482" s="602"/>
      <c r="AO482" s="602"/>
      <c r="AP482" s="602"/>
      <c r="AQ482" s="602"/>
      <c r="AR482" s="602"/>
      <c r="AS482" s="602"/>
      <c r="AT482" s="602"/>
      <c r="AU482" s="602"/>
      <c r="AV482" s="602"/>
      <c r="AW482" s="602"/>
      <c r="AX482" s="602"/>
      <c r="AY482" s="602"/>
      <c r="AZ482" s="602"/>
      <c r="BA482" s="602"/>
    </row>
    <row r="483" spans="2:53">
      <c r="B483" s="602"/>
      <c r="C483" s="602"/>
      <c r="D483" s="602"/>
      <c r="G483" s="602"/>
      <c r="H483" s="602"/>
      <c r="I483" s="602"/>
      <c r="J483" s="602"/>
      <c r="K483" s="602"/>
      <c r="L483" s="602"/>
      <c r="M483" s="602"/>
      <c r="N483" s="602"/>
      <c r="O483" s="602"/>
      <c r="P483" s="602"/>
      <c r="Q483" s="602"/>
      <c r="R483" s="602"/>
      <c r="S483" s="602"/>
      <c r="T483" s="602"/>
      <c r="U483" s="602"/>
      <c r="V483" s="602"/>
      <c r="W483" s="602"/>
      <c r="X483" s="602"/>
      <c r="Y483" s="602"/>
      <c r="Z483" s="602"/>
      <c r="AA483" s="602"/>
      <c r="AB483" s="602"/>
      <c r="AC483" s="602"/>
      <c r="AD483" s="602"/>
      <c r="AE483" s="602"/>
      <c r="AF483" s="602"/>
      <c r="AG483" s="602"/>
      <c r="AH483" s="602"/>
      <c r="AI483" s="602"/>
      <c r="AJ483" s="602"/>
      <c r="AK483" s="602"/>
      <c r="AL483" s="602"/>
      <c r="AM483" s="602"/>
      <c r="AN483" s="602"/>
      <c r="AO483" s="602"/>
      <c r="AP483" s="602"/>
      <c r="AQ483" s="602"/>
      <c r="AR483" s="602"/>
      <c r="AS483" s="602"/>
      <c r="AT483" s="602"/>
      <c r="AU483" s="602"/>
      <c r="AV483" s="602"/>
      <c r="AW483" s="602"/>
      <c r="AX483" s="602"/>
      <c r="AY483" s="602"/>
      <c r="AZ483" s="602"/>
      <c r="BA483" s="602"/>
    </row>
    <row r="484" spans="2:53">
      <c r="B484" s="602"/>
      <c r="C484" s="602"/>
      <c r="D484" s="602"/>
      <c r="G484" s="602"/>
      <c r="H484" s="602"/>
      <c r="I484" s="602"/>
      <c r="J484" s="602"/>
      <c r="K484" s="602"/>
      <c r="L484" s="602"/>
      <c r="M484" s="602"/>
      <c r="N484" s="602"/>
      <c r="O484" s="602"/>
      <c r="P484" s="602"/>
      <c r="Q484" s="602"/>
      <c r="R484" s="602"/>
      <c r="S484" s="602"/>
      <c r="T484" s="602"/>
      <c r="U484" s="602"/>
      <c r="V484" s="602"/>
      <c r="W484" s="602"/>
      <c r="X484" s="602"/>
      <c r="Y484" s="602"/>
      <c r="Z484" s="602"/>
      <c r="AA484" s="602"/>
      <c r="AB484" s="602"/>
      <c r="AC484" s="602"/>
      <c r="AD484" s="602"/>
      <c r="AE484" s="602"/>
      <c r="AF484" s="602"/>
      <c r="AG484" s="602"/>
      <c r="AH484" s="602"/>
      <c r="AI484" s="602"/>
      <c r="AJ484" s="602"/>
      <c r="AK484" s="602"/>
      <c r="AL484" s="602"/>
      <c r="AM484" s="602"/>
      <c r="AN484" s="602"/>
      <c r="AO484" s="602"/>
      <c r="AP484" s="602"/>
      <c r="AQ484" s="602"/>
      <c r="AR484" s="602"/>
      <c r="AS484" s="602"/>
      <c r="AT484" s="602"/>
      <c r="AU484" s="602"/>
      <c r="AV484" s="602"/>
      <c r="AW484" s="602"/>
      <c r="AX484" s="602"/>
      <c r="AY484" s="602"/>
      <c r="AZ484" s="602"/>
      <c r="BA484" s="602"/>
    </row>
    <row r="485" spans="2:53">
      <c r="B485" s="1"/>
      <c r="C485" s="1"/>
      <c r="D485" s="1"/>
      <c r="E485" s="6"/>
      <c r="F485" s="4"/>
    </row>
    <row r="486" spans="2:53">
      <c r="B486" s="1"/>
      <c r="C486" s="1"/>
      <c r="D486" s="1"/>
      <c r="E486" s="6"/>
      <c r="F486" s="4"/>
    </row>
    <row r="487" spans="2:53">
      <c r="B487" s="1"/>
      <c r="C487" s="1"/>
      <c r="D487" s="1"/>
      <c r="E487" s="6"/>
      <c r="F487" s="4"/>
    </row>
    <row r="488" spans="2:53">
      <c r="B488" s="1"/>
      <c r="C488" s="1"/>
      <c r="D488" s="1"/>
      <c r="E488" s="6"/>
      <c r="F488" s="4"/>
    </row>
    <row r="489" spans="2:53">
      <c r="B489" s="1"/>
      <c r="C489" s="1"/>
      <c r="D489" s="1"/>
      <c r="E489" s="6"/>
      <c r="F489" s="4"/>
    </row>
    <row r="490" spans="2:53">
      <c r="B490" s="1"/>
      <c r="C490" s="1"/>
      <c r="D490" s="1"/>
      <c r="E490" s="6"/>
      <c r="F490" s="4"/>
    </row>
    <row r="491" spans="2:53">
      <c r="B491" s="1"/>
      <c r="C491" s="1"/>
      <c r="D491" s="1"/>
      <c r="E491" s="6"/>
      <c r="F491" s="4"/>
    </row>
    <row r="492" spans="2:53">
      <c r="B492" s="1"/>
      <c r="C492" s="1"/>
      <c r="D492" s="1"/>
      <c r="E492" s="6"/>
      <c r="F492" s="4"/>
    </row>
    <row r="493" spans="2:53">
      <c r="B493" s="1"/>
      <c r="C493" s="1"/>
      <c r="D493" s="1"/>
      <c r="E493" s="6"/>
      <c r="F493" s="4"/>
    </row>
    <row r="494" spans="2:53">
      <c r="B494" s="1"/>
      <c r="C494" s="1"/>
      <c r="D494" s="1"/>
      <c r="E494" s="6"/>
      <c r="F494" s="4"/>
    </row>
    <row r="495" spans="2:53">
      <c r="B495" s="1"/>
      <c r="C495" s="1"/>
      <c r="D495" s="1"/>
      <c r="E495" s="6"/>
      <c r="F495" s="4"/>
    </row>
    <row r="496" spans="2:53">
      <c r="B496" s="1"/>
      <c r="C496" s="1"/>
      <c r="D496" s="1"/>
      <c r="E496" s="6"/>
      <c r="F496" s="4"/>
    </row>
    <row r="497" spans="2:6">
      <c r="B497" s="1"/>
      <c r="C497" s="1"/>
      <c r="D497" s="1"/>
      <c r="E497" s="6"/>
      <c r="F497" s="4"/>
    </row>
    <row r="498" spans="2:6">
      <c r="B498" s="1"/>
      <c r="C498" s="1"/>
      <c r="D498" s="1"/>
      <c r="E498" s="6"/>
      <c r="F498" s="4"/>
    </row>
    <row r="499" spans="2:6">
      <c r="B499" s="1"/>
      <c r="C499" s="1"/>
      <c r="D499" s="1"/>
      <c r="E499" s="6"/>
      <c r="F499" s="4"/>
    </row>
    <row r="500" spans="2:6">
      <c r="B500" s="1"/>
      <c r="C500" s="1"/>
      <c r="D500" s="1"/>
      <c r="E500" s="6"/>
      <c r="F500" s="4"/>
    </row>
    <row r="501" spans="2:6">
      <c r="B501" s="1"/>
      <c r="C501" s="1"/>
      <c r="D501" s="1"/>
      <c r="E501" s="6"/>
      <c r="F501" s="4"/>
    </row>
    <row r="502" spans="2:6">
      <c r="B502" s="1"/>
      <c r="C502" s="1"/>
      <c r="D502" s="1"/>
      <c r="E502" s="6"/>
      <c r="F502" s="4"/>
    </row>
    <row r="503" spans="2:6">
      <c r="B503" s="1"/>
      <c r="C503" s="1"/>
      <c r="D503" s="1"/>
      <c r="E503" s="6"/>
      <c r="F503" s="4"/>
    </row>
    <row r="504" spans="2:6">
      <c r="B504" s="1"/>
      <c r="C504" s="1"/>
      <c r="D504" s="1"/>
      <c r="E504" s="6"/>
      <c r="F504" s="4"/>
    </row>
    <row r="505" spans="2:6">
      <c r="B505" s="1"/>
      <c r="C505" s="1"/>
      <c r="D505" s="1"/>
      <c r="E505" s="6"/>
      <c r="F505" s="4"/>
    </row>
    <row r="506" spans="2:6">
      <c r="B506" s="1"/>
      <c r="C506" s="1"/>
      <c r="D506" s="1"/>
      <c r="E506" s="6"/>
      <c r="F506" s="4"/>
    </row>
    <row r="507" spans="2:6">
      <c r="B507" s="1"/>
      <c r="C507" s="1"/>
      <c r="D507" s="1"/>
      <c r="E507" s="6"/>
      <c r="F507" s="4"/>
    </row>
    <row r="508" spans="2:6">
      <c r="B508" s="1"/>
      <c r="C508" s="1"/>
      <c r="D508" s="1"/>
      <c r="E508" s="6"/>
      <c r="F508" s="4"/>
    </row>
    <row r="509" spans="2:6">
      <c r="B509" s="1"/>
      <c r="C509" s="1"/>
      <c r="D509" s="1"/>
      <c r="E509" s="6"/>
      <c r="F509" s="4"/>
    </row>
    <row r="510" spans="2:6">
      <c r="B510" s="1"/>
      <c r="C510" s="1"/>
      <c r="D510" s="1"/>
      <c r="E510" s="6"/>
      <c r="F510" s="4"/>
    </row>
    <row r="511" spans="2:6">
      <c r="B511" s="1"/>
      <c r="C511" s="1"/>
      <c r="D511" s="1"/>
      <c r="E511" s="6"/>
      <c r="F511" s="4"/>
    </row>
    <row r="512" spans="2:6">
      <c r="B512" s="1"/>
      <c r="C512" s="1"/>
      <c r="D512" s="1"/>
      <c r="E512" s="6"/>
      <c r="F512" s="4"/>
    </row>
    <row r="513" spans="2:6">
      <c r="B513" s="1"/>
      <c r="C513" s="1"/>
      <c r="D513" s="1"/>
      <c r="E513" s="6"/>
      <c r="F513" s="4"/>
    </row>
    <row r="514" spans="2:6">
      <c r="B514" s="1"/>
      <c r="C514" s="1"/>
      <c r="D514" s="1"/>
      <c r="E514" s="6"/>
      <c r="F514" s="4"/>
    </row>
    <row r="515" spans="2:6">
      <c r="B515" s="1"/>
      <c r="C515" s="1"/>
      <c r="D515" s="1"/>
      <c r="E515" s="6"/>
      <c r="F515" s="4"/>
    </row>
    <row r="516" spans="2:6">
      <c r="B516" s="1"/>
      <c r="C516" s="1"/>
      <c r="D516" s="1"/>
      <c r="E516" s="6"/>
      <c r="F516" s="4"/>
    </row>
    <row r="517" spans="2:6">
      <c r="B517" s="1"/>
      <c r="C517" s="1"/>
      <c r="D517" s="1"/>
      <c r="E517" s="6"/>
      <c r="F517" s="4"/>
    </row>
    <row r="518" spans="2:6">
      <c r="B518" s="1"/>
      <c r="C518" s="1"/>
      <c r="D518" s="1"/>
      <c r="E518" s="6"/>
      <c r="F518" s="4"/>
    </row>
    <row r="519" spans="2:6">
      <c r="B519" s="1"/>
      <c r="C519" s="1"/>
      <c r="D519" s="1"/>
      <c r="E519" s="6"/>
      <c r="F519" s="4"/>
    </row>
    <row r="520" spans="2:6">
      <c r="B520" s="1"/>
      <c r="C520" s="1"/>
      <c r="D520" s="1"/>
      <c r="E520" s="6"/>
      <c r="F520" s="4"/>
    </row>
    <row r="521" spans="2:6">
      <c r="B521" s="1"/>
      <c r="C521" s="1"/>
      <c r="D521" s="1"/>
      <c r="E521" s="6"/>
      <c r="F521" s="4"/>
    </row>
    <row r="522" spans="2:6">
      <c r="B522" s="1"/>
      <c r="C522" s="1"/>
      <c r="D522" s="1"/>
      <c r="E522" s="6"/>
      <c r="F522" s="4"/>
    </row>
    <row r="523" spans="2:6">
      <c r="B523" s="1"/>
      <c r="C523" s="1"/>
      <c r="D523" s="1"/>
      <c r="E523" s="6"/>
      <c r="F523" s="4"/>
    </row>
    <row r="524" spans="2:6">
      <c r="B524" s="1"/>
      <c r="C524" s="1"/>
      <c r="D524" s="1"/>
      <c r="E524" s="6"/>
      <c r="F524" s="4"/>
    </row>
    <row r="525" spans="2:6">
      <c r="B525" s="1"/>
      <c r="C525" s="1"/>
      <c r="D525" s="1"/>
      <c r="E525" s="6"/>
      <c r="F525" s="4"/>
    </row>
    <row r="526" spans="2:6">
      <c r="B526" s="1"/>
      <c r="C526" s="1"/>
      <c r="D526" s="1"/>
      <c r="E526" s="6"/>
      <c r="F526" s="4"/>
    </row>
    <row r="527" spans="2:6">
      <c r="B527" s="1"/>
      <c r="C527" s="1"/>
      <c r="D527" s="1"/>
      <c r="E527" s="6"/>
      <c r="F527" s="4"/>
    </row>
    <row r="528" spans="2:6">
      <c r="B528" s="1"/>
      <c r="C528" s="1"/>
      <c r="D528" s="1"/>
      <c r="E528" s="6"/>
      <c r="F528" s="4"/>
    </row>
    <row r="529" spans="2:6">
      <c r="B529" s="1"/>
      <c r="C529" s="1"/>
      <c r="D529" s="1"/>
      <c r="E529" s="6"/>
      <c r="F529" s="4"/>
    </row>
    <row r="530" spans="2:6">
      <c r="B530" s="1"/>
      <c r="C530" s="1"/>
      <c r="D530" s="1"/>
      <c r="E530" s="6"/>
      <c r="F530" s="4"/>
    </row>
    <row r="531" spans="2:6">
      <c r="B531" s="1"/>
      <c r="C531" s="1"/>
      <c r="D531" s="1"/>
      <c r="E531" s="6"/>
      <c r="F531" s="4"/>
    </row>
    <row r="532" spans="2:6">
      <c r="B532" s="1"/>
      <c r="C532" s="1"/>
      <c r="D532" s="1"/>
      <c r="E532" s="6"/>
      <c r="F532" s="4"/>
    </row>
    <row r="533" spans="2:6">
      <c r="B533" s="1"/>
      <c r="C533" s="1"/>
      <c r="D533" s="1"/>
      <c r="E533" s="6"/>
      <c r="F533" s="4"/>
    </row>
    <row r="534" spans="2:6">
      <c r="B534" s="1"/>
      <c r="C534" s="1"/>
      <c r="D534" s="1"/>
      <c r="E534" s="6"/>
      <c r="F534" s="4"/>
    </row>
    <row r="535" spans="2:6">
      <c r="B535" s="1"/>
      <c r="C535" s="1"/>
      <c r="D535" s="1"/>
      <c r="E535" s="6"/>
      <c r="F535" s="4"/>
    </row>
    <row r="536" spans="2:6">
      <c r="B536" s="1"/>
      <c r="C536" s="1"/>
      <c r="D536" s="1"/>
      <c r="E536" s="6"/>
      <c r="F536" s="4"/>
    </row>
    <row r="537" spans="2:6">
      <c r="B537" s="1"/>
      <c r="C537" s="1"/>
      <c r="D537" s="1"/>
      <c r="E537" s="6"/>
      <c r="F537" s="4"/>
    </row>
    <row r="538" spans="2:6">
      <c r="B538" s="1"/>
      <c r="C538" s="1"/>
      <c r="D538" s="1"/>
      <c r="E538" s="6"/>
      <c r="F538" s="4"/>
    </row>
    <row r="539" spans="2:6">
      <c r="B539" s="1"/>
      <c r="C539" s="1"/>
      <c r="D539" s="1"/>
      <c r="E539" s="6"/>
      <c r="F539" s="4"/>
    </row>
    <row r="540" spans="2:6">
      <c r="B540" s="1"/>
      <c r="C540" s="1"/>
      <c r="D540" s="1"/>
      <c r="E540" s="6"/>
      <c r="F540" s="4"/>
    </row>
    <row r="541" spans="2:6">
      <c r="B541" s="1"/>
      <c r="C541" s="1"/>
      <c r="D541" s="1"/>
      <c r="E541" s="6"/>
      <c r="F541" s="4"/>
    </row>
    <row r="542" spans="2:6">
      <c r="B542" s="1"/>
      <c r="C542" s="1"/>
      <c r="D542" s="1"/>
      <c r="E542" s="6"/>
      <c r="F542" s="4"/>
    </row>
    <row r="543" spans="2:6">
      <c r="B543" s="1"/>
      <c r="C543" s="1"/>
      <c r="D543" s="1"/>
      <c r="E543" s="6"/>
      <c r="F543" s="4"/>
    </row>
    <row r="544" spans="2:6">
      <c r="B544" s="1"/>
      <c r="C544" s="1"/>
      <c r="D544" s="1"/>
      <c r="E544" s="6"/>
      <c r="F544" s="4"/>
    </row>
    <row r="545" spans="2:6">
      <c r="B545" s="1"/>
      <c r="C545" s="1"/>
      <c r="D545" s="1"/>
      <c r="E545" s="6"/>
      <c r="F545" s="4"/>
    </row>
    <row r="546" spans="2:6">
      <c r="B546" s="1"/>
      <c r="C546" s="1"/>
      <c r="D546" s="1"/>
      <c r="E546" s="6"/>
      <c r="F546" s="4"/>
    </row>
    <row r="547" spans="2:6">
      <c r="B547" s="1"/>
      <c r="C547" s="1"/>
      <c r="D547" s="1"/>
      <c r="E547" s="6"/>
      <c r="F547" s="4"/>
    </row>
    <row r="548" spans="2:6">
      <c r="B548" s="1"/>
      <c r="C548" s="1"/>
      <c r="D548" s="1"/>
      <c r="E548" s="6"/>
      <c r="F548" s="4"/>
    </row>
    <row r="549" spans="2:6">
      <c r="B549" s="1"/>
      <c r="C549" s="1"/>
      <c r="D549" s="1"/>
      <c r="E549" s="6"/>
      <c r="F549" s="4"/>
    </row>
    <row r="550" spans="2:6">
      <c r="B550" s="1"/>
      <c r="C550" s="1"/>
      <c r="D550" s="1"/>
      <c r="E550" s="6"/>
      <c r="F550" s="4"/>
    </row>
    <row r="551" spans="2:6">
      <c r="B551" s="1"/>
      <c r="C551" s="1"/>
      <c r="D551" s="1"/>
      <c r="E551" s="6"/>
      <c r="F551" s="4"/>
    </row>
    <row r="552" spans="2:6">
      <c r="B552" s="1"/>
      <c r="C552" s="1"/>
      <c r="D552" s="1"/>
      <c r="E552" s="6"/>
      <c r="F552" s="4"/>
    </row>
    <row r="553" spans="2:6">
      <c r="B553" s="1"/>
      <c r="C553" s="1"/>
      <c r="D553" s="1"/>
      <c r="E553" s="6"/>
      <c r="F553" s="4"/>
    </row>
    <row r="554" spans="2:6">
      <c r="B554" s="1"/>
      <c r="C554" s="1"/>
      <c r="D554" s="1"/>
      <c r="E554" s="6"/>
      <c r="F554" s="4"/>
    </row>
    <row r="555" spans="2:6">
      <c r="B555" s="1"/>
      <c r="C555" s="1"/>
      <c r="D555" s="1"/>
      <c r="E555" s="6"/>
      <c r="F555" s="4"/>
    </row>
    <row r="556" spans="2:6">
      <c r="B556" s="1"/>
      <c r="C556" s="1"/>
      <c r="D556" s="1"/>
      <c r="E556" s="6"/>
      <c r="F556" s="4"/>
    </row>
    <row r="557" spans="2:6">
      <c r="B557" s="1"/>
      <c r="C557" s="1"/>
      <c r="D557" s="1"/>
      <c r="E557" s="6"/>
      <c r="F557" s="4"/>
    </row>
    <row r="558" spans="2:6">
      <c r="B558" s="1"/>
      <c r="C558" s="1"/>
      <c r="D558" s="1"/>
      <c r="E558" s="6"/>
      <c r="F558" s="4"/>
    </row>
    <row r="559" spans="2:6">
      <c r="B559" s="1"/>
      <c r="C559" s="1"/>
      <c r="D559" s="1"/>
      <c r="E559" s="6"/>
      <c r="F559" s="4"/>
    </row>
    <row r="560" spans="2:6">
      <c r="B560" s="1"/>
      <c r="C560" s="1"/>
      <c r="D560" s="1"/>
      <c r="E560" s="6"/>
      <c r="F560" s="4"/>
    </row>
    <row r="561" spans="2:6">
      <c r="B561" s="1"/>
      <c r="C561" s="1"/>
      <c r="D561" s="1"/>
      <c r="E561" s="6"/>
      <c r="F561" s="4"/>
    </row>
    <row r="562" spans="2:6">
      <c r="B562" s="1"/>
      <c r="C562" s="1"/>
      <c r="D562" s="1"/>
      <c r="E562" s="6"/>
      <c r="F562" s="4"/>
    </row>
    <row r="563" spans="2:6">
      <c r="B563" s="1"/>
      <c r="C563" s="1"/>
      <c r="D563" s="1"/>
      <c r="E563" s="6"/>
      <c r="F563" s="4"/>
    </row>
    <row r="564" spans="2:6">
      <c r="B564" s="1"/>
      <c r="C564" s="1"/>
      <c r="D564" s="1"/>
      <c r="E564" s="6"/>
      <c r="F564" s="4"/>
    </row>
    <row r="565" spans="2:6">
      <c r="B565" s="1"/>
      <c r="C565" s="1"/>
      <c r="D565" s="1"/>
      <c r="E565" s="6"/>
      <c r="F565" s="4"/>
    </row>
    <row r="566" spans="2:6">
      <c r="B566" s="1"/>
      <c r="C566" s="1"/>
      <c r="D566" s="1"/>
      <c r="E566" s="6"/>
      <c r="F566" s="4"/>
    </row>
    <row r="567" spans="2:6">
      <c r="B567" s="1"/>
      <c r="C567" s="1"/>
      <c r="D567" s="1"/>
      <c r="E567" s="6"/>
      <c r="F567" s="4"/>
    </row>
    <row r="568" spans="2:6">
      <c r="B568" s="1"/>
      <c r="C568" s="1"/>
      <c r="D568" s="1"/>
      <c r="E568" s="6"/>
      <c r="F568" s="4"/>
    </row>
    <row r="569" spans="2:6">
      <c r="B569" s="1"/>
      <c r="C569" s="1"/>
      <c r="D569" s="1"/>
      <c r="E569" s="6"/>
      <c r="F569" s="4"/>
    </row>
    <row r="570" spans="2:6">
      <c r="B570" s="1"/>
      <c r="C570" s="1"/>
      <c r="D570" s="1"/>
      <c r="E570" s="6"/>
      <c r="F570" s="4"/>
    </row>
    <row r="571" spans="2:6">
      <c r="B571" s="1"/>
      <c r="C571" s="1"/>
      <c r="D571" s="1"/>
      <c r="E571" s="6"/>
      <c r="F571" s="4"/>
    </row>
    <row r="572" spans="2:6">
      <c r="B572" s="1"/>
      <c r="C572" s="1"/>
      <c r="D572" s="1"/>
      <c r="E572" s="6"/>
      <c r="F572" s="4"/>
    </row>
    <row r="573" spans="2:6">
      <c r="B573" s="1"/>
      <c r="C573" s="1"/>
      <c r="D573" s="1"/>
      <c r="E573" s="6"/>
      <c r="F573" s="4"/>
    </row>
    <row r="574" spans="2:6">
      <c r="B574" s="1"/>
      <c r="C574" s="1"/>
      <c r="D574" s="1"/>
      <c r="E574" s="6"/>
      <c r="F574" s="4"/>
    </row>
    <row r="575" spans="2:6">
      <c r="B575" s="1"/>
      <c r="C575" s="1"/>
      <c r="D575" s="1"/>
      <c r="E575" s="6"/>
      <c r="F575" s="4"/>
    </row>
    <row r="576" spans="2:6">
      <c r="B576" s="1"/>
      <c r="C576" s="1"/>
      <c r="D576" s="1"/>
      <c r="E576" s="6"/>
      <c r="F576" s="4"/>
    </row>
    <row r="577" spans="2:6">
      <c r="B577" s="1"/>
      <c r="C577" s="1"/>
      <c r="D577" s="1"/>
      <c r="E577" s="6"/>
      <c r="F577" s="4"/>
    </row>
    <row r="578" spans="2:6">
      <c r="B578" s="1"/>
      <c r="C578" s="1"/>
      <c r="D578" s="1"/>
      <c r="E578" s="6"/>
      <c r="F578" s="4"/>
    </row>
    <row r="579" spans="2:6">
      <c r="B579" s="1"/>
      <c r="C579" s="1"/>
      <c r="D579" s="1"/>
      <c r="E579" s="6"/>
      <c r="F579" s="4"/>
    </row>
    <row r="580" spans="2:6">
      <c r="B580" s="1"/>
      <c r="C580" s="1"/>
      <c r="D580" s="1"/>
      <c r="E580" s="6"/>
      <c r="F580" s="4"/>
    </row>
    <row r="581" spans="2:6">
      <c r="B581" s="1"/>
      <c r="C581" s="1"/>
      <c r="D581" s="1"/>
      <c r="E581" s="6"/>
      <c r="F581" s="4"/>
    </row>
    <row r="582" spans="2:6">
      <c r="B582" s="1"/>
      <c r="C582" s="1"/>
      <c r="D582" s="1"/>
      <c r="E582" s="6"/>
      <c r="F582" s="4"/>
    </row>
    <row r="583" spans="2:6">
      <c r="B583" s="1"/>
      <c r="C583" s="1"/>
      <c r="D583" s="1"/>
      <c r="E583" s="6"/>
      <c r="F583" s="4"/>
    </row>
    <row r="584" spans="2:6">
      <c r="B584" s="1"/>
      <c r="C584" s="1"/>
      <c r="D584" s="1"/>
      <c r="E584" s="6"/>
      <c r="F584" s="4"/>
    </row>
    <row r="585" spans="2:6">
      <c r="B585" s="1"/>
      <c r="C585" s="1"/>
      <c r="D585" s="1"/>
      <c r="E585" s="6"/>
      <c r="F585" s="4"/>
    </row>
    <row r="586" spans="2:6">
      <c r="B586" s="1"/>
      <c r="C586" s="1"/>
      <c r="D586" s="1"/>
      <c r="E586" s="6"/>
      <c r="F586" s="4"/>
    </row>
    <row r="587" spans="2:6">
      <c r="B587" s="1"/>
      <c r="C587" s="1"/>
      <c r="D587" s="1"/>
      <c r="E587" s="6"/>
      <c r="F587" s="4"/>
    </row>
    <row r="588" spans="2:6">
      <c r="B588" s="1"/>
      <c r="C588" s="1"/>
      <c r="D588" s="1"/>
      <c r="E588" s="6"/>
      <c r="F588" s="4"/>
    </row>
    <row r="589" spans="2:6">
      <c r="B589" s="1"/>
      <c r="C589" s="1"/>
      <c r="D589" s="1"/>
      <c r="E589" s="6"/>
      <c r="F589" s="4"/>
    </row>
    <row r="590" spans="2:6">
      <c r="B590" s="1"/>
      <c r="C590" s="1"/>
      <c r="D590" s="1"/>
      <c r="E590" s="6"/>
      <c r="F590" s="4"/>
    </row>
    <row r="591" spans="2:6">
      <c r="B591" s="1"/>
      <c r="C591" s="1"/>
      <c r="D591" s="1"/>
      <c r="E591" s="6"/>
      <c r="F591" s="4"/>
    </row>
    <row r="592" spans="2:6">
      <c r="B592" s="1"/>
      <c r="C592" s="1"/>
      <c r="D592" s="1"/>
      <c r="E592" s="6"/>
      <c r="F592" s="4"/>
    </row>
    <row r="593" spans="2:6">
      <c r="B593" s="1"/>
      <c r="C593" s="1"/>
      <c r="D593" s="1"/>
      <c r="E593" s="6"/>
      <c r="F593" s="4"/>
    </row>
    <row r="594" spans="2:6">
      <c r="B594" s="1"/>
      <c r="C594" s="1"/>
      <c r="D594" s="1"/>
      <c r="E594" s="6"/>
      <c r="F594" s="4"/>
    </row>
    <row r="595" spans="2:6">
      <c r="B595" s="1"/>
      <c r="C595" s="1"/>
      <c r="D595" s="1"/>
      <c r="E595" s="6"/>
      <c r="F595" s="4"/>
    </row>
    <row r="596" spans="2:6">
      <c r="B596" s="1"/>
      <c r="C596" s="1"/>
      <c r="D596" s="1"/>
      <c r="E596" s="6"/>
      <c r="F596" s="4"/>
    </row>
    <row r="597" spans="2:6">
      <c r="B597" s="1"/>
      <c r="C597" s="1"/>
      <c r="D597" s="1"/>
      <c r="E597" s="6"/>
      <c r="F597" s="4"/>
    </row>
    <row r="598" spans="2:6">
      <c r="B598" s="1"/>
      <c r="C598" s="1"/>
      <c r="D598" s="1"/>
      <c r="E598" s="6"/>
      <c r="F598" s="4"/>
    </row>
    <row r="599" spans="2:6">
      <c r="B599" s="1"/>
      <c r="C599" s="1"/>
      <c r="D599" s="1"/>
      <c r="E599" s="6"/>
      <c r="F599" s="4"/>
    </row>
    <row r="600" spans="2:6">
      <c r="B600" s="1"/>
      <c r="C600" s="1"/>
      <c r="D600" s="1"/>
      <c r="E600" s="6"/>
      <c r="F600" s="4"/>
    </row>
    <row r="601" spans="2:6">
      <c r="B601" s="1"/>
      <c r="C601" s="1"/>
      <c r="D601" s="1"/>
      <c r="E601" s="6"/>
      <c r="F601" s="4"/>
    </row>
    <row r="602" spans="2:6">
      <c r="B602" s="1"/>
      <c r="C602" s="1"/>
      <c r="D602" s="1"/>
      <c r="E602" s="6"/>
      <c r="F602" s="4"/>
    </row>
    <row r="603" spans="2:6">
      <c r="B603" s="1"/>
      <c r="C603" s="1"/>
      <c r="D603" s="1"/>
      <c r="E603" s="6"/>
      <c r="F603" s="4"/>
    </row>
    <row r="604" spans="2:6">
      <c r="B604" s="1"/>
      <c r="C604" s="1"/>
      <c r="D604" s="1"/>
      <c r="E604" s="6"/>
      <c r="F604" s="4"/>
    </row>
    <row r="605" spans="2:6">
      <c r="B605" s="1"/>
      <c r="C605" s="1"/>
      <c r="D605" s="1"/>
      <c r="E605" s="6"/>
      <c r="F605" s="4"/>
    </row>
    <row r="606" spans="2:6">
      <c r="B606" s="1"/>
      <c r="C606" s="1"/>
      <c r="D606" s="1"/>
      <c r="E606" s="6"/>
      <c r="F606" s="4"/>
    </row>
    <row r="607" spans="2:6">
      <c r="B607" s="1"/>
      <c r="C607" s="1"/>
      <c r="D607" s="1"/>
      <c r="E607" s="6"/>
      <c r="F607" s="4"/>
    </row>
    <row r="608" spans="2:6">
      <c r="B608" s="1"/>
      <c r="C608" s="1"/>
      <c r="D608" s="1"/>
      <c r="E608" s="6"/>
      <c r="F608" s="4"/>
    </row>
    <row r="609" spans="2:6">
      <c r="B609" s="1"/>
      <c r="C609" s="1"/>
      <c r="D609" s="1"/>
      <c r="E609" s="6"/>
      <c r="F609" s="4"/>
    </row>
    <row r="610" spans="2:6">
      <c r="B610" s="1"/>
      <c r="C610" s="1"/>
      <c r="D610" s="1"/>
      <c r="E610" s="6"/>
      <c r="F610" s="4"/>
    </row>
    <row r="611" spans="2:6">
      <c r="B611" s="1"/>
      <c r="C611" s="1"/>
      <c r="D611" s="1"/>
      <c r="E611" s="6"/>
      <c r="F611" s="4"/>
    </row>
    <row r="612" spans="2:6">
      <c r="B612" s="1"/>
      <c r="C612" s="1"/>
      <c r="D612" s="1"/>
      <c r="E612" s="6"/>
      <c r="F612" s="4"/>
    </row>
    <row r="613" spans="2:6">
      <c r="B613" s="1"/>
      <c r="C613" s="1"/>
      <c r="D613" s="1"/>
      <c r="E613" s="6"/>
      <c r="F613" s="4"/>
    </row>
    <row r="614" spans="2:6">
      <c r="B614" s="1"/>
      <c r="C614" s="1"/>
      <c r="D614" s="1"/>
      <c r="E614" s="6"/>
      <c r="F614" s="4"/>
    </row>
    <row r="615" spans="2:6">
      <c r="B615" s="1"/>
      <c r="C615" s="1"/>
      <c r="D615" s="1"/>
      <c r="E615" s="6"/>
      <c r="F615" s="4"/>
    </row>
    <row r="616" spans="2:6">
      <c r="B616" s="1"/>
      <c r="C616" s="1"/>
      <c r="D616" s="1"/>
      <c r="E616" s="6"/>
      <c r="F616" s="4"/>
    </row>
    <row r="617" spans="2:6">
      <c r="B617" s="1"/>
      <c r="C617" s="1"/>
      <c r="D617" s="1"/>
      <c r="E617" s="6"/>
      <c r="F617" s="4"/>
    </row>
    <row r="618" spans="2:6">
      <c r="B618" s="1"/>
      <c r="C618" s="1"/>
      <c r="D618" s="1"/>
      <c r="E618" s="6"/>
      <c r="F618" s="4"/>
    </row>
    <row r="619" spans="2:6">
      <c r="B619" s="1"/>
      <c r="C619" s="1"/>
      <c r="D619" s="1"/>
      <c r="E619" s="6"/>
      <c r="F619" s="4"/>
    </row>
    <row r="620" spans="2:6">
      <c r="B620" s="1"/>
      <c r="C620" s="1"/>
      <c r="D620" s="1"/>
      <c r="E620" s="6"/>
      <c r="F620" s="4"/>
    </row>
    <row r="621" spans="2:6">
      <c r="B621" s="1"/>
      <c r="C621" s="1"/>
      <c r="D621" s="1"/>
      <c r="E621" s="6"/>
      <c r="F621" s="4"/>
    </row>
    <row r="622" spans="2:6">
      <c r="B622" s="1"/>
      <c r="C622" s="1"/>
      <c r="D622" s="1"/>
      <c r="E622" s="6"/>
      <c r="F622" s="4"/>
    </row>
    <row r="623" spans="2:6">
      <c r="B623" s="1"/>
      <c r="C623" s="1"/>
      <c r="D623" s="1"/>
      <c r="E623" s="6"/>
      <c r="F623" s="4"/>
    </row>
    <row r="624" spans="2:6">
      <c r="B624" s="1"/>
      <c r="C624" s="1"/>
      <c r="D624" s="1"/>
      <c r="E624" s="6"/>
      <c r="F624" s="4"/>
    </row>
    <row r="625" spans="2:6">
      <c r="B625" s="1"/>
      <c r="C625" s="1"/>
      <c r="D625" s="1"/>
      <c r="E625" s="6"/>
      <c r="F625" s="4"/>
    </row>
    <row r="626" spans="2:6">
      <c r="B626" s="1"/>
      <c r="C626" s="1"/>
      <c r="D626" s="1"/>
      <c r="E626" s="6"/>
      <c r="F626" s="4"/>
    </row>
    <row r="627" spans="2:6">
      <c r="B627" s="1"/>
      <c r="C627" s="1"/>
      <c r="D627" s="1"/>
      <c r="E627" s="6"/>
      <c r="F627" s="4"/>
    </row>
    <row r="628" spans="2:6">
      <c r="B628" s="1"/>
      <c r="C628" s="1"/>
      <c r="D628" s="1"/>
      <c r="E628" s="6"/>
      <c r="F628" s="4"/>
    </row>
    <row r="629" spans="2:6">
      <c r="B629" s="1"/>
      <c r="C629" s="1"/>
      <c r="D629" s="1"/>
      <c r="E629" s="6"/>
      <c r="F629" s="4"/>
    </row>
    <row r="630" spans="2:6">
      <c r="B630" s="1"/>
      <c r="C630" s="1"/>
      <c r="D630" s="1"/>
      <c r="E630" s="6"/>
      <c r="F630" s="4"/>
    </row>
    <row r="631" spans="2:6">
      <c r="B631" s="1"/>
      <c r="C631" s="1"/>
      <c r="D631" s="1"/>
      <c r="E631" s="6"/>
      <c r="F631" s="4"/>
    </row>
    <row r="632" spans="2:6">
      <c r="B632" s="1"/>
      <c r="C632" s="1"/>
      <c r="D632" s="1"/>
      <c r="E632" s="6"/>
      <c r="F632" s="4"/>
    </row>
    <row r="633" spans="2:6">
      <c r="B633" s="1"/>
      <c r="C633" s="1"/>
      <c r="D633" s="1"/>
      <c r="E633" s="6"/>
      <c r="F633" s="4"/>
    </row>
    <row r="634" spans="2:6">
      <c r="B634" s="1"/>
      <c r="C634" s="1"/>
      <c r="D634" s="1"/>
      <c r="E634" s="6"/>
      <c r="F634" s="4"/>
    </row>
    <row r="635" spans="2:6">
      <c r="B635" s="1"/>
      <c r="C635" s="1"/>
      <c r="D635" s="1"/>
      <c r="E635" s="6"/>
      <c r="F635" s="4"/>
    </row>
    <row r="636" spans="2:6">
      <c r="B636" s="1"/>
      <c r="C636" s="1"/>
      <c r="D636" s="1"/>
      <c r="E636" s="6"/>
      <c r="F636" s="4"/>
    </row>
    <row r="637" spans="2:6">
      <c r="B637" s="1"/>
      <c r="C637" s="1"/>
      <c r="D637" s="1"/>
      <c r="E637" s="6"/>
      <c r="F637" s="4"/>
    </row>
    <row r="638" spans="2:6">
      <c r="B638" s="1"/>
      <c r="C638" s="1"/>
      <c r="D638" s="1"/>
      <c r="E638" s="6"/>
      <c r="F638" s="4"/>
    </row>
    <row r="639" spans="2:6">
      <c r="B639" s="1"/>
      <c r="C639" s="1"/>
      <c r="D639" s="1"/>
      <c r="E639" s="6"/>
      <c r="F639" s="4"/>
    </row>
    <row r="640" spans="2:6">
      <c r="B640" s="1"/>
      <c r="C640" s="1"/>
      <c r="D640" s="1"/>
      <c r="E640" s="6"/>
      <c r="F640" s="4"/>
    </row>
    <row r="641" spans="2:6">
      <c r="B641" s="1"/>
      <c r="C641" s="1"/>
      <c r="D641" s="1"/>
      <c r="E641" s="6"/>
      <c r="F641" s="4"/>
    </row>
    <row r="642" spans="2:6">
      <c r="B642" s="1"/>
      <c r="C642" s="1"/>
      <c r="D642" s="1"/>
      <c r="E642" s="6"/>
      <c r="F642" s="4"/>
    </row>
    <row r="643" spans="2:6">
      <c r="B643" s="1"/>
      <c r="C643" s="1"/>
      <c r="D643" s="1"/>
      <c r="E643" s="6"/>
      <c r="F643" s="4"/>
    </row>
    <row r="644" spans="2:6">
      <c r="B644" s="1"/>
      <c r="C644" s="1"/>
      <c r="D644" s="1"/>
      <c r="E644" s="6"/>
      <c r="F644" s="4"/>
    </row>
    <row r="645" spans="2:6">
      <c r="B645" s="1"/>
      <c r="C645" s="1"/>
      <c r="D645" s="1"/>
      <c r="E645" s="6"/>
      <c r="F645" s="4"/>
    </row>
    <row r="646" spans="2:6">
      <c r="B646" s="1"/>
      <c r="C646" s="1"/>
      <c r="D646" s="1"/>
      <c r="E646" s="6"/>
      <c r="F646" s="4"/>
    </row>
    <row r="647" spans="2:6">
      <c r="B647" s="1"/>
      <c r="C647" s="1"/>
      <c r="D647" s="1"/>
      <c r="E647" s="6"/>
      <c r="F647" s="4"/>
    </row>
    <row r="648" spans="2:6">
      <c r="B648" s="1"/>
      <c r="C648" s="1"/>
      <c r="D648" s="1"/>
      <c r="E648" s="6"/>
      <c r="F648" s="4"/>
    </row>
    <row r="649" spans="2:6">
      <c r="B649" s="1"/>
      <c r="C649" s="1"/>
      <c r="D649" s="1"/>
      <c r="E649" s="6"/>
      <c r="F649" s="4"/>
    </row>
    <row r="650" spans="2:6">
      <c r="B650" s="1"/>
      <c r="C650" s="1"/>
      <c r="D650" s="1"/>
      <c r="E650" s="6"/>
      <c r="F650" s="4"/>
    </row>
    <row r="651" spans="2:6">
      <c r="B651" s="1"/>
      <c r="C651" s="1"/>
      <c r="D651" s="1"/>
      <c r="E651" s="6"/>
      <c r="F651" s="4"/>
    </row>
    <row r="652" spans="2:6">
      <c r="B652" s="1"/>
      <c r="C652" s="1"/>
      <c r="D652" s="1"/>
      <c r="E652" s="6"/>
      <c r="F652" s="4"/>
    </row>
    <row r="653" spans="2:6">
      <c r="B653" s="1"/>
      <c r="C653" s="1"/>
      <c r="D653" s="1"/>
      <c r="E653" s="6"/>
      <c r="F653" s="4"/>
    </row>
    <row r="654" spans="2:6">
      <c r="B654" s="1"/>
      <c r="C654" s="1"/>
      <c r="D654" s="1"/>
      <c r="E654" s="6"/>
      <c r="F654" s="4"/>
    </row>
    <row r="655" spans="2:6">
      <c r="B655" s="1"/>
      <c r="C655" s="1"/>
      <c r="D655" s="1"/>
      <c r="E655" s="6"/>
      <c r="F655" s="4"/>
    </row>
    <row r="656" spans="2:6">
      <c r="B656" s="1"/>
      <c r="C656" s="1"/>
      <c r="D656" s="1"/>
      <c r="E656" s="6"/>
      <c r="F656" s="4"/>
    </row>
    <row r="657" spans="2:6">
      <c r="B657" s="1"/>
      <c r="C657" s="1"/>
      <c r="D657" s="1"/>
      <c r="E657" s="6"/>
      <c r="F657" s="4"/>
    </row>
    <row r="658" spans="2:6">
      <c r="B658" s="1"/>
      <c r="C658" s="1"/>
      <c r="D658" s="1"/>
      <c r="E658" s="6"/>
      <c r="F658" s="4"/>
    </row>
    <row r="659" spans="2:6">
      <c r="B659" s="1"/>
      <c r="C659" s="1"/>
      <c r="D659" s="1"/>
      <c r="E659" s="6"/>
      <c r="F659" s="4"/>
    </row>
    <row r="660" spans="2:6">
      <c r="B660" s="1"/>
      <c r="C660" s="1"/>
      <c r="D660" s="1"/>
      <c r="E660" s="6"/>
      <c r="F660" s="4"/>
    </row>
    <row r="661" spans="2:6">
      <c r="B661" s="1"/>
      <c r="C661" s="1"/>
      <c r="D661" s="1"/>
      <c r="E661" s="6"/>
      <c r="F661" s="4"/>
    </row>
    <row r="662" spans="2:6">
      <c r="B662" s="1"/>
      <c r="C662" s="1"/>
      <c r="D662" s="1"/>
      <c r="E662" s="6"/>
      <c r="F662" s="4"/>
    </row>
    <row r="663" spans="2:6">
      <c r="B663" s="1"/>
      <c r="C663" s="1"/>
      <c r="D663" s="1"/>
      <c r="E663" s="6"/>
      <c r="F663" s="4"/>
    </row>
    <row r="664" spans="2:6">
      <c r="B664" s="1"/>
      <c r="C664" s="1"/>
      <c r="D664" s="1"/>
      <c r="E664" s="6"/>
      <c r="F664" s="4"/>
    </row>
    <row r="665" spans="2:6">
      <c r="B665" s="1"/>
      <c r="C665" s="1"/>
      <c r="D665" s="1"/>
      <c r="E665" s="6"/>
      <c r="F665" s="4"/>
    </row>
    <row r="666" spans="2:6">
      <c r="B666" s="1"/>
      <c r="C666" s="1"/>
      <c r="D666" s="1"/>
      <c r="E666" s="6"/>
      <c r="F666" s="4"/>
    </row>
    <row r="667" spans="2:6">
      <c r="B667" s="1"/>
      <c r="C667" s="1"/>
      <c r="D667" s="1"/>
      <c r="E667" s="6"/>
      <c r="F667" s="4"/>
    </row>
    <row r="668" spans="2:6">
      <c r="B668" s="1"/>
      <c r="C668" s="1"/>
      <c r="D668" s="1"/>
      <c r="E668" s="6"/>
      <c r="F668" s="4"/>
    </row>
    <row r="669" spans="2:6">
      <c r="B669" s="1"/>
      <c r="C669" s="1"/>
      <c r="D669" s="1"/>
      <c r="E669" s="6"/>
      <c r="F669" s="4"/>
    </row>
    <row r="670" spans="2:6">
      <c r="B670" s="1"/>
      <c r="C670" s="1"/>
      <c r="D670" s="1"/>
      <c r="E670" s="6"/>
      <c r="F670" s="4"/>
    </row>
    <row r="671" spans="2:6">
      <c r="B671" s="1"/>
      <c r="C671" s="1"/>
      <c r="D671" s="1"/>
      <c r="E671" s="6"/>
      <c r="F671" s="4"/>
    </row>
    <row r="672" spans="2:6">
      <c r="B672" s="1"/>
      <c r="C672" s="1"/>
      <c r="D672" s="1"/>
      <c r="E672" s="6"/>
      <c r="F672" s="4"/>
    </row>
    <row r="673" spans="2:6">
      <c r="B673" s="1"/>
      <c r="C673" s="1"/>
      <c r="D673" s="1"/>
      <c r="E673" s="6"/>
      <c r="F673" s="4"/>
    </row>
    <row r="674" spans="2:6">
      <c r="B674" s="1"/>
      <c r="C674" s="1"/>
      <c r="D674" s="1"/>
      <c r="E674" s="6"/>
      <c r="F674" s="4"/>
    </row>
    <row r="675" spans="2:6">
      <c r="B675" s="1"/>
      <c r="C675" s="1"/>
      <c r="D675" s="1"/>
      <c r="E675" s="6"/>
      <c r="F675" s="4"/>
    </row>
    <row r="676" spans="2:6">
      <c r="B676" s="1"/>
      <c r="C676" s="1"/>
      <c r="D676" s="1"/>
      <c r="E676" s="6"/>
      <c r="F676" s="4"/>
    </row>
    <row r="677" spans="2:6">
      <c r="B677" s="1"/>
      <c r="C677" s="1"/>
      <c r="D677" s="1"/>
      <c r="E677" s="6"/>
      <c r="F677" s="4"/>
    </row>
    <row r="678" spans="2:6">
      <c r="B678" s="1"/>
      <c r="C678" s="1"/>
      <c r="D678" s="1"/>
      <c r="E678" s="6"/>
      <c r="F678" s="4"/>
    </row>
    <row r="679" spans="2:6">
      <c r="B679" s="1"/>
      <c r="C679" s="1"/>
      <c r="D679" s="1"/>
      <c r="E679" s="6"/>
      <c r="F679" s="4"/>
    </row>
    <row r="680" spans="2:6">
      <c r="B680" s="1"/>
      <c r="C680" s="1"/>
      <c r="D680" s="1"/>
      <c r="E680" s="6"/>
      <c r="F680" s="4"/>
    </row>
    <row r="681" spans="2:6">
      <c r="B681" s="1"/>
      <c r="C681" s="1"/>
      <c r="D681" s="1"/>
      <c r="E681" s="6"/>
      <c r="F681" s="4"/>
    </row>
    <row r="682" spans="2:6">
      <c r="B682" s="1"/>
      <c r="C682" s="1"/>
      <c r="D682" s="1"/>
      <c r="E682" s="6"/>
      <c r="F682" s="4"/>
    </row>
    <row r="683" spans="2:6">
      <c r="B683" s="1"/>
      <c r="C683" s="1"/>
      <c r="D683" s="1"/>
      <c r="E683" s="6"/>
      <c r="F683" s="4"/>
    </row>
    <row r="684" spans="2:6">
      <c r="B684" s="1"/>
      <c r="C684" s="1"/>
      <c r="D684" s="1"/>
      <c r="E684" s="6"/>
      <c r="F684" s="4"/>
    </row>
    <row r="685" spans="2:6">
      <c r="B685" s="1"/>
      <c r="C685" s="1"/>
      <c r="D685" s="1"/>
      <c r="E685" s="6"/>
      <c r="F685" s="4"/>
    </row>
    <row r="686" spans="2:6">
      <c r="B686" s="1"/>
      <c r="C686" s="1"/>
      <c r="D686" s="1"/>
      <c r="E686" s="6"/>
      <c r="F686" s="4"/>
    </row>
    <row r="687" spans="2:6">
      <c r="B687" s="1"/>
      <c r="C687" s="1"/>
      <c r="D687" s="1"/>
      <c r="E687" s="6"/>
      <c r="F687" s="4"/>
    </row>
    <row r="688" spans="2:6">
      <c r="B688" s="1"/>
      <c r="C688" s="1"/>
      <c r="D688" s="1"/>
      <c r="E688" s="6"/>
      <c r="F688" s="4"/>
    </row>
    <row r="689" spans="2:6">
      <c r="B689" s="1"/>
      <c r="C689" s="1"/>
      <c r="D689" s="1"/>
      <c r="E689" s="6"/>
      <c r="F689" s="4"/>
    </row>
    <row r="690" spans="2:6">
      <c r="B690" s="1"/>
      <c r="C690" s="1"/>
      <c r="D690" s="1"/>
      <c r="E690" s="6"/>
      <c r="F690" s="4"/>
    </row>
    <row r="691" spans="2:6">
      <c r="B691" s="1"/>
      <c r="C691" s="1"/>
      <c r="D691" s="1"/>
      <c r="E691" s="6"/>
      <c r="F691" s="4"/>
    </row>
    <row r="692" spans="2:6">
      <c r="B692" s="1"/>
      <c r="C692" s="1"/>
      <c r="D692" s="1"/>
      <c r="E692" s="6"/>
      <c r="F692" s="4"/>
    </row>
    <row r="693" spans="2:6">
      <c r="B693" s="1"/>
      <c r="C693" s="1"/>
      <c r="D693" s="1"/>
      <c r="E693" s="6"/>
      <c r="F693" s="4"/>
    </row>
    <row r="694" spans="2:6">
      <c r="B694" s="1"/>
      <c r="C694" s="1"/>
      <c r="D694" s="1"/>
      <c r="E694" s="6"/>
      <c r="F694" s="4"/>
    </row>
    <row r="695" spans="2:6">
      <c r="B695" s="1"/>
      <c r="C695" s="1"/>
      <c r="D695" s="1"/>
      <c r="E695" s="6"/>
      <c r="F695" s="4"/>
    </row>
    <row r="696" spans="2:6">
      <c r="B696" s="1"/>
      <c r="C696" s="1"/>
      <c r="D696" s="1"/>
      <c r="E696" s="6"/>
      <c r="F696" s="4"/>
    </row>
    <row r="697" spans="2:6">
      <c r="B697" s="1"/>
      <c r="C697" s="1"/>
      <c r="D697" s="1"/>
      <c r="E697" s="6"/>
      <c r="F697" s="4"/>
    </row>
    <row r="698" spans="2:6">
      <c r="B698" s="1"/>
      <c r="C698" s="1"/>
      <c r="D698" s="1"/>
      <c r="E698" s="6"/>
      <c r="F698" s="4"/>
    </row>
    <row r="699" spans="2:6">
      <c r="B699" s="1"/>
      <c r="C699" s="1"/>
      <c r="D699" s="1"/>
      <c r="E699" s="6"/>
      <c r="F699" s="4"/>
    </row>
    <row r="700" spans="2:6">
      <c r="B700" s="1"/>
      <c r="C700" s="1"/>
      <c r="D700" s="1"/>
      <c r="E700" s="6"/>
      <c r="F700" s="4"/>
    </row>
    <row r="701" spans="2:6">
      <c r="B701" s="1"/>
      <c r="C701" s="1"/>
      <c r="D701" s="1"/>
      <c r="E701" s="6"/>
      <c r="F701" s="4"/>
    </row>
    <row r="702" spans="2:6">
      <c r="B702" s="1"/>
      <c r="C702" s="1"/>
      <c r="D702" s="1"/>
      <c r="E702" s="6"/>
      <c r="F702" s="4"/>
    </row>
    <row r="703" spans="2:6">
      <c r="B703" s="1"/>
      <c r="C703" s="1"/>
      <c r="D703" s="1"/>
      <c r="E703" s="6"/>
      <c r="F703" s="4"/>
    </row>
    <row r="704" spans="2:6">
      <c r="B704" s="1"/>
      <c r="C704" s="1"/>
      <c r="D704" s="1"/>
      <c r="E704" s="6"/>
      <c r="F704" s="4"/>
    </row>
    <row r="705" spans="2:6">
      <c r="B705" s="1"/>
      <c r="C705" s="1"/>
      <c r="D705" s="1"/>
      <c r="E705" s="6"/>
      <c r="F705" s="4"/>
    </row>
    <row r="706" spans="2:6">
      <c r="B706" s="1"/>
      <c r="C706" s="1"/>
      <c r="D706" s="1"/>
      <c r="E706" s="6"/>
      <c r="F706" s="4"/>
    </row>
    <row r="707" spans="2:6">
      <c r="B707" s="1"/>
      <c r="C707" s="1"/>
      <c r="D707" s="1"/>
      <c r="E707" s="6"/>
      <c r="F707" s="4"/>
    </row>
    <row r="708" spans="2:6">
      <c r="B708" s="1"/>
      <c r="C708" s="1"/>
      <c r="D708" s="1"/>
      <c r="E708" s="6"/>
      <c r="F708" s="4"/>
    </row>
    <row r="709" spans="2:6">
      <c r="B709" s="1"/>
      <c r="C709" s="1"/>
      <c r="D709" s="1"/>
      <c r="E709" s="6"/>
      <c r="F709" s="4"/>
    </row>
    <row r="710" spans="2:6">
      <c r="B710" s="1"/>
      <c r="C710" s="1"/>
      <c r="D710" s="1"/>
      <c r="E710" s="6"/>
      <c r="F710" s="4"/>
    </row>
    <row r="711" spans="2:6">
      <c r="B711" s="1"/>
      <c r="C711" s="1"/>
      <c r="D711" s="1"/>
      <c r="E711" s="6"/>
      <c r="F711" s="4"/>
    </row>
    <row r="712" spans="2:6">
      <c r="B712" s="1"/>
      <c r="C712" s="1"/>
      <c r="D712" s="1"/>
      <c r="E712" s="6"/>
      <c r="F712" s="4"/>
    </row>
    <row r="713" spans="2:6">
      <c r="B713" s="1"/>
      <c r="C713" s="1"/>
      <c r="D713" s="1"/>
      <c r="E713" s="6"/>
      <c r="F713" s="4"/>
    </row>
    <row r="714" spans="2:6">
      <c r="B714" s="1"/>
      <c r="C714" s="1"/>
      <c r="D714" s="1"/>
      <c r="E714" s="6"/>
      <c r="F714" s="4"/>
    </row>
    <row r="715" spans="2:6">
      <c r="B715" s="1"/>
      <c r="C715" s="1"/>
      <c r="D715" s="1"/>
      <c r="E715" s="6"/>
      <c r="F715" s="4"/>
    </row>
    <row r="716" spans="2:6">
      <c r="B716" s="1"/>
      <c r="C716" s="1"/>
      <c r="D716" s="1"/>
      <c r="E716" s="6"/>
      <c r="F716" s="4"/>
    </row>
    <row r="717" spans="2:6">
      <c r="B717" s="1"/>
      <c r="C717" s="1"/>
      <c r="D717" s="1"/>
      <c r="E717" s="6"/>
      <c r="F717" s="4"/>
    </row>
    <row r="718" spans="2:6">
      <c r="B718" s="1"/>
      <c r="C718" s="1"/>
      <c r="D718" s="1"/>
      <c r="E718" s="6"/>
      <c r="F718" s="4"/>
    </row>
    <row r="719" spans="2:6">
      <c r="B719" s="1"/>
      <c r="C719" s="1"/>
      <c r="D719" s="1"/>
      <c r="E719" s="6"/>
      <c r="F719" s="4"/>
    </row>
    <row r="720" spans="2:6">
      <c r="B720" s="1"/>
      <c r="C720" s="1"/>
      <c r="D720" s="1"/>
      <c r="E720" s="6"/>
      <c r="F720" s="4"/>
    </row>
    <row r="721" spans="2:6">
      <c r="B721" s="1"/>
      <c r="C721" s="1"/>
      <c r="D721" s="1"/>
      <c r="E721" s="6"/>
      <c r="F721" s="4"/>
    </row>
    <row r="722" spans="2:6">
      <c r="B722" s="1"/>
      <c r="C722" s="1"/>
      <c r="D722" s="1"/>
      <c r="E722" s="6"/>
      <c r="F722" s="4"/>
    </row>
    <row r="723" spans="2:6">
      <c r="B723" s="1"/>
      <c r="C723" s="1"/>
      <c r="D723" s="1"/>
      <c r="E723" s="6"/>
      <c r="F723" s="4"/>
    </row>
    <row r="724" spans="2:6">
      <c r="B724" s="1"/>
      <c r="C724" s="1"/>
      <c r="D724" s="1"/>
      <c r="E724" s="6"/>
      <c r="F724" s="4"/>
    </row>
    <row r="725" spans="2:6">
      <c r="B725" s="1"/>
      <c r="C725" s="1"/>
      <c r="D725" s="1"/>
      <c r="E725" s="6"/>
      <c r="F725" s="4"/>
    </row>
    <row r="726" spans="2:6">
      <c r="B726" s="1"/>
      <c r="C726" s="1"/>
      <c r="D726" s="1"/>
      <c r="E726" s="6"/>
      <c r="F726" s="4"/>
    </row>
    <row r="727" spans="2:6">
      <c r="B727" s="1"/>
      <c r="C727" s="1"/>
      <c r="D727" s="1"/>
      <c r="E727" s="6"/>
      <c r="F727" s="4"/>
    </row>
    <row r="728" spans="2:6">
      <c r="B728" s="1"/>
      <c r="C728" s="1"/>
      <c r="D728" s="1"/>
      <c r="E728" s="6"/>
      <c r="F728" s="4"/>
    </row>
    <row r="729" spans="2:6">
      <c r="B729" s="1"/>
      <c r="C729" s="1"/>
      <c r="D729" s="1"/>
      <c r="E729" s="6"/>
      <c r="F729" s="4"/>
    </row>
    <row r="730" spans="2:6">
      <c r="B730" s="1"/>
      <c r="C730" s="1"/>
      <c r="D730" s="1"/>
      <c r="E730" s="6"/>
      <c r="F730" s="4"/>
    </row>
    <row r="731" spans="2:6">
      <c r="B731" s="1"/>
      <c r="C731" s="1"/>
      <c r="D731" s="1"/>
      <c r="E731" s="6"/>
      <c r="F731" s="4"/>
    </row>
    <row r="732" spans="2:6">
      <c r="B732" s="1"/>
      <c r="C732" s="1"/>
      <c r="D732" s="1"/>
      <c r="E732" s="6"/>
      <c r="F732" s="4"/>
    </row>
    <row r="733" spans="2:6">
      <c r="B733" s="1"/>
      <c r="C733" s="1"/>
      <c r="D733" s="1"/>
      <c r="E733" s="6"/>
      <c r="F733" s="4"/>
    </row>
    <row r="734" spans="2:6">
      <c r="B734" s="1"/>
      <c r="C734" s="1"/>
      <c r="D734" s="1"/>
      <c r="E734" s="6"/>
      <c r="F734" s="4"/>
    </row>
    <row r="735" spans="2:6">
      <c r="B735" s="1"/>
      <c r="C735" s="1"/>
      <c r="D735" s="1"/>
      <c r="E735" s="6"/>
      <c r="F735" s="4"/>
    </row>
    <row r="736" spans="2:6">
      <c r="B736" s="1"/>
      <c r="C736" s="1"/>
      <c r="D736" s="1"/>
      <c r="E736" s="6"/>
      <c r="F736" s="4"/>
    </row>
    <row r="737" spans="2:6">
      <c r="B737" s="1"/>
      <c r="C737" s="1"/>
      <c r="D737" s="1"/>
      <c r="E737" s="6"/>
      <c r="F737" s="4"/>
    </row>
    <row r="738" spans="2:6">
      <c r="B738" s="1"/>
      <c r="C738" s="1"/>
      <c r="D738" s="1"/>
      <c r="E738" s="6"/>
      <c r="F738" s="4"/>
    </row>
    <row r="739" spans="2:6">
      <c r="B739" s="1"/>
      <c r="C739" s="1"/>
      <c r="D739" s="1"/>
      <c r="E739" s="6"/>
      <c r="F739" s="4"/>
    </row>
    <row r="740" spans="2:6">
      <c r="B740" s="1"/>
      <c r="C740" s="1"/>
      <c r="D740" s="1"/>
      <c r="E740" s="6"/>
      <c r="F740" s="4"/>
    </row>
    <row r="741" spans="2:6">
      <c r="B741" s="1"/>
      <c r="C741" s="1"/>
      <c r="D741" s="1"/>
      <c r="E741" s="6"/>
      <c r="F741" s="4"/>
    </row>
    <row r="742" spans="2:6">
      <c r="B742" s="1"/>
      <c r="C742" s="1"/>
      <c r="D742" s="1"/>
      <c r="E742" s="6"/>
      <c r="F742" s="4"/>
    </row>
    <row r="743" spans="2:6">
      <c r="B743" s="1"/>
      <c r="C743" s="1"/>
      <c r="D743" s="1"/>
      <c r="E743" s="6"/>
      <c r="F743" s="4"/>
    </row>
    <row r="744" spans="2:6">
      <c r="B744" s="1"/>
      <c r="C744" s="1"/>
      <c r="D744" s="1"/>
      <c r="E744" s="6"/>
      <c r="F744" s="4"/>
    </row>
    <row r="745" spans="2:6">
      <c r="B745" s="1"/>
      <c r="C745" s="1"/>
      <c r="D745" s="1"/>
      <c r="E745" s="6"/>
      <c r="F745" s="4"/>
    </row>
    <row r="746" spans="2:6">
      <c r="B746" s="1"/>
      <c r="C746" s="1"/>
      <c r="D746" s="1"/>
      <c r="E746" s="6"/>
      <c r="F746" s="4"/>
    </row>
    <row r="747" spans="2:6">
      <c r="B747" s="1"/>
      <c r="C747" s="1"/>
      <c r="D747" s="1"/>
      <c r="E747" s="6"/>
      <c r="F747" s="4"/>
    </row>
    <row r="748" spans="2:6">
      <c r="B748" s="1"/>
      <c r="C748" s="1"/>
      <c r="D748" s="1"/>
      <c r="E748" s="6"/>
      <c r="F748" s="4"/>
    </row>
    <row r="749" spans="2:6">
      <c r="B749" s="1"/>
      <c r="C749" s="1"/>
      <c r="D749" s="1"/>
      <c r="E749" s="6"/>
      <c r="F749" s="4"/>
    </row>
    <row r="750" spans="2:6">
      <c r="B750" s="1"/>
      <c r="C750" s="1"/>
      <c r="D750" s="1"/>
      <c r="E750" s="6"/>
      <c r="F750" s="4"/>
    </row>
    <row r="751" spans="2:6">
      <c r="B751" s="1"/>
      <c r="C751" s="1"/>
      <c r="D751" s="1"/>
      <c r="E751" s="6"/>
      <c r="F751" s="4"/>
    </row>
    <row r="752" spans="2:6">
      <c r="B752" s="1"/>
      <c r="C752" s="1"/>
      <c r="D752" s="1"/>
      <c r="E752" s="6"/>
      <c r="F752" s="4"/>
    </row>
    <row r="753" spans="2:6">
      <c r="B753" s="1"/>
      <c r="C753" s="1"/>
      <c r="D753" s="1"/>
      <c r="E753" s="6"/>
      <c r="F753" s="4"/>
    </row>
    <row r="754" spans="2:6">
      <c r="B754" s="1"/>
      <c r="C754" s="1"/>
      <c r="D754" s="1"/>
      <c r="E754" s="6"/>
      <c r="F754" s="4"/>
    </row>
    <row r="755" spans="2:6">
      <c r="B755" s="1"/>
      <c r="C755" s="1"/>
      <c r="D755" s="1"/>
      <c r="E755" s="6"/>
      <c r="F755" s="4"/>
    </row>
    <row r="756" spans="2:6">
      <c r="B756" s="1"/>
      <c r="C756" s="1"/>
      <c r="D756" s="1"/>
      <c r="E756" s="6"/>
      <c r="F756" s="4"/>
    </row>
    <row r="757" spans="2:6">
      <c r="B757" s="1"/>
      <c r="C757" s="1"/>
      <c r="D757" s="1"/>
      <c r="E757" s="6"/>
      <c r="F757" s="4"/>
    </row>
    <row r="758" spans="2:6">
      <c r="B758" s="1"/>
      <c r="C758" s="1"/>
      <c r="D758" s="1"/>
      <c r="E758" s="6"/>
      <c r="F758" s="4"/>
    </row>
    <row r="759" spans="2:6">
      <c r="B759" s="1"/>
      <c r="C759" s="1"/>
      <c r="D759" s="1"/>
      <c r="E759" s="6"/>
      <c r="F759" s="4"/>
    </row>
    <row r="760" spans="2:6">
      <c r="B760" s="1"/>
      <c r="C760" s="1"/>
      <c r="D760" s="1"/>
      <c r="E760" s="6"/>
      <c r="F760" s="4"/>
    </row>
    <row r="761" spans="2:6">
      <c r="B761" s="1"/>
      <c r="C761" s="1"/>
      <c r="D761" s="1"/>
      <c r="E761" s="6"/>
      <c r="F761" s="4"/>
    </row>
    <row r="762" spans="2:6">
      <c r="B762" s="1"/>
      <c r="C762" s="1"/>
      <c r="D762" s="1"/>
      <c r="E762" s="6"/>
      <c r="F762" s="4"/>
    </row>
    <row r="763" spans="2:6">
      <c r="B763" s="1"/>
      <c r="C763" s="1"/>
      <c r="D763" s="1"/>
      <c r="E763" s="6"/>
      <c r="F763" s="4"/>
    </row>
    <row r="764" spans="2:6">
      <c r="B764" s="1"/>
      <c r="C764" s="1"/>
      <c r="D764" s="1"/>
      <c r="E764" s="6"/>
      <c r="F764" s="4"/>
    </row>
    <row r="765" spans="2:6">
      <c r="B765" s="1"/>
      <c r="C765" s="1"/>
      <c r="D765" s="1"/>
      <c r="E765" s="6"/>
      <c r="F765" s="4"/>
    </row>
    <row r="766" spans="2:6">
      <c r="B766" s="1"/>
      <c r="C766" s="1"/>
      <c r="D766" s="1"/>
      <c r="E766" s="6"/>
      <c r="F766" s="4"/>
    </row>
    <row r="767" spans="2:6">
      <c r="B767" s="1"/>
      <c r="C767" s="1"/>
      <c r="D767" s="1"/>
      <c r="E767" s="6"/>
      <c r="F767" s="4"/>
    </row>
    <row r="768" spans="2:6">
      <c r="B768" s="1"/>
      <c r="C768" s="1"/>
      <c r="D768" s="1"/>
      <c r="E768" s="6"/>
      <c r="F768" s="4"/>
    </row>
    <row r="769" spans="2:6">
      <c r="B769" s="1"/>
      <c r="C769" s="1"/>
      <c r="D769" s="1"/>
      <c r="E769" s="6"/>
      <c r="F769" s="4"/>
    </row>
    <row r="770" spans="2:6">
      <c r="B770" s="1"/>
      <c r="C770" s="1"/>
      <c r="D770" s="1"/>
      <c r="E770" s="6"/>
      <c r="F770" s="4"/>
    </row>
    <row r="771" spans="2:6">
      <c r="B771" s="1"/>
      <c r="C771" s="1"/>
      <c r="D771" s="1"/>
      <c r="E771" s="6"/>
      <c r="F771" s="4"/>
    </row>
    <row r="772" spans="2:6">
      <c r="B772" s="1"/>
      <c r="C772" s="1"/>
      <c r="D772" s="1"/>
      <c r="E772" s="6"/>
      <c r="F772" s="4"/>
    </row>
    <row r="773" spans="2:6">
      <c r="B773" s="1"/>
      <c r="C773" s="1"/>
      <c r="D773" s="1"/>
      <c r="E773" s="6"/>
      <c r="F773" s="4"/>
    </row>
    <row r="774" spans="2:6">
      <c r="B774" s="1"/>
      <c r="C774" s="1"/>
      <c r="D774" s="1"/>
      <c r="E774" s="6"/>
      <c r="F774" s="4"/>
    </row>
    <row r="775" spans="2:6">
      <c r="B775" s="1"/>
      <c r="C775" s="1"/>
      <c r="D775" s="1"/>
      <c r="E775" s="6"/>
      <c r="F775" s="4"/>
    </row>
    <row r="776" spans="2:6">
      <c r="B776" s="1"/>
      <c r="C776" s="1"/>
      <c r="D776" s="1"/>
      <c r="E776" s="6"/>
      <c r="F776" s="4"/>
    </row>
    <row r="777" spans="2:6">
      <c r="B777" s="1"/>
      <c r="C777" s="1"/>
      <c r="D777" s="1"/>
      <c r="E777" s="6"/>
      <c r="F777" s="4"/>
    </row>
    <row r="778" spans="2:6">
      <c r="B778" s="1"/>
      <c r="C778" s="1"/>
      <c r="D778" s="1"/>
      <c r="E778" s="6"/>
      <c r="F778" s="4"/>
    </row>
    <row r="779" spans="2:6">
      <c r="B779" s="1"/>
      <c r="C779" s="1"/>
      <c r="D779" s="1"/>
      <c r="E779" s="6"/>
      <c r="F779" s="4"/>
    </row>
    <row r="780" spans="2:6">
      <c r="B780" s="1"/>
      <c r="C780" s="1"/>
      <c r="D780" s="1"/>
      <c r="E780" s="6"/>
      <c r="F780" s="4"/>
    </row>
    <row r="781" spans="2:6">
      <c r="B781" s="1"/>
      <c r="C781" s="1"/>
      <c r="D781" s="1"/>
      <c r="E781" s="6"/>
      <c r="F781" s="4"/>
    </row>
    <row r="782" spans="2:6">
      <c r="B782" s="1"/>
      <c r="C782" s="1"/>
      <c r="D782" s="1"/>
      <c r="E782" s="6"/>
      <c r="F782" s="4"/>
    </row>
    <row r="783" spans="2:6">
      <c r="B783" s="1"/>
      <c r="C783" s="1"/>
      <c r="D783" s="1"/>
      <c r="E783" s="6"/>
      <c r="F783" s="4"/>
    </row>
    <row r="784" spans="2:6">
      <c r="B784" s="1"/>
      <c r="C784" s="1"/>
      <c r="D784" s="1"/>
      <c r="E784" s="6"/>
      <c r="F784" s="4"/>
    </row>
    <row r="785" spans="2:6">
      <c r="B785" s="1"/>
      <c r="C785" s="1"/>
      <c r="D785" s="1"/>
      <c r="E785" s="6"/>
      <c r="F785" s="4"/>
    </row>
    <row r="786" spans="2:6">
      <c r="B786" s="1"/>
      <c r="C786" s="1"/>
      <c r="D786" s="1"/>
      <c r="E786" s="6"/>
      <c r="F786" s="4"/>
    </row>
    <row r="787" spans="2:6">
      <c r="B787" s="1"/>
      <c r="C787" s="1"/>
      <c r="D787" s="1"/>
      <c r="E787" s="6"/>
      <c r="F787" s="4"/>
    </row>
    <row r="788" spans="2:6">
      <c r="B788" s="1"/>
      <c r="C788" s="1"/>
      <c r="D788" s="1"/>
      <c r="E788" s="6"/>
      <c r="F788" s="4"/>
    </row>
    <row r="789" spans="2:6">
      <c r="B789" s="1"/>
      <c r="C789" s="1"/>
      <c r="D789" s="1"/>
      <c r="E789" s="6"/>
      <c r="F789" s="4"/>
    </row>
    <row r="790" spans="2:6">
      <c r="B790" s="1"/>
      <c r="C790" s="1"/>
      <c r="D790" s="1"/>
      <c r="E790" s="6"/>
      <c r="F790" s="4"/>
    </row>
    <row r="791" spans="2:6">
      <c r="B791" s="1"/>
      <c r="C791" s="1"/>
      <c r="D791" s="1"/>
      <c r="E791" s="6"/>
      <c r="F791" s="4"/>
    </row>
    <row r="792" spans="2:6">
      <c r="B792" s="1"/>
      <c r="C792" s="1"/>
      <c r="D792" s="1"/>
      <c r="E792" s="6"/>
      <c r="F792" s="4"/>
    </row>
    <row r="793" spans="2:6">
      <c r="B793" s="1"/>
      <c r="C793" s="1"/>
      <c r="D793" s="1"/>
      <c r="E793" s="6"/>
      <c r="F793" s="4"/>
    </row>
    <row r="794" spans="2:6">
      <c r="B794" s="1"/>
      <c r="C794" s="1"/>
      <c r="D794" s="1"/>
      <c r="E794" s="6"/>
      <c r="F794" s="4"/>
    </row>
    <row r="795" spans="2:6">
      <c r="B795" s="1"/>
      <c r="C795" s="1"/>
      <c r="D795" s="1"/>
      <c r="E795" s="6"/>
      <c r="F795" s="4"/>
    </row>
    <row r="796" spans="2:6">
      <c r="B796" s="1"/>
      <c r="C796" s="1"/>
      <c r="D796" s="1"/>
      <c r="E796" s="6"/>
      <c r="F796" s="4"/>
    </row>
    <row r="797" spans="2:6">
      <c r="B797" s="1"/>
      <c r="C797" s="1"/>
      <c r="D797" s="1"/>
      <c r="E797" s="6"/>
      <c r="F797" s="4"/>
    </row>
    <row r="798" spans="2:6">
      <c r="B798" s="1"/>
      <c r="C798" s="1"/>
      <c r="D798" s="1"/>
      <c r="E798" s="6"/>
      <c r="F798" s="4"/>
    </row>
    <row r="799" spans="2:6">
      <c r="B799" s="1"/>
      <c r="C799" s="1"/>
      <c r="D799" s="1"/>
      <c r="E799" s="6"/>
      <c r="F799" s="4"/>
    </row>
    <row r="800" spans="2:6">
      <c r="B800" s="1"/>
      <c r="C800" s="1"/>
      <c r="D800" s="1"/>
      <c r="E800" s="6"/>
      <c r="F800" s="4"/>
    </row>
    <row r="801" spans="2:6">
      <c r="B801" s="1"/>
      <c r="C801" s="1"/>
      <c r="D801" s="1"/>
      <c r="E801" s="6"/>
      <c r="F801" s="4"/>
    </row>
    <row r="802" spans="2:6">
      <c r="B802" s="1"/>
      <c r="C802" s="1"/>
      <c r="D802" s="1"/>
      <c r="E802" s="6"/>
      <c r="F802" s="4"/>
    </row>
    <row r="803" spans="2:6">
      <c r="B803" s="1"/>
      <c r="C803" s="1"/>
      <c r="D803" s="1"/>
      <c r="E803" s="6"/>
      <c r="F803" s="4"/>
    </row>
    <row r="804" spans="2:6">
      <c r="B804" s="1"/>
      <c r="C804" s="1"/>
      <c r="D804" s="1"/>
      <c r="E804" s="6"/>
      <c r="F804" s="4"/>
    </row>
    <row r="805" spans="2:6">
      <c r="B805" s="1"/>
      <c r="C805" s="1"/>
      <c r="D805" s="1"/>
      <c r="E805" s="6"/>
      <c r="F805" s="4"/>
    </row>
    <row r="806" spans="2:6">
      <c r="B806" s="1"/>
      <c r="C806" s="1"/>
      <c r="D806" s="1"/>
      <c r="E806" s="6"/>
      <c r="F806" s="4"/>
    </row>
    <row r="807" spans="2:6">
      <c r="B807" s="1"/>
      <c r="C807" s="1"/>
      <c r="D807" s="1"/>
      <c r="E807" s="6"/>
      <c r="F807" s="4"/>
    </row>
    <row r="808" spans="2:6">
      <c r="B808" s="1"/>
      <c r="C808" s="1"/>
      <c r="D808" s="1"/>
      <c r="E808" s="6"/>
      <c r="F808" s="4"/>
    </row>
    <row r="809" spans="2:6">
      <c r="B809" s="1"/>
      <c r="C809" s="1"/>
      <c r="D809" s="1"/>
      <c r="E809" s="6"/>
      <c r="F809" s="4"/>
    </row>
    <row r="810" spans="2:6">
      <c r="B810" s="1"/>
      <c r="C810" s="1"/>
      <c r="D810" s="1"/>
      <c r="E810" s="6"/>
      <c r="F810" s="4"/>
    </row>
    <row r="811" spans="2:6">
      <c r="B811" s="1"/>
      <c r="C811" s="1"/>
      <c r="D811" s="1"/>
      <c r="E811" s="6"/>
      <c r="F811" s="4"/>
    </row>
    <row r="812" spans="2:6">
      <c r="B812" s="1"/>
      <c r="C812" s="1"/>
      <c r="D812" s="1"/>
      <c r="E812" s="6"/>
      <c r="F812" s="4"/>
    </row>
    <row r="813" spans="2:6">
      <c r="B813" s="1"/>
      <c r="C813" s="1"/>
      <c r="D813" s="1"/>
      <c r="E813" s="6"/>
      <c r="F813" s="4"/>
    </row>
    <row r="814" spans="2:6">
      <c r="B814" s="1"/>
      <c r="C814" s="1"/>
      <c r="D814" s="1"/>
      <c r="E814" s="6"/>
      <c r="F814" s="4"/>
    </row>
    <row r="815" spans="2:6">
      <c r="B815" s="1"/>
      <c r="C815" s="1"/>
      <c r="D815" s="1"/>
      <c r="E815" s="6"/>
      <c r="F815" s="4"/>
    </row>
    <row r="816" spans="2:6">
      <c r="B816" s="1"/>
      <c r="C816" s="1"/>
      <c r="D816" s="1"/>
      <c r="E816" s="6"/>
      <c r="F816" s="4"/>
    </row>
    <row r="817" spans="2:6">
      <c r="B817" s="1"/>
      <c r="C817" s="1"/>
      <c r="D817" s="1"/>
      <c r="E817" s="6"/>
      <c r="F817" s="4"/>
    </row>
    <row r="818" spans="2:6">
      <c r="B818" s="1"/>
      <c r="C818" s="1"/>
      <c r="D818" s="1"/>
      <c r="E818" s="6"/>
      <c r="F818" s="4"/>
    </row>
    <row r="819" spans="2:6">
      <c r="B819" s="1"/>
      <c r="C819" s="1"/>
      <c r="D819" s="1"/>
      <c r="E819" s="6"/>
      <c r="F819" s="4"/>
    </row>
    <row r="820" spans="2:6">
      <c r="B820" s="1"/>
      <c r="C820" s="1"/>
      <c r="D820" s="1"/>
      <c r="E820" s="6"/>
      <c r="F820" s="4"/>
    </row>
    <row r="821" spans="2:6">
      <c r="B821" s="1"/>
      <c r="C821" s="1"/>
      <c r="D821" s="1"/>
      <c r="E821" s="6"/>
      <c r="F821" s="4"/>
    </row>
    <row r="822" spans="2:6">
      <c r="B822" s="1"/>
      <c r="C822" s="1"/>
      <c r="D822" s="1"/>
      <c r="E822" s="6"/>
      <c r="F822" s="4"/>
    </row>
    <row r="823" spans="2:6">
      <c r="B823" s="1"/>
      <c r="C823" s="1"/>
      <c r="D823" s="1"/>
      <c r="E823" s="6"/>
      <c r="F823" s="4"/>
    </row>
    <row r="824" spans="2:6">
      <c r="B824" s="1"/>
      <c r="C824" s="1"/>
      <c r="D824" s="1"/>
      <c r="E824" s="6"/>
      <c r="F824" s="4"/>
    </row>
    <row r="825" spans="2:6">
      <c r="B825" s="1"/>
      <c r="C825" s="1"/>
      <c r="D825" s="1"/>
      <c r="E825" s="6"/>
      <c r="F825" s="4"/>
    </row>
    <row r="826" spans="2:6">
      <c r="B826" s="1"/>
      <c r="C826" s="1"/>
      <c r="D826" s="1"/>
      <c r="E826" s="6"/>
      <c r="F826" s="4"/>
    </row>
    <row r="827" spans="2:6">
      <c r="B827" s="1"/>
      <c r="C827" s="1"/>
      <c r="D827" s="1"/>
      <c r="E827" s="6"/>
      <c r="F827" s="4"/>
    </row>
    <row r="828" spans="2:6">
      <c r="B828" s="1"/>
      <c r="C828" s="1"/>
      <c r="D828" s="1"/>
      <c r="E828" s="6"/>
      <c r="F828" s="4"/>
    </row>
    <row r="829" spans="2:6">
      <c r="B829" s="1"/>
      <c r="C829" s="1"/>
      <c r="D829" s="1"/>
      <c r="E829" s="6"/>
      <c r="F829" s="4"/>
    </row>
    <row r="830" spans="2:6">
      <c r="B830" s="1"/>
      <c r="C830" s="1"/>
      <c r="D830" s="1"/>
      <c r="E830" s="6"/>
      <c r="F830" s="4"/>
    </row>
    <row r="831" spans="2:6">
      <c r="B831" s="1"/>
      <c r="C831" s="1"/>
      <c r="D831" s="1"/>
      <c r="E831" s="6"/>
      <c r="F831" s="4"/>
    </row>
    <row r="832" spans="2:6">
      <c r="B832" s="1"/>
      <c r="C832" s="1"/>
      <c r="D832" s="1"/>
      <c r="E832" s="6"/>
      <c r="F832" s="4"/>
    </row>
    <row r="833" spans="2:6">
      <c r="B833" s="1"/>
      <c r="C833" s="1"/>
      <c r="D833" s="1"/>
      <c r="E833" s="6"/>
      <c r="F833" s="4"/>
    </row>
    <row r="834" spans="2:6">
      <c r="B834" s="1"/>
      <c r="C834" s="1"/>
      <c r="D834" s="1"/>
      <c r="E834" s="6"/>
      <c r="F834" s="4"/>
    </row>
    <row r="835" spans="2:6">
      <c r="B835" s="1"/>
      <c r="C835" s="1"/>
      <c r="D835" s="1"/>
      <c r="E835" s="6"/>
      <c r="F835" s="4"/>
    </row>
    <row r="836" spans="2:6">
      <c r="B836" s="1"/>
      <c r="C836" s="1"/>
      <c r="D836" s="1"/>
      <c r="E836" s="6"/>
      <c r="F836" s="4"/>
    </row>
    <row r="837" spans="2:6">
      <c r="B837" s="1"/>
      <c r="C837" s="1"/>
      <c r="D837" s="1"/>
      <c r="E837" s="6"/>
      <c r="F837" s="4"/>
    </row>
    <row r="838" spans="2:6">
      <c r="B838" s="1"/>
      <c r="C838" s="1"/>
      <c r="D838" s="1"/>
      <c r="E838" s="6"/>
      <c r="F838" s="4"/>
    </row>
    <row r="839" spans="2:6">
      <c r="B839" s="1"/>
      <c r="C839" s="1"/>
      <c r="D839" s="1"/>
      <c r="E839" s="6"/>
      <c r="F839" s="4"/>
    </row>
    <row r="840" spans="2:6">
      <c r="B840" s="1"/>
      <c r="C840" s="1"/>
      <c r="D840" s="1"/>
      <c r="E840" s="6"/>
      <c r="F840" s="4"/>
    </row>
    <row r="841" spans="2:6">
      <c r="B841" s="1"/>
      <c r="C841" s="1"/>
      <c r="D841" s="1"/>
      <c r="E841" s="6"/>
      <c r="F841" s="4"/>
    </row>
    <row r="842" spans="2:6">
      <c r="B842" s="1"/>
      <c r="C842" s="1"/>
      <c r="D842" s="1"/>
      <c r="E842" s="6"/>
      <c r="F842" s="4"/>
    </row>
    <row r="843" spans="2:6">
      <c r="B843" s="1"/>
      <c r="C843" s="1"/>
      <c r="D843" s="1"/>
      <c r="E843" s="6"/>
      <c r="F843" s="4"/>
    </row>
    <row r="844" spans="2:6">
      <c r="B844" s="1"/>
      <c r="C844" s="1"/>
      <c r="D844" s="1"/>
      <c r="E844" s="6"/>
      <c r="F844" s="4"/>
    </row>
    <row r="845" spans="2:6">
      <c r="B845" s="1"/>
      <c r="C845" s="1"/>
      <c r="D845" s="1"/>
      <c r="E845" s="6"/>
      <c r="F845" s="4"/>
    </row>
    <row r="846" spans="2:6">
      <c r="B846" s="1"/>
      <c r="C846" s="1"/>
      <c r="D846" s="1"/>
      <c r="E846" s="6"/>
      <c r="F846" s="4"/>
    </row>
    <row r="847" spans="2:6">
      <c r="B847" s="1"/>
      <c r="C847" s="1"/>
      <c r="D847" s="1"/>
      <c r="E847" s="6"/>
      <c r="F847" s="4"/>
    </row>
    <row r="848" spans="2:6">
      <c r="B848" s="1"/>
      <c r="C848" s="1"/>
      <c r="D848" s="1"/>
      <c r="E848" s="6"/>
      <c r="F848" s="4"/>
    </row>
    <row r="849" spans="2:6">
      <c r="B849" s="1"/>
      <c r="C849" s="1"/>
      <c r="D849" s="1"/>
      <c r="E849" s="6"/>
      <c r="F849" s="4"/>
    </row>
    <row r="850" spans="2:6">
      <c r="B850" s="1"/>
      <c r="C850" s="1"/>
      <c r="D850" s="1"/>
      <c r="E850" s="6"/>
      <c r="F850" s="4"/>
    </row>
    <row r="851" spans="2:6">
      <c r="B851" s="1"/>
      <c r="C851" s="1"/>
      <c r="D851" s="1"/>
      <c r="E851" s="6"/>
      <c r="F851" s="4"/>
    </row>
    <row r="852" spans="2:6">
      <c r="B852" s="1"/>
      <c r="C852" s="1"/>
      <c r="D852" s="1"/>
      <c r="E852" s="6"/>
      <c r="F852" s="4"/>
    </row>
    <row r="853" spans="2:6">
      <c r="B853" s="1"/>
      <c r="C853" s="1"/>
      <c r="D853" s="1"/>
      <c r="E853" s="6"/>
      <c r="F853" s="4"/>
    </row>
    <row r="854" spans="2:6">
      <c r="B854" s="1"/>
      <c r="C854" s="1"/>
      <c r="D854" s="1"/>
      <c r="E854" s="6"/>
      <c r="F854" s="4"/>
    </row>
    <row r="855" spans="2:6">
      <c r="B855" s="1"/>
      <c r="C855" s="1"/>
      <c r="D855" s="1"/>
      <c r="E855" s="6"/>
      <c r="F855" s="4"/>
    </row>
    <row r="856" spans="2:6">
      <c r="B856" s="1"/>
      <c r="C856" s="1"/>
      <c r="D856" s="1"/>
      <c r="E856" s="6"/>
      <c r="F856" s="4"/>
    </row>
    <row r="857" spans="2:6">
      <c r="B857" s="1"/>
      <c r="C857" s="1"/>
      <c r="D857" s="1"/>
      <c r="E857" s="6"/>
      <c r="F857" s="4"/>
    </row>
    <row r="858" spans="2:6">
      <c r="B858" s="1"/>
      <c r="C858" s="1"/>
      <c r="D858" s="1"/>
      <c r="E858" s="6"/>
      <c r="F858" s="4"/>
    </row>
    <row r="859" spans="2:6">
      <c r="B859" s="1"/>
      <c r="C859" s="1"/>
      <c r="D859" s="1"/>
      <c r="E859" s="6"/>
      <c r="F859" s="4"/>
    </row>
    <row r="860" spans="2:6">
      <c r="B860" s="1"/>
      <c r="C860" s="1"/>
      <c r="D860" s="1"/>
      <c r="E860" s="6"/>
      <c r="F860" s="4"/>
    </row>
    <row r="861" spans="2:6">
      <c r="B861" s="1"/>
      <c r="C861" s="1"/>
      <c r="D861" s="1"/>
      <c r="E861" s="6"/>
      <c r="F861" s="4"/>
    </row>
    <row r="862" spans="2:6">
      <c r="B862" s="1"/>
      <c r="C862" s="1"/>
      <c r="D862" s="1"/>
      <c r="E862" s="6"/>
      <c r="F862" s="4"/>
    </row>
    <row r="863" spans="2:6">
      <c r="B863" s="1"/>
      <c r="C863" s="1"/>
      <c r="D863" s="1"/>
      <c r="E863" s="6"/>
      <c r="F863" s="4"/>
    </row>
    <row r="864" spans="2:6">
      <c r="B864" s="1"/>
      <c r="C864" s="1"/>
      <c r="D864" s="1"/>
      <c r="E864" s="6"/>
      <c r="F864" s="4"/>
    </row>
    <row r="865" spans="2:6">
      <c r="B865" s="1"/>
      <c r="C865" s="1"/>
      <c r="D865" s="1"/>
      <c r="E865" s="6"/>
      <c r="F865" s="4"/>
    </row>
    <row r="866" spans="2:6">
      <c r="B866" s="1"/>
      <c r="C866" s="1"/>
      <c r="D866" s="1"/>
      <c r="E866" s="6"/>
      <c r="F866" s="4"/>
    </row>
    <row r="867" spans="2:6">
      <c r="B867" s="1"/>
      <c r="C867" s="1"/>
      <c r="D867" s="1"/>
      <c r="E867" s="6"/>
      <c r="F867" s="4"/>
    </row>
    <row r="868" spans="2:6">
      <c r="B868" s="1"/>
      <c r="C868" s="1"/>
      <c r="D868" s="1"/>
      <c r="E868" s="6"/>
      <c r="F868" s="4"/>
    </row>
    <row r="869" spans="2:6">
      <c r="B869" s="1"/>
      <c r="C869" s="1"/>
      <c r="D869" s="1"/>
      <c r="E869" s="6"/>
      <c r="F869" s="4"/>
    </row>
    <row r="870" spans="2:6">
      <c r="B870" s="1"/>
      <c r="C870" s="1"/>
      <c r="D870" s="1"/>
      <c r="E870" s="6"/>
      <c r="F870" s="4"/>
    </row>
    <row r="871" spans="2:6">
      <c r="B871" s="1"/>
      <c r="C871" s="1"/>
      <c r="D871" s="1"/>
      <c r="E871" s="6"/>
      <c r="F871" s="4"/>
    </row>
    <row r="872" spans="2:6">
      <c r="B872" s="1"/>
      <c r="C872" s="1"/>
      <c r="D872" s="1"/>
      <c r="E872" s="6"/>
      <c r="F872" s="4"/>
    </row>
    <row r="873" spans="2:6">
      <c r="B873" s="1"/>
      <c r="C873" s="1"/>
      <c r="D873" s="1"/>
      <c r="E873" s="6"/>
      <c r="F873" s="4"/>
    </row>
    <row r="874" spans="2:6">
      <c r="B874" s="1"/>
      <c r="C874" s="1"/>
      <c r="D874" s="1"/>
      <c r="E874" s="6"/>
      <c r="F874" s="4"/>
    </row>
    <row r="875" spans="2:6">
      <c r="B875" s="1"/>
      <c r="C875" s="1"/>
      <c r="D875" s="1"/>
      <c r="E875" s="6"/>
      <c r="F875" s="4"/>
    </row>
    <row r="876" spans="2:6">
      <c r="B876" s="1"/>
      <c r="C876" s="1"/>
      <c r="D876" s="1"/>
      <c r="E876" s="6"/>
      <c r="F876" s="4"/>
    </row>
    <row r="877" spans="2:6">
      <c r="B877" s="1"/>
      <c r="C877" s="1"/>
      <c r="D877" s="1"/>
      <c r="E877" s="6"/>
      <c r="F877" s="4"/>
    </row>
    <row r="878" spans="2:6">
      <c r="B878" s="1"/>
      <c r="C878" s="1"/>
      <c r="D878" s="1"/>
      <c r="E878" s="6"/>
      <c r="F878" s="4"/>
    </row>
    <row r="879" spans="2:6">
      <c r="B879" s="1"/>
      <c r="C879" s="1"/>
      <c r="D879" s="1"/>
      <c r="E879" s="6"/>
      <c r="F879" s="4"/>
    </row>
    <row r="880" spans="2:6">
      <c r="B880" s="1"/>
      <c r="C880" s="1"/>
      <c r="D880" s="1"/>
      <c r="E880" s="6"/>
      <c r="F880" s="4"/>
    </row>
    <row r="881" spans="2:6">
      <c r="B881" s="1"/>
      <c r="C881" s="1"/>
      <c r="D881" s="1"/>
      <c r="E881" s="6"/>
      <c r="F881" s="4"/>
    </row>
    <row r="882" spans="2:6">
      <c r="B882" s="1"/>
      <c r="C882" s="1"/>
      <c r="D882" s="1"/>
      <c r="E882" s="6"/>
      <c r="F882" s="4"/>
    </row>
    <row r="883" spans="2:6">
      <c r="B883" s="1"/>
      <c r="C883" s="1"/>
      <c r="D883" s="1"/>
      <c r="E883" s="6"/>
      <c r="F883" s="4"/>
    </row>
    <row r="884" spans="2:6">
      <c r="B884" s="1"/>
      <c r="C884" s="1"/>
      <c r="D884" s="1"/>
      <c r="E884" s="6"/>
      <c r="F884" s="4"/>
    </row>
    <row r="885" spans="2:6">
      <c r="B885" s="1"/>
      <c r="C885" s="1"/>
      <c r="D885" s="1"/>
      <c r="E885" s="6"/>
      <c r="F885" s="4"/>
    </row>
    <row r="886" spans="2:6">
      <c r="B886" s="1"/>
      <c r="C886" s="1"/>
      <c r="D886" s="1"/>
      <c r="E886" s="6"/>
      <c r="F886" s="4"/>
    </row>
    <row r="887" spans="2:6">
      <c r="B887" s="1"/>
      <c r="C887" s="1"/>
      <c r="D887" s="1"/>
      <c r="E887" s="6"/>
      <c r="F887" s="4"/>
    </row>
    <row r="888" spans="2:6">
      <c r="B888" s="1"/>
      <c r="C888" s="1"/>
      <c r="D888" s="1"/>
      <c r="E888" s="6"/>
      <c r="F888" s="4"/>
    </row>
    <row r="889" spans="2:6">
      <c r="B889" s="1"/>
      <c r="C889" s="1"/>
      <c r="D889" s="1"/>
      <c r="E889" s="6"/>
      <c r="F889" s="4"/>
    </row>
    <row r="890" spans="2:6">
      <c r="B890" s="1"/>
      <c r="C890" s="1"/>
      <c r="D890" s="1"/>
      <c r="E890" s="6"/>
      <c r="F890" s="4"/>
    </row>
    <row r="891" spans="2:6">
      <c r="B891" s="1"/>
      <c r="C891" s="1"/>
      <c r="D891" s="1"/>
      <c r="E891" s="6"/>
      <c r="F891" s="4"/>
    </row>
    <row r="892" spans="2:6">
      <c r="B892" s="1"/>
      <c r="C892" s="1"/>
      <c r="D892" s="1"/>
      <c r="E892" s="6"/>
      <c r="F892" s="4"/>
    </row>
    <row r="893" spans="2:6">
      <c r="B893" s="1"/>
      <c r="C893" s="1"/>
      <c r="D893" s="1"/>
      <c r="E893" s="6"/>
      <c r="F893" s="4"/>
    </row>
    <row r="894" spans="2:6">
      <c r="B894" s="1"/>
      <c r="C894" s="1"/>
      <c r="D894" s="1"/>
      <c r="E894" s="6"/>
      <c r="F894" s="4"/>
    </row>
    <row r="895" spans="2:6">
      <c r="B895" s="1"/>
      <c r="C895" s="1"/>
      <c r="D895" s="1"/>
      <c r="E895" s="6"/>
      <c r="F895" s="4"/>
    </row>
    <row r="896" spans="2:6">
      <c r="B896" s="1"/>
      <c r="C896" s="1"/>
      <c r="D896" s="1"/>
      <c r="E896" s="6"/>
      <c r="F896" s="4"/>
    </row>
    <row r="897" spans="2:6">
      <c r="B897" s="1"/>
      <c r="C897" s="1"/>
      <c r="D897" s="1"/>
      <c r="E897" s="6"/>
      <c r="F897" s="4"/>
    </row>
    <row r="898" spans="2:6">
      <c r="B898" s="1"/>
      <c r="C898" s="1"/>
      <c r="D898" s="1"/>
      <c r="E898" s="6"/>
      <c r="F898" s="4"/>
    </row>
    <row r="899" spans="2:6">
      <c r="B899" s="1"/>
      <c r="C899" s="1"/>
      <c r="D899" s="1"/>
      <c r="E899" s="6"/>
      <c r="F899" s="4"/>
    </row>
    <row r="900" spans="2:6">
      <c r="B900" s="1"/>
      <c r="C900" s="1"/>
      <c r="D900" s="1"/>
      <c r="E900" s="6"/>
      <c r="F900" s="4"/>
    </row>
    <row r="901" spans="2:6">
      <c r="B901" s="1"/>
      <c r="C901" s="1"/>
      <c r="D901" s="1"/>
      <c r="E901" s="6"/>
      <c r="F901" s="4"/>
    </row>
    <row r="902" spans="2:6">
      <c r="B902" s="1"/>
      <c r="C902" s="1"/>
      <c r="D902" s="1"/>
      <c r="E902" s="6"/>
      <c r="F902" s="4"/>
    </row>
    <row r="903" spans="2:6">
      <c r="B903" s="1"/>
      <c r="C903" s="1"/>
      <c r="D903" s="1"/>
      <c r="E903" s="6"/>
      <c r="F903" s="4"/>
    </row>
    <row r="904" spans="2:6">
      <c r="B904" s="1"/>
      <c r="C904" s="1"/>
      <c r="D904" s="1"/>
      <c r="E904" s="6"/>
      <c r="F904" s="4"/>
    </row>
    <row r="905" spans="2:6">
      <c r="B905" s="1"/>
      <c r="C905" s="1"/>
      <c r="D905" s="1"/>
      <c r="E905" s="6"/>
      <c r="F905" s="4"/>
    </row>
    <row r="906" spans="2:6">
      <c r="B906" s="1"/>
      <c r="C906" s="1"/>
      <c r="D906" s="1"/>
      <c r="E906" s="6"/>
      <c r="F906" s="4"/>
    </row>
    <row r="907" spans="2:6">
      <c r="B907" s="1"/>
      <c r="C907" s="1"/>
      <c r="D907" s="1"/>
      <c r="E907" s="6"/>
      <c r="F907" s="4"/>
    </row>
    <row r="908" spans="2:6">
      <c r="B908" s="1"/>
      <c r="C908" s="1"/>
      <c r="D908" s="1"/>
      <c r="E908" s="6"/>
      <c r="F908" s="4"/>
    </row>
    <row r="909" spans="2:6">
      <c r="B909" s="1"/>
      <c r="C909" s="1"/>
      <c r="D909" s="1"/>
      <c r="E909" s="6"/>
      <c r="F909" s="4"/>
    </row>
    <row r="910" spans="2:6">
      <c r="B910" s="1"/>
      <c r="C910" s="1"/>
      <c r="D910" s="1"/>
      <c r="E910" s="6"/>
      <c r="F910" s="4"/>
    </row>
    <row r="911" spans="2:6">
      <c r="B911" s="1"/>
      <c r="C911" s="1"/>
      <c r="D911" s="1"/>
      <c r="E911" s="6"/>
      <c r="F911" s="4"/>
    </row>
    <row r="912" spans="2:6">
      <c r="B912" s="1"/>
      <c r="C912" s="1"/>
      <c r="D912" s="1"/>
      <c r="E912" s="6"/>
      <c r="F912" s="4"/>
    </row>
    <row r="913" spans="2:6">
      <c r="B913" s="1"/>
      <c r="C913" s="1"/>
      <c r="D913" s="1"/>
      <c r="E913" s="6"/>
      <c r="F913" s="4"/>
    </row>
    <row r="914" spans="2:6">
      <c r="B914" s="1"/>
      <c r="C914" s="1"/>
      <c r="D914" s="1"/>
      <c r="E914" s="6"/>
      <c r="F914" s="4"/>
    </row>
    <row r="915" spans="2:6">
      <c r="B915" s="1"/>
      <c r="C915" s="1"/>
      <c r="D915" s="1"/>
      <c r="E915" s="6"/>
      <c r="F915" s="4"/>
    </row>
    <row r="916" spans="2:6">
      <c r="B916" s="1"/>
      <c r="C916" s="1"/>
      <c r="D916" s="1"/>
      <c r="E916" s="6"/>
      <c r="F916" s="4"/>
    </row>
    <row r="917" spans="2:6">
      <c r="B917" s="1"/>
      <c r="C917" s="1"/>
      <c r="D917" s="1"/>
      <c r="E917" s="6"/>
      <c r="F917" s="4"/>
    </row>
    <row r="918" spans="2:6">
      <c r="B918" s="1"/>
      <c r="C918" s="1"/>
      <c r="D918" s="1"/>
      <c r="E918" s="6"/>
      <c r="F918" s="4"/>
    </row>
    <row r="919" spans="2:6">
      <c r="B919" s="1"/>
      <c r="C919" s="1"/>
      <c r="D919" s="1"/>
      <c r="E919" s="6"/>
      <c r="F919" s="4"/>
    </row>
    <row r="920" spans="2:6">
      <c r="B920" s="1"/>
      <c r="C920" s="1"/>
      <c r="D920" s="1"/>
      <c r="E920" s="6"/>
      <c r="F920" s="4"/>
    </row>
    <row r="921" spans="2:6">
      <c r="B921" s="1"/>
      <c r="C921" s="1"/>
      <c r="D921" s="1"/>
      <c r="E921" s="6"/>
      <c r="F921" s="4"/>
    </row>
    <row r="922" spans="2:6">
      <c r="B922" s="1"/>
      <c r="C922" s="1"/>
      <c r="D922" s="1"/>
      <c r="E922" s="6"/>
      <c r="F922" s="4"/>
    </row>
    <row r="923" spans="2:6">
      <c r="B923" s="1"/>
      <c r="C923" s="1"/>
      <c r="D923" s="1"/>
      <c r="E923" s="6"/>
      <c r="F923" s="4"/>
    </row>
    <row r="924" spans="2:6">
      <c r="B924" s="1"/>
      <c r="C924" s="1"/>
      <c r="D924" s="1"/>
      <c r="E924" s="6"/>
      <c r="F924" s="4"/>
    </row>
    <row r="925" spans="2:6">
      <c r="B925" s="1"/>
      <c r="C925" s="1"/>
      <c r="D925" s="1"/>
      <c r="E925" s="6"/>
      <c r="F925" s="4"/>
    </row>
    <row r="926" spans="2:6">
      <c r="B926" s="1"/>
      <c r="C926" s="1"/>
      <c r="D926" s="1"/>
      <c r="E926" s="6"/>
      <c r="F926" s="4"/>
    </row>
    <row r="927" spans="2:6">
      <c r="B927" s="1"/>
      <c r="C927" s="1"/>
      <c r="D927" s="1"/>
      <c r="E927" s="6"/>
      <c r="F927" s="4"/>
    </row>
    <row r="928" spans="2:6">
      <c r="B928" s="1"/>
      <c r="C928" s="1"/>
      <c r="D928" s="1"/>
      <c r="E928" s="6"/>
      <c r="F928" s="4"/>
    </row>
    <row r="929" spans="2:6">
      <c r="B929" s="1"/>
      <c r="C929" s="1"/>
      <c r="D929" s="1"/>
      <c r="E929" s="6"/>
      <c r="F929" s="4"/>
    </row>
    <row r="930" spans="2:6">
      <c r="B930" s="1"/>
      <c r="C930" s="1"/>
      <c r="D930" s="1"/>
      <c r="E930" s="6"/>
      <c r="F930" s="4"/>
    </row>
    <row r="931" spans="2:6">
      <c r="B931" s="1"/>
      <c r="C931" s="1"/>
      <c r="D931" s="1"/>
      <c r="E931" s="6"/>
      <c r="F931" s="4"/>
    </row>
    <row r="932" spans="2:6">
      <c r="B932" s="1"/>
      <c r="C932" s="1"/>
      <c r="D932" s="1"/>
      <c r="E932" s="6"/>
      <c r="F932" s="4"/>
    </row>
    <row r="933" spans="2:6">
      <c r="B933" s="1"/>
      <c r="C933" s="1"/>
      <c r="D933" s="1"/>
      <c r="E933" s="6"/>
      <c r="F933" s="4"/>
    </row>
    <row r="934" spans="2:6">
      <c r="B934" s="1"/>
      <c r="C934" s="1"/>
      <c r="D934" s="1"/>
      <c r="E934" s="6"/>
      <c r="F934" s="4"/>
    </row>
    <row r="935" spans="2:6">
      <c r="B935" s="1"/>
      <c r="C935" s="1"/>
      <c r="D935" s="1"/>
      <c r="E935" s="6"/>
      <c r="F935" s="4"/>
    </row>
    <row r="936" spans="2:6">
      <c r="B936" s="1"/>
      <c r="C936" s="1"/>
      <c r="D936" s="1"/>
      <c r="E936" s="6"/>
      <c r="F936" s="4"/>
    </row>
    <row r="937" spans="2:6">
      <c r="B937" s="1"/>
      <c r="C937" s="1"/>
      <c r="D937" s="1"/>
      <c r="E937" s="6"/>
      <c r="F937" s="4"/>
    </row>
    <row r="938" spans="2:6">
      <c r="B938" s="1"/>
      <c r="C938" s="1"/>
      <c r="D938" s="1"/>
      <c r="E938" s="6"/>
      <c r="F938" s="4"/>
    </row>
    <row r="939" spans="2:6">
      <c r="B939" s="1"/>
      <c r="C939" s="1"/>
      <c r="D939" s="1"/>
      <c r="E939" s="6"/>
      <c r="F939" s="4"/>
    </row>
    <row r="940" spans="2:6">
      <c r="B940" s="1"/>
      <c r="C940" s="1"/>
      <c r="D940" s="1"/>
      <c r="E940" s="6"/>
      <c r="F940" s="4"/>
    </row>
    <row r="941" spans="2:6">
      <c r="B941" s="1"/>
      <c r="C941" s="1"/>
      <c r="D941" s="1"/>
      <c r="E941" s="6"/>
      <c r="F941" s="4"/>
    </row>
    <row r="942" spans="2:6">
      <c r="B942" s="1"/>
      <c r="C942" s="1"/>
      <c r="D942" s="1"/>
      <c r="E942" s="6"/>
      <c r="F942" s="4"/>
    </row>
    <row r="943" spans="2:6">
      <c r="B943" s="1"/>
      <c r="C943" s="1"/>
      <c r="D943" s="1"/>
      <c r="E943" s="6"/>
      <c r="F943" s="4"/>
    </row>
    <row r="944" spans="2:6">
      <c r="B944" s="1"/>
      <c r="C944" s="1"/>
      <c r="D944" s="1"/>
      <c r="E944" s="6"/>
      <c r="F944" s="4"/>
    </row>
    <row r="945" spans="2:6">
      <c r="B945" s="1"/>
      <c r="C945" s="1"/>
      <c r="D945" s="1"/>
      <c r="E945" s="6"/>
      <c r="F945" s="4"/>
    </row>
    <row r="946" spans="2:6">
      <c r="B946" s="1"/>
      <c r="C946" s="1"/>
      <c r="D946" s="1"/>
      <c r="E946" s="6"/>
      <c r="F946" s="4"/>
    </row>
    <row r="947" spans="2:6">
      <c r="B947" s="1"/>
      <c r="C947" s="1"/>
      <c r="D947" s="1"/>
      <c r="E947" s="6"/>
      <c r="F947" s="4"/>
    </row>
    <row r="948" spans="2:6">
      <c r="B948" s="1"/>
      <c r="C948" s="1"/>
      <c r="D948" s="1"/>
      <c r="E948" s="6"/>
      <c r="F948" s="4"/>
    </row>
    <row r="949" spans="2:6">
      <c r="B949" s="1"/>
      <c r="C949" s="1"/>
      <c r="D949" s="1"/>
      <c r="E949" s="6"/>
      <c r="F949" s="4"/>
    </row>
    <row r="950" spans="2:6">
      <c r="B950" s="1"/>
      <c r="C950" s="1"/>
      <c r="D950" s="1"/>
      <c r="E950" s="6"/>
      <c r="F950" s="4"/>
    </row>
    <row r="951" spans="2:6">
      <c r="B951" s="1"/>
      <c r="C951" s="1"/>
      <c r="D951" s="1"/>
      <c r="E951" s="6"/>
      <c r="F951" s="4"/>
    </row>
    <row r="952" spans="2:6">
      <c r="B952" s="1"/>
      <c r="C952" s="1"/>
      <c r="D952" s="1"/>
      <c r="E952" s="6"/>
      <c r="F952" s="4"/>
    </row>
    <row r="953" spans="2:6">
      <c r="B953" s="1"/>
      <c r="C953" s="1"/>
      <c r="D953" s="1"/>
      <c r="E953" s="6"/>
      <c r="F953" s="4"/>
    </row>
    <row r="954" spans="2:6">
      <c r="B954" s="1"/>
      <c r="C954" s="1"/>
      <c r="D954" s="1"/>
      <c r="E954" s="6"/>
      <c r="F954" s="4"/>
    </row>
    <row r="955" spans="2:6">
      <c r="B955" s="1"/>
      <c r="C955" s="1"/>
      <c r="D955" s="1"/>
      <c r="E955" s="6"/>
      <c r="F955" s="4"/>
    </row>
    <row r="956" spans="2:6">
      <c r="B956" s="1"/>
      <c r="C956" s="1"/>
      <c r="D956" s="1"/>
      <c r="E956" s="6"/>
      <c r="F956" s="4"/>
    </row>
    <row r="957" spans="2:6">
      <c r="B957" s="1"/>
      <c r="C957" s="1"/>
      <c r="D957" s="1"/>
      <c r="E957" s="6"/>
      <c r="F957" s="4"/>
    </row>
    <row r="958" spans="2:6">
      <c r="B958" s="1"/>
      <c r="C958" s="1"/>
      <c r="D958" s="1"/>
      <c r="E958" s="6"/>
      <c r="F958" s="4"/>
    </row>
    <row r="959" spans="2:6">
      <c r="B959" s="1"/>
      <c r="C959" s="1"/>
      <c r="D959" s="1"/>
      <c r="E959" s="6"/>
      <c r="F959" s="4"/>
    </row>
    <row r="960" spans="2:6">
      <c r="B960" s="1"/>
      <c r="C960" s="1"/>
      <c r="D960" s="1"/>
      <c r="E960" s="6"/>
      <c r="F960" s="4"/>
    </row>
    <row r="961" spans="2:6">
      <c r="B961" s="1"/>
      <c r="C961" s="1"/>
      <c r="D961" s="1"/>
      <c r="E961" s="6"/>
      <c r="F961" s="4"/>
    </row>
    <row r="962" spans="2:6">
      <c r="B962" s="1"/>
      <c r="C962" s="1"/>
      <c r="D962" s="1"/>
      <c r="E962" s="6"/>
      <c r="F962" s="4"/>
    </row>
    <row r="963" spans="2:6">
      <c r="B963" s="1"/>
      <c r="C963" s="1"/>
      <c r="D963" s="1"/>
      <c r="E963" s="6"/>
      <c r="F963" s="4"/>
    </row>
    <row r="964" spans="2:6">
      <c r="B964" s="1"/>
      <c r="C964" s="1"/>
      <c r="D964" s="1"/>
      <c r="E964" s="6"/>
      <c r="F964" s="4"/>
    </row>
    <row r="965" spans="2:6">
      <c r="B965" s="1"/>
      <c r="C965" s="1"/>
      <c r="D965" s="1"/>
      <c r="E965" s="6"/>
      <c r="F965" s="4"/>
    </row>
    <row r="966" spans="2:6">
      <c r="B966" s="1"/>
      <c r="C966" s="1"/>
      <c r="D966" s="1"/>
      <c r="E966" s="6"/>
      <c r="F966" s="4"/>
    </row>
    <row r="967" spans="2:6">
      <c r="B967" s="1"/>
      <c r="C967" s="1"/>
      <c r="D967" s="1"/>
      <c r="E967" s="6"/>
      <c r="F967" s="4"/>
    </row>
    <row r="968" spans="2:6">
      <c r="B968" s="1"/>
      <c r="C968" s="1"/>
      <c r="D968" s="1"/>
      <c r="E968" s="6"/>
      <c r="F968" s="4"/>
    </row>
    <row r="969" spans="2:6">
      <c r="B969" s="1"/>
      <c r="C969" s="1"/>
      <c r="D969" s="1"/>
      <c r="E969" s="6"/>
      <c r="F969" s="4"/>
    </row>
    <row r="970" spans="2:6">
      <c r="B970" s="1"/>
      <c r="C970" s="1"/>
      <c r="D970" s="1"/>
      <c r="E970" s="6"/>
      <c r="F970" s="4"/>
    </row>
    <row r="971" spans="2:6">
      <c r="B971" s="1"/>
      <c r="C971" s="1"/>
      <c r="D971" s="1"/>
      <c r="E971" s="6"/>
      <c r="F971" s="4"/>
    </row>
    <row r="972" spans="2:6">
      <c r="B972" s="1"/>
      <c r="C972" s="1"/>
      <c r="D972" s="1"/>
      <c r="E972" s="6"/>
      <c r="F972" s="4"/>
    </row>
    <row r="973" spans="2:6">
      <c r="B973" s="1"/>
      <c r="C973" s="1"/>
      <c r="D973" s="1"/>
      <c r="E973" s="6"/>
      <c r="F973" s="4"/>
    </row>
    <row r="974" spans="2:6">
      <c r="B974" s="1"/>
      <c r="C974" s="1"/>
      <c r="D974" s="1"/>
      <c r="E974" s="6"/>
      <c r="F974" s="4"/>
    </row>
    <row r="975" spans="2:6">
      <c r="B975" s="1"/>
      <c r="C975" s="1"/>
      <c r="D975" s="1"/>
      <c r="E975" s="6"/>
      <c r="F975" s="4"/>
    </row>
    <row r="976" spans="2:6">
      <c r="B976" s="1"/>
      <c r="C976" s="1"/>
      <c r="D976" s="1"/>
      <c r="E976" s="6"/>
      <c r="F976" s="4"/>
    </row>
    <row r="977" spans="2:6">
      <c r="B977" s="1"/>
      <c r="C977" s="1"/>
      <c r="D977" s="1"/>
      <c r="E977" s="6"/>
      <c r="F977" s="4"/>
    </row>
    <row r="978" spans="2:6">
      <c r="B978" s="1"/>
      <c r="C978" s="1"/>
      <c r="D978" s="1"/>
      <c r="E978" s="6"/>
      <c r="F978" s="4"/>
    </row>
    <row r="979" spans="2:6">
      <c r="B979" s="1"/>
      <c r="C979" s="1"/>
      <c r="D979" s="1"/>
      <c r="E979" s="6"/>
      <c r="F979" s="4"/>
    </row>
    <row r="980" spans="2:6">
      <c r="B980" s="1"/>
      <c r="C980" s="1"/>
      <c r="D980" s="1"/>
      <c r="E980" s="6"/>
      <c r="F980" s="4"/>
    </row>
    <row r="981" spans="2:6">
      <c r="B981" s="1"/>
      <c r="C981" s="1"/>
      <c r="D981" s="1"/>
      <c r="E981" s="6"/>
      <c r="F981" s="4"/>
    </row>
    <row r="982" spans="2:6">
      <c r="B982" s="1"/>
      <c r="C982" s="1"/>
      <c r="D982" s="1"/>
      <c r="E982" s="6"/>
      <c r="F982" s="4"/>
    </row>
    <row r="983" spans="2:6">
      <c r="B983" s="1"/>
      <c r="C983" s="1"/>
      <c r="D983" s="1"/>
      <c r="E983" s="6"/>
      <c r="F983" s="4"/>
    </row>
    <row r="984" spans="2:6">
      <c r="B984" s="1"/>
      <c r="C984" s="1"/>
      <c r="D984" s="1"/>
      <c r="E984" s="6"/>
      <c r="F984" s="4"/>
    </row>
    <row r="985" spans="2:6">
      <c r="B985" s="1"/>
      <c r="C985" s="1"/>
      <c r="D985" s="1"/>
      <c r="E985" s="6"/>
      <c r="F985" s="4"/>
    </row>
    <row r="986" spans="2:6">
      <c r="B986" s="1"/>
      <c r="C986" s="1"/>
      <c r="D986" s="1"/>
      <c r="E986" s="6"/>
      <c r="F986" s="4"/>
    </row>
    <row r="987" spans="2:6">
      <c r="B987" s="1"/>
      <c r="C987" s="1"/>
      <c r="D987" s="1"/>
      <c r="E987" s="6"/>
      <c r="F987" s="4"/>
    </row>
    <row r="988" spans="2:6">
      <c r="B988" s="1"/>
      <c r="C988" s="1"/>
      <c r="D988" s="1"/>
      <c r="E988" s="6"/>
      <c r="F988" s="4"/>
    </row>
    <row r="989" spans="2:6">
      <c r="B989" s="1"/>
      <c r="C989" s="1"/>
      <c r="D989" s="1"/>
      <c r="E989" s="6"/>
      <c r="F989" s="4"/>
    </row>
    <row r="990" spans="2:6">
      <c r="B990" s="1"/>
      <c r="C990" s="1"/>
      <c r="D990" s="1"/>
      <c r="E990" s="6"/>
      <c r="F990" s="4"/>
    </row>
    <row r="991" spans="2:6">
      <c r="B991" s="1"/>
      <c r="C991" s="1"/>
      <c r="D991" s="1"/>
      <c r="E991" s="6"/>
      <c r="F991" s="4"/>
    </row>
    <row r="992" spans="2:6">
      <c r="B992" s="1"/>
      <c r="C992" s="1"/>
      <c r="D992" s="1"/>
      <c r="E992" s="6"/>
      <c r="F992" s="4"/>
    </row>
    <row r="993" spans="2:6">
      <c r="B993" s="1"/>
      <c r="C993" s="1"/>
      <c r="D993" s="1"/>
      <c r="E993" s="6"/>
      <c r="F993" s="4"/>
    </row>
    <row r="994" spans="2:6">
      <c r="B994" s="1"/>
      <c r="C994" s="1"/>
      <c r="D994" s="1"/>
      <c r="E994" s="6"/>
      <c r="F994" s="4"/>
    </row>
    <row r="995" spans="2:6">
      <c r="B995" s="1"/>
      <c r="C995" s="1"/>
      <c r="D995" s="1"/>
      <c r="E995" s="6"/>
      <c r="F995" s="4"/>
    </row>
    <row r="996" spans="2:6">
      <c r="B996" s="1"/>
      <c r="C996" s="1"/>
      <c r="D996" s="1"/>
      <c r="E996" s="6"/>
      <c r="F996" s="4"/>
    </row>
    <row r="997" spans="2:6">
      <c r="B997" s="1"/>
      <c r="C997" s="1"/>
      <c r="D997" s="1"/>
      <c r="E997" s="6"/>
      <c r="F997" s="4"/>
    </row>
    <row r="998" spans="2:6">
      <c r="B998" s="1"/>
      <c r="C998" s="1"/>
      <c r="D998" s="1"/>
      <c r="E998" s="6"/>
      <c r="F998" s="4"/>
    </row>
    <row r="999" spans="2:6">
      <c r="B999" s="1"/>
      <c r="C999" s="1"/>
      <c r="D999" s="1"/>
      <c r="E999" s="6"/>
      <c r="F999" s="4"/>
    </row>
    <row r="1000" spans="2:6">
      <c r="B1000" s="1"/>
      <c r="C1000" s="1"/>
      <c r="D1000" s="1"/>
      <c r="E1000" s="6"/>
      <c r="F1000" s="4"/>
    </row>
    <row r="1001" spans="2:6">
      <c r="B1001" s="1"/>
      <c r="C1001" s="1"/>
      <c r="D1001" s="1"/>
      <c r="E1001" s="6"/>
      <c r="F1001" s="4"/>
    </row>
    <row r="1002" spans="2:6">
      <c r="B1002" s="1"/>
      <c r="C1002" s="1"/>
      <c r="D1002" s="1"/>
      <c r="E1002" s="6"/>
      <c r="F1002" s="4"/>
    </row>
    <row r="1003" spans="2:6">
      <c r="B1003" s="1"/>
      <c r="C1003" s="1"/>
      <c r="D1003" s="1"/>
      <c r="E1003" s="6"/>
      <c r="F1003" s="4"/>
    </row>
    <row r="1004" spans="2:6">
      <c r="B1004" s="1"/>
      <c r="C1004" s="1"/>
      <c r="D1004" s="1"/>
      <c r="E1004" s="6"/>
      <c r="F1004" s="4"/>
    </row>
    <row r="1005" spans="2:6">
      <c r="B1005" s="1"/>
      <c r="C1005" s="1"/>
      <c r="D1005" s="1"/>
      <c r="E1005" s="6"/>
      <c r="F1005" s="4"/>
    </row>
    <row r="1006" spans="2:6">
      <c r="B1006" s="1"/>
      <c r="C1006" s="1"/>
      <c r="D1006" s="1"/>
      <c r="E1006" s="6"/>
      <c r="F1006" s="4"/>
    </row>
    <row r="1007" spans="2:6">
      <c r="B1007" s="1"/>
      <c r="C1007" s="1"/>
      <c r="D1007" s="1"/>
      <c r="E1007" s="6"/>
      <c r="F1007" s="4"/>
    </row>
    <row r="1008" spans="2:6">
      <c r="B1008" s="1"/>
      <c r="C1008" s="1"/>
      <c r="D1008" s="1"/>
      <c r="E1008" s="6"/>
      <c r="F1008" s="4"/>
    </row>
    <row r="1009" spans="2:6">
      <c r="B1009" s="1"/>
      <c r="C1009" s="1"/>
      <c r="D1009" s="1"/>
      <c r="E1009" s="6"/>
      <c r="F1009" s="4"/>
    </row>
    <row r="1010" spans="2:6">
      <c r="B1010" s="1"/>
      <c r="C1010" s="1"/>
      <c r="D1010" s="1"/>
      <c r="E1010" s="6"/>
      <c r="F1010" s="4"/>
    </row>
    <row r="1011" spans="2:6">
      <c r="B1011" s="1"/>
      <c r="C1011" s="1"/>
      <c r="D1011" s="1"/>
      <c r="E1011" s="6"/>
      <c r="F1011" s="4"/>
    </row>
    <row r="1012" spans="2:6">
      <c r="B1012" s="1"/>
      <c r="C1012" s="1"/>
      <c r="D1012" s="1"/>
      <c r="E1012" s="6"/>
      <c r="F1012" s="4"/>
    </row>
    <row r="1013" spans="2:6">
      <c r="B1013" s="1"/>
      <c r="C1013" s="1"/>
      <c r="D1013" s="1"/>
      <c r="E1013" s="6"/>
      <c r="F1013" s="4"/>
    </row>
    <row r="1014" spans="2:6">
      <c r="B1014" s="1"/>
      <c r="C1014" s="1"/>
      <c r="D1014" s="1"/>
      <c r="E1014" s="6"/>
      <c r="F1014" s="4"/>
    </row>
    <row r="1015" spans="2:6">
      <c r="B1015" s="1"/>
      <c r="C1015" s="1"/>
      <c r="D1015" s="1"/>
      <c r="E1015" s="6"/>
      <c r="F1015" s="4"/>
    </row>
    <row r="1016" spans="2:6">
      <c r="B1016" s="1"/>
      <c r="C1016" s="1"/>
      <c r="D1016" s="1"/>
      <c r="E1016" s="6"/>
      <c r="F1016" s="4"/>
    </row>
    <row r="1017" spans="2:6">
      <c r="B1017" s="1"/>
      <c r="C1017" s="1"/>
      <c r="D1017" s="1"/>
      <c r="E1017" s="6"/>
      <c r="F1017" s="4"/>
    </row>
    <row r="1018" spans="2:6">
      <c r="B1018" s="1"/>
      <c r="C1018" s="1"/>
      <c r="D1018" s="1"/>
      <c r="E1018" s="6"/>
      <c r="F1018" s="4"/>
    </row>
    <row r="1019" spans="2:6">
      <c r="B1019" s="1"/>
      <c r="C1019" s="1"/>
      <c r="D1019" s="1"/>
      <c r="E1019" s="6"/>
      <c r="F1019" s="4"/>
    </row>
    <row r="1020" spans="2:6">
      <c r="B1020" s="1"/>
      <c r="C1020" s="1"/>
      <c r="D1020" s="1"/>
      <c r="E1020" s="6"/>
      <c r="F1020" s="4"/>
    </row>
    <row r="1021" spans="2:6">
      <c r="B1021" s="1"/>
      <c r="C1021" s="1"/>
      <c r="D1021" s="1"/>
      <c r="E1021" s="6"/>
      <c r="F1021" s="4"/>
    </row>
    <row r="1022" spans="2:6">
      <c r="B1022" s="1"/>
      <c r="C1022" s="1"/>
      <c r="D1022" s="1"/>
      <c r="E1022" s="6"/>
      <c r="F1022" s="4"/>
    </row>
    <row r="1023" spans="2:6">
      <c r="B1023" s="1"/>
      <c r="C1023" s="1"/>
      <c r="D1023" s="1"/>
      <c r="E1023" s="6"/>
      <c r="F1023" s="4"/>
    </row>
    <row r="1024" spans="2:6">
      <c r="B1024" s="1"/>
      <c r="C1024" s="1"/>
      <c r="D1024" s="1"/>
      <c r="E1024" s="6"/>
      <c r="F1024" s="4"/>
    </row>
    <row r="1025" spans="2:6">
      <c r="B1025" s="1"/>
      <c r="C1025" s="1"/>
      <c r="D1025" s="1"/>
      <c r="E1025" s="6"/>
      <c r="F1025" s="4"/>
    </row>
    <row r="1026" spans="2:6">
      <c r="B1026" s="1"/>
      <c r="C1026" s="1"/>
      <c r="D1026" s="1"/>
      <c r="E1026" s="6"/>
      <c r="F1026" s="4"/>
    </row>
    <row r="1027" spans="2:6">
      <c r="B1027" s="1"/>
      <c r="C1027" s="1"/>
      <c r="D1027" s="1"/>
      <c r="E1027" s="6"/>
      <c r="F1027" s="4"/>
    </row>
    <row r="1028" spans="2:6">
      <c r="B1028" s="1"/>
      <c r="C1028" s="1"/>
      <c r="D1028" s="1"/>
      <c r="E1028" s="6"/>
      <c r="F1028" s="4"/>
    </row>
    <row r="1029" spans="2:6">
      <c r="B1029" s="1"/>
      <c r="C1029" s="1"/>
      <c r="D1029" s="1"/>
      <c r="E1029" s="6"/>
      <c r="F1029" s="4"/>
    </row>
    <row r="1030" spans="2:6">
      <c r="B1030" s="1"/>
      <c r="C1030" s="1"/>
      <c r="D1030" s="1"/>
      <c r="E1030" s="6"/>
      <c r="F1030" s="4"/>
    </row>
    <row r="1031" spans="2:6">
      <c r="B1031" s="1"/>
      <c r="C1031" s="1"/>
      <c r="D1031" s="1"/>
      <c r="E1031" s="6"/>
      <c r="F1031" s="4"/>
    </row>
    <row r="1032" spans="2:6">
      <c r="B1032" s="1"/>
      <c r="C1032" s="1"/>
      <c r="D1032" s="1"/>
      <c r="E1032" s="6"/>
      <c r="F1032" s="4"/>
    </row>
    <row r="1033" spans="2:6">
      <c r="B1033" s="1"/>
      <c r="C1033" s="1"/>
      <c r="D1033" s="1"/>
      <c r="E1033" s="6"/>
      <c r="F1033" s="4"/>
    </row>
    <row r="1034" spans="2:6">
      <c r="B1034" s="1"/>
      <c r="C1034" s="1"/>
      <c r="D1034" s="1"/>
      <c r="E1034" s="6"/>
      <c r="F1034" s="4"/>
    </row>
    <row r="1035" spans="2:6">
      <c r="B1035" s="1"/>
      <c r="C1035" s="1"/>
      <c r="D1035" s="1"/>
      <c r="E1035" s="6"/>
      <c r="F1035" s="4"/>
    </row>
    <row r="1036" spans="2:6">
      <c r="B1036" s="1"/>
      <c r="C1036" s="1"/>
      <c r="D1036" s="1"/>
      <c r="E1036" s="6"/>
      <c r="F1036" s="4"/>
    </row>
    <row r="1037" spans="2:6">
      <c r="B1037" s="1"/>
      <c r="C1037" s="1"/>
      <c r="D1037" s="1"/>
      <c r="E1037" s="6"/>
      <c r="F1037" s="4"/>
    </row>
    <row r="1038" spans="2:6">
      <c r="B1038" s="1"/>
      <c r="C1038" s="1"/>
      <c r="D1038" s="1"/>
      <c r="E1038" s="6"/>
      <c r="F1038" s="4"/>
    </row>
    <row r="1039" spans="2:6">
      <c r="B1039" s="1"/>
      <c r="C1039" s="1"/>
      <c r="D1039" s="1"/>
      <c r="E1039" s="6"/>
      <c r="F1039" s="4"/>
    </row>
    <row r="1040" spans="2:6">
      <c r="B1040" s="1"/>
      <c r="C1040" s="1"/>
      <c r="D1040" s="1"/>
      <c r="E1040" s="6"/>
      <c r="F1040" s="4"/>
    </row>
    <row r="1041" spans="2:6">
      <c r="B1041" s="1"/>
      <c r="C1041" s="1"/>
      <c r="D1041" s="1"/>
      <c r="E1041" s="6"/>
      <c r="F1041" s="4"/>
    </row>
    <row r="1042" spans="2:6">
      <c r="B1042" s="1"/>
      <c r="C1042" s="1"/>
      <c r="D1042" s="1"/>
      <c r="E1042" s="6"/>
      <c r="F1042" s="4"/>
    </row>
    <row r="1043" spans="2:6">
      <c r="B1043" s="1"/>
      <c r="C1043" s="1"/>
      <c r="D1043" s="1"/>
      <c r="E1043" s="6"/>
      <c r="F1043" s="4"/>
    </row>
    <row r="1044" spans="2:6">
      <c r="B1044" s="1"/>
      <c r="C1044" s="1"/>
      <c r="D1044" s="1"/>
      <c r="E1044" s="6"/>
      <c r="F1044" s="4"/>
    </row>
    <row r="1045" spans="2:6">
      <c r="B1045" s="1"/>
      <c r="C1045" s="1"/>
      <c r="D1045" s="1"/>
      <c r="E1045" s="6"/>
      <c r="F1045" s="4"/>
    </row>
    <row r="1046" spans="2:6">
      <c r="B1046" s="1"/>
      <c r="C1046" s="1"/>
      <c r="D1046" s="1"/>
      <c r="E1046" s="6"/>
      <c r="F1046" s="4"/>
    </row>
    <row r="1047" spans="2:6">
      <c r="B1047" s="1"/>
      <c r="C1047" s="1"/>
      <c r="D1047" s="1"/>
      <c r="E1047" s="6"/>
      <c r="F1047" s="4"/>
    </row>
    <row r="1048" spans="2:6">
      <c r="B1048" s="1"/>
      <c r="C1048" s="1"/>
      <c r="D1048" s="1"/>
      <c r="E1048" s="6"/>
      <c r="F1048" s="4"/>
    </row>
    <row r="1049" spans="2:6">
      <c r="B1049" s="1"/>
      <c r="C1049" s="1"/>
      <c r="D1049" s="1"/>
      <c r="E1049" s="6"/>
      <c r="F1049" s="4"/>
    </row>
    <row r="1050" spans="2:6">
      <c r="B1050" s="1"/>
      <c r="C1050" s="1"/>
      <c r="D1050" s="1"/>
      <c r="E1050" s="6"/>
      <c r="F1050" s="4"/>
    </row>
    <row r="1051" spans="2:6">
      <c r="B1051" s="1"/>
      <c r="C1051" s="1"/>
      <c r="D1051" s="1"/>
      <c r="E1051" s="6"/>
      <c r="F1051" s="4"/>
    </row>
    <row r="1052" spans="2:6">
      <c r="B1052" s="1"/>
      <c r="C1052" s="1"/>
      <c r="D1052" s="1"/>
      <c r="E1052" s="6"/>
      <c r="F1052" s="4"/>
    </row>
    <row r="1053" spans="2:6">
      <c r="B1053" s="1"/>
      <c r="C1053" s="1"/>
      <c r="D1053" s="1"/>
      <c r="E1053" s="6"/>
      <c r="F1053" s="4"/>
    </row>
    <row r="1054" spans="2:6">
      <c r="B1054" s="1"/>
      <c r="C1054" s="1"/>
      <c r="D1054" s="1"/>
      <c r="E1054" s="6"/>
      <c r="F1054" s="4"/>
    </row>
    <row r="1055" spans="2:6">
      <c r="B1055" s="1"/>
      <c r="C1055" s="1"/>
      <c r="D1055" s="1"/>
      <c r="E1055" s="6"/>
      <c r="F1055" s="4"/>
    </row>
    <row r="1056" spans="2:6">
      <c r="B1056" s="1"/>
      <c r="C1056" s="1"/>
      <c r="D1056" s="1"/>
      <c r="E1056" s="6"/>
      <c r="F1056" s="4"/>
    </row>
    <row r="1057" spans="2:6">
      <c r="B1057" s="1"/>
      <c r="C1057" s="1"/>
      <c r="D1057" s="1"/>
      <c r="E1057" s="6"/>
      <c r="F1057" s="4"/>
    </row>
    <row r="1058" spans="2:6">
      <c r="B1058" s="1"/>
      <c r="C1058" s="1"/>
      <c r="D1058" s="1"/>
      <c r="E1058" s="6"/>
      <c r="F1058" s="4"/>
    </row>
    <row r="1059" spans="2:6">
      <c r="B1059" s="1"/>
      <c r="C1059" s="1"/>
      <c r="D1059" s="1"/>
      <c r="E1059" s="6"/>
      <c r="F1059" s="4"/>
    </row>
    <row r="1060" spans="2:6">
      <c r="B1060" s="1"/>
      <c r="C1060" s="1"/>
      <c r="D1060" s="1"/>
      <c r="E1060" s="6"/>
      <c r="F1060" s="4"/>
    </row>
    <row r="1061" spans="2:6">
      <c r="B1061" s="1"/>
      <c r="C1061" s="1"/>
      <c r="D1061" s="1"/>
      <c r="E1061" s="6"/>
      <c r="F1061" s="4"/>
    </row>
    <row r="1062" spans="2:6">
      <c r="B1062" s="1"/>
      <c r="C1062" s="1"/>
      <c r="D1062" s="1"/>
      <c r="E1062" s="6"/>
      <c r="F1062" s="4"/>
    </row>
    <row r="1063" spans="2:6">
      <c r="B1063" s="1"/>
      <c r="C1063" s="1"/>
      <c r="D1063" s="1"/>
      <c r="E1063" s="6"/>
      <c r="F1063" s="4"/>
    </row>
    <row r="1064" spans="2:6">
      <c r="B1064" s="1"/>
      <c r="C1064" s="1"/>
      <c r="D1064" s="1"/>
      <c r="E1064" s="6"/>
      <c r="F1064" s="4"/>
    </row>
    <row r="1065" spans="2:6">
      <c r="B1065" s="1"/>
      <c r="C1065" s="1"/>
      <c r="D1065" s="1"/>
      <c r="E1065" s="6"/>
      <c r="F1065" s="4"/>
    </row>
    <row r="1066" spans="2:6">
      <c r="B1066" s="1"/>
      <c r="C1066" s="1"/>
      <c r="D1066" s="1"/>
      <c r="E1066" s="6"/>
      <c r="F1066" s="4"/>
    </row>
    <row r="1067" spans="2:6">
      <c r="B1067" s="1"/>
      <c r="C1067" s="1"/>
      <c r="D1067" s="1"/>
      <c r="E1067" s="6"/>
      <c r="F1067" s="4"/>
    </row>
    <row r="1068" spans="2:6">
      <c r="B1068" s="1"/>
      <c r="C1068" s="1"/>
      <c r="D1068" s="1"/>
      <c r="E1068" s="6"/>
      <c r="F1068" s="4"/>
    </row>
    <row r="1069" spans="2:6">
      <c r="B1069" s="1"/>
      <c r="C1069" s="1"/>
      <c r="D1069" s="1"/>
      <c r="E1069" s="6"/>
      <c r="F1069" s="4"/>
    </row>
    <row r="1070" spans="2:6">
      <c r="B1070" s="1"/>
      <c r="C1070" s="1"/>
      <c r="D1070" s="1"/>
      <c r="E1070" s="6"/>
      <c r="F1070" s="4"/>
    </row>
    <row r="1071" spans="2:6">
      <c r="B1071" s="1"/>
      <c r="C1071" s="1"/>
      <c r="D1071" s="1"/>
      <c r="E1071" s="6"/>
      <c r="F1071" s="4"/>
    </row>
    <row r="1072" spans="2:6">
      <c r="B1072" s="1"/>
      <c r="C1072" s="1"/>
      <c r="D1072" s="1"/>
      <c r="E1072" s="6"/>
      <c r="F1072" s="4"/>
    </row>
    <row r="1073" spans="2:6">
      <c r="B1073" s="1"/>
      <c r="C1073" s="1"/>
      <c r="D1073" s="1"/>
      <c r="E1073" s="6"/>
      <c r="F1073" s="4"/>
    </row>
    <row r="1074" spans="2:6">
      <c r="B1074" s="1"/>
      <c r="C1074" s="1"/>
      <c r="D1074" s="1"/>
      <c r="E1074" s="6"/>
      <c r="F1074" s="4"/>
    </row>
    <row r="1075" spans="2:6">
      <c r="B1075" s="1"/>
      <c r="C1075" s="1"/>
      <c r="D1075" s="1"/>
      <c r="E1075" s="6"/>
      <c r="F1075" s="4"/>
    </row>
    <row r="1076" spans="2:6">
      <c r="B1076" s="1"/>
      <c r="C1076" s="1"/>
      <c r="D1076" s="1"/>
      <c r="E1076" s="6"/>
      <c r="F1076" s="4"/>
    </row>
    <row r="1077" spans="2:6">
      <c r="B1077" s="1"/>
      <c r="C1077" s="1"/>
      <c r="D1077" s="1"/>
      <c r="E1077" s="6"/>
      <c r="F1077" s="4"/>
    </row>
    <row r="1078" spans="2:6">
      <c r="B1078" s="1"/>
      <c r="C1078" s="1"/>
      <c r="D1078" s="1"/>
      <c r="E1078" s="6"/>
      <c r="F1078" s="4"/>
    </row>
    <row r="1079" spans="2:6">
      <c r="B1079" s="1"/>
      <c r="C1079" s="1"/>
      <c r="D1079" s="1"/>
      <c r="E1079" s="6"/>
      <c r="F1079" s="4"/>
    </row>
    <row r="1080" spans="2:6">
      <c r="B1080" s="1"/>
      <c r="C1080" s="1"/>
      <c r="D1080" s="1"/>
      <c r="E1080" s="6"/>
      <c r="F1080" s="4"/>
    </row>
    <row r="1081" spans="2:6">
      <c r="B1081" s="1"/>
      <c r="C1081" s="1"/>
      <c r="D1081" s="1"/>
      <c r="E1081" s="6"/>
      <c r="F1081" s="4"/>
    </row>
    <row r="1082" spans="2:6">
      <c r="B1082" s="1"/>
      <c r="C1082" s="1"/>
      <c r="D1082" s="1"/>
      <c r="E1082" s="6"/>
      <c r="F1082" s="4"/>
    </row>
    <row r="1083" spans="2:6">
      <c r="B1083" s="1"/>
      <c r="C1083" s="1"/>
      <c r="D1083" s="1"/>
      <c r="E1083" s="6"/>
      <c r="F1083" s="4"/>
    </row>
    <row r="1084" spans="2:6">
      <c r="B1084" s="1"/>
      <c r="C1084" s="1"/>
      <c r="D1084" s="1"/>
      <c r="E1084" s="6"/>
      <c r="F1084" s="4"/>
    </row>
    <row r="1085" spans="2:6">
      <c r="B1085" s="1"/>
      <c r="C1085" s="1"/>
      <c r="D1085" s="1"/>
      <c r="E1085" s="6"/>
      <c r="F1085" s="4"/>
    </row>
    <row r="1086" spans="2:6">
      <c r="B1086" s="1"/>
      <c r="C1086" s="1"/>
      <c r="D1086" s="1"/>
      <c r="E1086" s="6"/>
      <c r="F1086" s="4"/>
    </row>
    <row r="1087" spans="2:6">
      <c r="B1087" s="1"/>
      <c r="C1087" s="1"/>
      <c r="D1087" s="1"/>
      <c r="E1087" s="6"/>
      <c r="F1087" s="4"/>
    </row>
    <row r="1088" spans="2:6">
      <c r="B1088" s="1"/>
      <c r="C1088" s="1"/>
      <c r="D1088" s="1"/>
      <c r="E1088" s="6"/>
      <c r="F1088" s="4"/>
    </row>
    <row r="1089" spans="2:6">
      <c r="B1089" s="1"/>
      <c r="C1089" s="1"/>
      <c r="D1089" s="1"/>
      <c r="E1089" s="6"/>
      <c r="F1089" s="4"/>
    </row>
    <row r="1090" spans="2:6">
      <c r="B1090" s="1"/>
      <c r="C1090" s="1"/>
      <c r="D1090" s="1"/>
      <c r="E1090" s="6"/>
      <c r="F1090" s="4"/>
    </row>
    <row r="1091" spans="2:6">
      <c r="B1091" s="1"/>
      <c r="C1091" s="1"/>
      <c r="D1091" s="1"/>
      <c r="E1091" s="6"/>
      <c r="F1091" s="4"/>
    </row>
    <row r="1092" spans="2:6">
      <c r="B1092" s="1"/>
      <c r="C1092" s="1"/>
      <c r="D1092" s="1"/>
      <c r="E1092" s="6"/>
      <c r="F1092" s="4"/>
    </row>
    <row r="1093" spans="2:6">
      <c r="B1093" s="1"/>
      <c r="C1093" s="1"/>
      <c r="D1093" s="1"/>
      <c r="E1093" s="6"/>
      <c r="F1093" s="4"/>
    </row>
    <row r="1094" spans="2:6">
      <c r="B1094" s="1"/>
      <c r="C1094" s="1"/>
      <c r="D1094" s="1"/>
      <c r="E1094" s="6"/>
      <c r="F1094" s="4"/>
    </row>
    <row r="1095" spans="2:6">
      <c r="B1095" s="1"/>
      <c r="C1095" s="1"/>
      <c r="D1095" s="1"/>
      <c r="E1095" s="6"/>
      <c r="F1095" s="4"/>
    </row>
    <row r="1096" spans="2:6">
      <c r="B1096" s="1"/>
      <c r="C1096" s="1"/>
      <c r="D1096" s="1"/>
      <c r="E1096" s="6"/>
      <c r="F1096" s="4"/>
    </row>
    <row r="1097" spans="2:6">
      <c r="B1097" s="1"/>
      <c r="C1097" s="1"/>
      <c r="D1097" s="1"/>
      <c r="E1097" s="6"/>
      <c r="F1097" s="4"/>
    </row>
    <row r="1098" spans="2:6">
      <c r="B1098" s="1"/>
      <c r="C1098" s="1"/>
      <c r="D1098" s="1"/>
      <c r="E1098" s="6"/>
      <c r="F1098" s="4"/>
    </row>
    <row r="1099" spans="2:6">
      <c r="B1099" s="1"/>
      <c r="C1099" s="1"/>
      <c r="D1099" s="1"/>
      <c r="E1099" s="6"/>
      <c r="F1099" s="4"/>
    </row>
    <row r="1100" spans="2:6">
      <c r="B1100" s="1"/>
      <c r="C1100" s="1"/>
      <c r="D1100" s="1"/>
      <c r="E1100" s="6"/>
      <c r="F1100" s="4"/>
    </row>
    <row r="1101" spans="2:6">
      <c r="B1101" s="1"/>
      <c r="C1101" s="1"/>
      <c r="D1101" s="1"/>
      <c r="E1101" s="6"/>
      <c r="F1101" s="4"/>
    </row>
    <row r="1102" spans="2:6">
      <c r="B1102" s="1"/>
      <c r="C1102" s="1"/>
      <c r="D1102" s="1"/>
      <c r="E1102" s="6"/>
      <c r="F1102" s="4"/>
    </row>
    <row r="1103" spans="2:6">
      <c r="B1103" s="1"/>
      <c r="C1103" s="1"/>
      <c r="D1103" s="1"/>
      <c r="E1103" s="6"/>
      <c r="F1103" s="4"/>
    </row>
    <row r="1104" spans="2:6">
      <c r="B1104" s="1"/>
      <c r="C1104" s="1"/>
      <c r="D1104" s="1"/>
      <c r="E1104" s="6"/>
      <c r="F1104" s="4"/>
    </row>
    <row r="1105" spans="2:6">
      <c r="B1105" s="1"/>
      <c r="C1105" s="1"/>
      <c r="D1105" s="1"/>
      <c r="E1105" s="6"/>
      <c r="F1105" s="4"/>
    </row>
    <row r="1106" spans="2:6">
      <c r="B1106" s="1"/>
      <c r="C1106" s="1"/>
      <c r="D1106" s="1"/>
      <c r="E1106" s="6"/>
      <c r="F1106" s="4"/>
    </row>
    <row r="1107" spans="2:6">
      <c r="B1107" s="1"/>
      <c r="C1107" s="1"/>
      <c r="D1107" s="1"/>
      <c r="E1107" s="6"/>
      <c r="F1107" s="4"/>
    </row>
    <row r="1108" spans="2:6">
      <c r="B1108" s="1"/>
      <c r="C1108" s="1"/>
      <c r="D1108" s="1"/>
      <c r="E1108" s="6"/>
      <c r="F1108" s="4"/>
    </row>
    <row r="1109" spans="2:6">
      <c r="B1109" s="1"/>
      <c r="C1109" s="1"/>
      <c r="D1109" s="1"/>
      <c r="E1109" s="6"/>
      <c r="F1109" s="4"/>
    </row>
    <row r="1110" spans="2:6">
      <c r="B1110" s="1"/>
      <c r="C1110" s="1"/>
      <c r="D1110" s="1"/>
      <c r="E1110" s="6"/>
      <c r="F1110" s="4"/>
    </row>
    <row r="1111" spans="2:6">
      <c r="B1111" s="1"/>
      <c r="C1111" s="1"/>
      <c r="D1111" s="1"/>
      <c r="E1111" s="6"/>
      <c r="F1111" s="4"/>
    </row>
    <row r="1112" spans="2:6">
      <c r="B1112" s="1"/>
      <c r="C1112" s="1"/>
      <c r="D1112" s="1"/>
      <c r="E1112" s="6"/>
      <c r="F1112" s="4"/>
    </row>
    <row r="1113" spans="2:6">
      <c r="B1113" s="1"/>
      <c r="C1113" s="1"/>
      <c r="D1113" s="1"/>
      <c r="E1113" s="6"/>
      <c r="F1113" s="4"/>
    </row>
    <row r="1114" spans="2:6">
      <c r="B1114" s="1"/>
      <c r="C1114" s="1"/>
      <c r="D1114" s="1"/>
      <c r="E1114" s="6"/>
      <c r="F1114" s="4"/>
    </row>
    <row r="1115" spans="2:6">
      <c r="B1115" s="1"/>
      <c r="C1115" s="1"/>
      <c r="D1115" s="1"/>
      <c r="E1115" s="6"/>
      <c r="F1115" s="4"/>
    </row>
    <row r="1116" spans="2:6">
      <c r="B1116" s="1"/>
      <c r="C1116" s="1"/>
      <c r="D1116" s="1"/>
      <c r="E1116" s="6"/>
      <c r="F1116" s="4"/>
    </row>
    <row r="1117" spans="2:6">
      <c r="B1117" s="1"/>
      <c r="C1117" s="1"/>
      <c r="D1117" s="1"/>
      <c r="E1117" s="6"/>
      <c r="F1117" s="4"/>
    </row>
    <row r="1118" spans="2:6">
      <c r="B1118" s="1"/>
      <c r="C1118" s="1"/>
      <c r="D1118" s="1"/>
      <c r="E1118" s="6"/>
      <c r="F1118" s="4"/>
    </row>
    <row r="1119" spans="2:6">
      <c r="B1119" s="1"/>
      <c r="C1119" s="1"/>
      <c r="D1119" s="1"/>
      <c r="E1119" s="6"/>
      <c r="F1119" s="4"/>
    </row>
    <row r="1120" spans="2:6">
      <c r="B1120" s="1"/>
      <c r="C1120" s="1"/>
      <c r="D1120" s="1"/>
      <c r="E1120" s="6"/>
      <c r="F1120" s="4"/>
    </row>
    <row r="1121" spans="2:6">
      <c r="B1121" s="1"/>
      <c r="C1121" s="1"/>
      <c r="D1121" s="1"/>
      <c r="E1121" s="6"/>
      <c r="F1121" s="4"/>
    </row>
    <row r="1122" spans="2:6">
      <c r="B1122" s="1"/>
      <c r="C1122" s="1"/>
      <c r="D1122" s="1"/>
      <c r="E1122" s="6"/>
      <c r="F1122" s="4"/>
    </row>
    <row r="1123" spans="2:6">
      <c r="B1123" s="1"/>
      <c r="C1123" s="1"/>
      <c r="D1123" s="1"/>
      <c r="E1123" s="6"/>
      <c r="F1123" s="4"/>
    </row>
    <row r="1124" spans="2:6">
      <c r="B1124" s="1"/>
      <c r="C1124" s="1"/>
      <c r="D1124" s="1"/>
      <c r="E1124" s="6"/>
      <c r="F1124" s="4"/>
    </row>
    <row r="1125" spans="2:6">
      <c r="B1125" s="1"/>
      <c r="C1125" s="1"/>
      <c r="D1125" s="1"/>
      <c r="E1125" s="6"/>
      <c r="F1125" s="4"/>
    </row>
    <row r="1126" spans="2:6">
      <c r="B1126" s="1"/>
      <c r="C1126" s="1"/>
      <c r="D1126" s="1"/>
      <c r="E1126" s="6"/>
      <c r="F1126" s="4"/>
    </row>
    <row r="1127" spans="2:6">
      <c r="B1127" s="1"/>
      <c r="C1127" s="1"/>
      <c r="D1127" s="1"/>
      <c r="E1127" s="6"/>
      <c r="F1127" s="4"/>
    </row>
    <row r="1128" spans="2:6">
      <c r="B1128" s="1"/>
      <c r="C1128" s="1"/>
      <c r="D1128" s="1"/>
      <c r="E1128" s="6"/>
      <c r="F1128" s="4"/>
    </row>
    <row r="1129" spans="2:6">
      <c r="B1129" s="1"/>
      <c r="C1129" s="1"/>
      <c r="D1129" s="1"/>
      <c r="E1129" s="6"/>
      <c r="F1129" s="4"/>
    </row>
    <row r="1130" spans="2:6">
      <c r="B1130" s="1"/>
      <c r="C1130" s="1"/>
      <c r="D1130" s="1"/>
      <c r="E1130" s="6"/>
      <c r="F1130" s="4"/>
    </row>
    <row r="1131" spans="2:6">
      <c r="B1131" s="1"/>
      <c r="C1131" s="1"/>
      <c r="D1131" s="1"/>
      <c r="E1131" s="6"/>
      <c r="F1131" s="4"/>
    </row>
    <row r="1132" spans="2:6">
      <c r="B1132" s="1"/>
      <c r="C1132" s="1"/>
      <c r="D1132" s="1"/>
      <c r="E1132" s="6"/>
      <c r="F1132" s="4"/>
    </row>
    <row r="1133" spans="2:6">
      <c r="B1133" s="1"/>
      <c r="C1133" s="1"/>
      <c r="D1133" s="1"/>
      <c r="E1133" s="6"/>
      <c r="F1133" s="4"/>
    </row>
    <row r="1134" spans="2:6">
      <c r="B1134" s="1"/>
      <c r="C1134" s="1"/>
      <c r="D1134" s="1"/>
      <c r="E1134" s="6"/>
      <c r="F1134" s="4"/>
    </row>
    <row r="1135" spans="2:6">
      <c r="B1135" s="1"/>
      <c r="C1135" s="1"/>
      <c r="D1135" s="1"/>
      <c r="E1135" s="6"/>
      <c r="F1135" s="4"/>
    </row>
    <row r="1136" spans="2:6">
      <c r="B1136" s="1"/>
      <c r="C1136" s="1"/>
      <c r="D1136" s="1"/>
      <c r="E1136" s="6"/>
      <c r="F1136" s="4"/>
    </row>
    <row r="1137" spans="2:6">
      <c r="B1137" s="1"/>
      <c r="C1137" s="1"/>
      <c r="D1137" s="1"/>
      <c r="E1137" s="6"/>
      <c r="F1137" s="4"/>
    </row>
    <row r="1138" spans="2:6">
      <c r="B1138" s="1"/>
      <c r="C1138" s="1"/>
      <c r="D1138" s="1"/>
      <c r="E1138" s="6"/>
      <c r="F1138" s="4"/>
    </row>
    <row r="1139" spans="2:6">
      <c r="B1139" s="1"/>
      <c r="C1139" s="1"/>
      <c r="D1139" s="1"/>
      <c r="E1139" s="6"/>
      <c r="F1139" s="4"/>
    </row>
    <row r="1140" spans="2:6">
      <c r="B1140" s="1"/>
      <c r="C1140" s="1"/>
      <c r="D1140" s="1"/>
      <c r="E1140" s="6"/>
      <c r="F1140" s="4"/>
    </row>
    <row r="1141" spans="2:6">
      <c r="B1141" s="1"/>
      <c r="C1141" s="1"/>
      <c r="D1141" s="1"/>
      <c r="E1141" s="6"/>
      <c r="F1141" s="4"/>
    </row>
    <row r="1142" spans="2:6">
      <c r="B1142" s="1"/>
      <c r="C1142" s="1"/>
      <c r="D1142" s="1"/>
      <c r="E1142" s="6"/>
      <c r="F1142" s="4"/>
    </row>
    <row r="1143" spans="2:6">
      <c r="B1143" s="1"/>
      <c r="C1143" s="1"/>
      <c r="D1143" s="1"/>
      <c r="E1143" s="6"/>
      <c r="F1143" s="4"/>
    </row>
    <row r="1144" spans="2:6">
      <c r="B1144" s="1"/>
      <c r="C1144" s="1"/>
      <c r="D1144" s="1"/>
      <c r="E1144" s="6"/>
      <c r="F1144" s="4"/>
    </row>
    <row r="1145" spans="2:6">
      <c r="B1145" s="1"/>
      <c r="C1145" s="1"/>
      <c r="D1145" s="1"/>
      <c r="E1145" s="6"/>
      <c r="F1145" s="4"/>
    </row>
    <row r="1146" spans="2:6">
      <c r="B1146" s="1"/>
      <c r="C1146" s="1"/>
      <c r="D1146" s="1"/>
      <c r="E1146" s="6"/>
      <c r="F1146" s="4"/>
    </row>
    <row r="1147" spans="2:6">
      <c r="B1147" s="1"/>
      <c r="C1147" s="1"/>
      <c r="D1147" s="1"/>
      <c r="E1147" s="6"/>
      <c r="F1147" s="4"/>
    </row>
    <row r="1148" spans="2:6">
      <c r="B1148" s="1"/>
      <c r="C1148" s="1"/>
      <c r="D1148" s="1"/>
      <c r="E1148" s="6"/>
      <c r="F1148" s="4"/>
    </row>
    <row r="1149" spans="2:6">
      <c r="B1149" s="1"/>
      <c r="C1149" s="1"/>
      <c r="D1149" s="1"/>
      <c r="E1149" s="6"/>
      <c r="F1149" s="4"/>
    </row>
    <row r="1150" spans="2:6">
      <c r="B1150" s="1"/>
      <c r="C1150" s="1"/>
      <c r="D1150" s="1"/>
      <c r="E1150" s="6"/>
      <c r="F1150" s="4"/>
    </row>
    <row r="1151" spans="2:6">
      <c r="B1151" s="1"/>
      <c r="C1151" s="1"/>
      <c r="D1151" s="1"/>
      <c r="E1151" s="6"/>
      <c r="F1151" s="4"/>
    </row>
    <row r="1152" spans="2:6">
      <c r="B1152" s="1"/>
      <c r="C1152" s="1"/>
      <c r="D1152" s="1"/>
      <c r="E1152" s="6"/>
      <c r="F1152" s="4"/>
    </row>
    <row r="1153" spans="2:6">
      <c r="B1153" s="1"/>
      <c r="C1153" s="1"/>
      <c r="D1153" s="1"/>
      <c r="E1153" s="6"/>
      <c r="F1153" s="4"/>
    </row>
    <row r="1154" spans="2:6">
      <c r="B1154" s="1"/>
      <c r="C1154" s="1"/>
      <c r="D1154" s="1"/>
      <c r="E1154" s="6"/>
      <c r="F1154" s="4"/>
    </row>
    <row r="1155" spans="2:6">
      <c r="B1155" s="1"/>
      <c r="C1155" s="1"/>
      <c r="D1155" s="1"/>
      <c r="E1155" s="6"/>
      <c r="F1155" s="4"/>
    </row>
    <row r="1156" spans="2:6">
      <c r="B1156" s="1"/>
      <c r="C1156" s="1"/>
      <c r="D1156" s="1"/>
      <c r="E1156" s="6"/>
      <c r="F1156" s="4"/>
    </row>
    <row r="1157" spans="2:6">
      <c r="B1157" s="1"/>
      <c r="C1157" s="1"/>
      <c r="D1157" s="1"/>
      <c r="E1157" s="6"/>
      <c r="F1157" s="4"/>
    </row>
    <row r="1158" spans="2:6">
      <c r="B1158" s="1"/>
      <c r="C1158" s="1"/>
      <c r="D1158" s="1"/>
      <c r="E1158" s="6"/>
      <c r="F1158" s="4"/>
    </row>
    <row r="1159" spans="2:6">
      <c r="B1159" s="1"/>
      <c r="C1159" s="1"/>
      <c r="D1159" s="1"/>
      <c r="E1159" s="6"/>
      <c r="F1159" s="4"/>
    </row>
    <row r="1160" spans="2:6">
      <c r="B1160" s="1"/>
      <c r="C1160" s="1"/>
      <c r="D1160" s="1"/>
      <c r="E1160" s="6"/>
      <c r="F1160" s="4"/>
    </row>
    <row r="1161" spans="2:6">
      <c r="B1161" s="1"/>
      <c r="C1161" s="1"/>
      <c r="D1161" s="1"/>
      <c r="E1161" s="6"/>
      <c r="F1161" s="4"/>
    </row>
    <row r="1162" spans="2:6">
      <c r="B1162" s="1"/>
      <c r="C1162" s="1"/>
      <c r="D1162" s="1"/>
      <c r="E1162" s="6"/>
      <c r="F1162" s="4"/>
    </row>
    <row r="1163" spans="2:6">
      <c r="B1163" s="1"/>
      <c r="C1163" s="1"/>
      <c r="D1163" s="1"/>
      <c r="E1163" s="6"/>
      <c r="F1163" s="4"/>
    </row>
    <row r="1164" spans="2:6">
      <c r="B1164" s="1"/>
      <c r="C1164" s="1"/>
      <c r="D1164" s="1"/>
      <c r="E1164" s="6"/>
      <c r="F1164" s="4"/>
    </row>
    <row r="1165" spans="2:6">
      <c r="B1165" s="1"/>
      <c r="C1165" s="1"/>
      <c r="D1165" s="1"/>
      <c r="E1165" s="6"/>
      <c r="F1165" s="4"/>
    </row>
    <row r="1166" spans="2:6">
      <c r="B1166" s="1"/>
      <c r="C1166" s="1"/>
      <c r="D1166" s="1"/>
      <c r="E1166" s="6"/>
      <c r="F1166" s="4"/>
    </row>
    <row r="1167" spans="2:6">
      <c r="B1167" s="1"/>
      <c r="C1167" s="1"/>
      <c r="D1167" s="1"/>
      <c r="E1167" s="6"/>
      <c r="F1167" s="4"/>
    </row>
    <row r="1168" spans="2:6">
      <c r="B1168" s="1"/>
      <c r="C1168" s="1"/>
      <c r="D1168" s="1"/>
      <c r="E1168" s="6"/>
      <c r="F1168" s="4"/>
    </row>
    <row r="1169" spans="2:6">
      <c r="B1169" s="1"/>
      <c r="C1169" s="1"/>
      <c r="D1169" s="1"/>
      <c r="E1169" s="6"/>
      <c r="F1169" s="4"/>
    </row>
    <row r="1170" spans="2:6">
      <c r="B1170" s="1"/>
      <c r="C1170" s="1"/>
      <c r="D1170" s="1"/>
      <c r="E1170" s="6"/>
      <c r="F1170" s="4"/>
    </row>
    <row r="1171" spans="2:6">
      <c r="B1171" s="1"/>
      <c r="C1171" s="1"/>
      <c r="D1171" s="1"/>
      <c r="E1171" s="6"/>
      <c r="F1171" s="4"/>
    </row>
    <row r="1172" spans="2:6">
      <c r="B1172" s="1"/>
      <c r="C1172" s="1"/>
      <c r="D1172" s="1"/>
      <c r="E1172" s="6"/>
      <c r="F1172" s="4"/>
    </row>
    <row r="1173" spans="2:6">
      <c r="B1173" s="1"/>
      <c r="C1173" s="1"/>
      <c r="D1173" s="1"/>
      <c r="E1173" s="6"/>
      <c r="F1173" s="4"/>
    </row>
    <row r="1174" spans="2:6">
      <c r="B1174" s="1"/>
      <c r="C1174" s="1"/>
      <c r="D1174" s="1"/>
      <c r="E1174" s="6"/>
      <c r="F1174" s="4"/>
    </row>
    <row r="1175" spans="2:6">
      <c r="B1175" s="1"/>
      <c r="C1175" s="1"/>
      <c r="D1175" s="1"/>
      <c r="E1175" s="6"/>
      <c r="F1175" s="4"/>
    </row>
    <row r="1176" spans="2:6">
      <c r="B1176" s="1"/>
      <c r="C1176" s="1"/>
      <c r="D1176" s="1"/>
      <c r="E1176" s="6"/>
      <c r="F1176" s="4"/>
    </row>
    <row r="1177" spans="2:6">
      <c r="B1177" s="1"/>
      <c r="C1177" s="1"/>
      <c r="D1177" s="1"/>
      <c r="E1177" s="6"/>
      <c r="F1177" s="4"/>
    </row>
    <row r="1178" spans="2:6">
      <c r="B1178" s="1"/>
      <c r="C1178" s="1"/>
      <c r="D1178" s="1"/>
      <c r="E1178" s="6"/>
      <c r="F1178" s="4"/>
    </row>
    <row r="1179" spans="2:6">
      <c r="B1179" s="1"/>
      <c r="C1179" s="1"/>
      <c r="D1179" s="1"/>
      <c r="E1179" s="6"/>
      <c r="F1179" s="4"/>
    </row>
    <row r="1180" spans="2:6">
      <c r="B1180" s="1"/>
      <c r="C1180" s="1"/>
      <c r="D1180" s="1"/>
      <c r="E1180" s="6"/>
      <c r="F1180" s="4"/>
    </row>
    <row r="1181" spans="2:6">
      <c r="B1181" s="1"/>
      <c r="C1181" s="1"/>
      <c r="D1181" s="1"/>
      <c r="E1181" s="6"/>
      <c r="F1181" s="4"/>
    </row>
    <row r="1182" spans="2:6">
      <c r="B1182" s="1"/>
      <c r="C1182" s="1"/>
      <c r="D1182" s="1"/>
      <c r="E1182" s="6"/>
      <c r="F1182" s="4"/>
    </row>
    <row r="1183" spans="2:6">
      <c r="B1183" s="1"/>
      <c r="C1183" s="1"/>
      <c r="D1183" s="1"/>
      <c r="E1183" s="6"/>
      <c r="F1183" s="4"/>
    </row>
    <row r="1184" spans="2:6">
      <c r="B1184" s="1"/>
      <c r="C1184" s="1"/>
      <c r="D1184" s="1"/>
      <c r="E1184" s="6"/>
      <c r="F1184" s="4"/>
    </row>
    <row r="1185" spans="2:6">
      <c r="B1185" s="1"/>
      <c r="C1185" s="1"/>
      <c r="D1185" s="1"/>
      <c r="E1185" s="6"/>
      <c r="F1185" s="4"/>
    </row>
    <row r="1186" spans="2:6">
      <c r="B1186" s="1"/>
      <c r="C1186" s="1"/>
      <c r="D1186" s="1"/>
      <c r="E1186" s="6"/>
      <c r="F1186" s="4"/>
    </row>
    <row r="1187" spans="2:6">
      <c r="B1187" s="1"/>
      <c r="C1187" s="1"/>
      <c r="D1187" s="1"/>
      <c r="E1187" s="6"/>
      <c r="F1187" s="4"/>
    </row>
    <row r="1188" spans="2:6">
      <c r="B1188" s="1"/>
      <c r="C1188" s="1"/>
      <c r="D1188" s="1"/>
      <c r="E1188" s="6"/>
      <c r="F1188" s="4"/>
    </row>
    <row r="1189" spans="2:6">
      <c r="B1189" s="1"/>
      <c r="C1189" s="1"/>
      <c r="D1189" s="1"/>
      <c r="E1189" s="6"/>
      <c r="F1189" s="4"/>
    </row>
    <row r="1190" spans="2:6">
      <c r="B1190" s="1"/>
      <c r="C1190" s="1"/>
      <c r="D1190" s="1"/>
      <c r="E1190" s="6"/>
      <c r="F1190" s="4"/>
    </row>
    <row r="1191" spans="2:6">
      <c r="B1191" s="1"/>
      <c r="C1191" s="1"/>
      <c r="D1191" s="1"/>
      <c r="E1191" s="6"/>
      <c r="F1191" s="4"/>
    </row>
    <row r="1192" spans="2:6">
      <c r="B1192" s="1"/>
      <c r="C1192" s="1"/>
      <c r="D1192" s="1"/>
      <c r="E1192" s="6"/>
      <c r="F1192" s="4"/>
    </row>
    <row r="1193" spans="2:6">
      <c r="B1193" s="1"/>
      <c r="C1193" s="1"/>
      <c r="D1193" s="1"/>
      <c r="E1193" s="6"/>
      <c r="F1193" s="4"/>
    </row>
    <row r="1194" spans="2:6">
      <c r="B1194" s="1"/>
      <c r="C1194" s="1"/>
      <c r="D1194" s="1"/>
      <c r="E1194" s="6"/>
      <c r="F1194" s="4"/>
    </row>
    <row r="1195" spans="2:6">
      <c r="B1195" s="1"/>
      <c r="C1195" s="1"/>
      <c r="D1195" s="1"/>
      <c r="E1195" s="6"/>
      <c r="F1195" s="4"/>
    </row>
    <row r="1196" spans="2:6">
      <c r="B1196" s="1"/>
      <c r="C1196" s="1"/>
      <c r="D1196" s="1"/>
      <c r="E1196" s="6"/>
      <c r="F1196" s="4"/>
    </row>
    <row r="1197" spans="2:6">
      <c r="B1197" s="1"/>
      <c r="C1197" s="1"/>
      <c r="D1197" s="1"/>
      <c r="E1197" s="6"/>
      <c r="F1197" s="4"/>
    </row>
    <row r="1198" spans="2:6">
      <c r="B1198" s="1"/>
      <c r="C1198" s="1"/>
      <c r="D1198" s="1"/>
      <c r="E1198" s="6"/>
      <c r="F1198" s="4"/>
    </row>
    <row r="1199" spans="2:6">
      <c r="B1199" s="1"/>
      <c r="C1199" s="1"/>
      <c r="D1199" s="1"/>
      <c r="E1199" s="6"/>
      <c r="F1199" s="4"/>
    </row>
    <row r="1200" spans="2:6">
      <c r="B1200" s="1"/>
      <c r="C1200" s="1"/>
      <c r="D1200" s="1"/>
      <c r="E1200" s="6"/>
      <c r="F1200" s="4"/>
    </row>
    <row r="1201" spans="2:6">
      <c r="B1201" s="1"/>
      <c r="C1201" s="1"/>
      <c r="D1201" s="1"/>
      <c r="E1201" s="6"/>
      <c r="F1201" s="4"/>
    </row>
    <row r="1202" spans="2:6">
      <c r="B1202" s="1"/>
      <c r="C1202" s="1"/>
      <c r="D1202" s="1"/>
      <c r="E1202" s="6"/>
      <c r="F1202" s="4"/>
    </row>
    <row r="1203" spans="2:6">
      <c r="B1203" s="1"/>
      <c r="C1203" s="1"/>
      <c r="D1203" s="1"/>
      <c r="E1203" s="6"/>
      <c r="F1203" s="4"/>
    </row>
    <row r="1204" spans="2:6">
      <c r="B1204" s="1"/>
      <c r="C1204" s="1"/>
      <c r="D1204" s="1"/>
      <c r="E1204" s="6"/>
      <c r="F1204" s="4"/>
    </row>
    <row r="1205" spans="2:6">
      <c r="B1205" s="1"/>
      <c r="C1205" s="1"/>
      <c r="D1205" s="1"/>
      <c r="E1205" s="6"/>
      <c r="F1205" s="4"/>
    </row>
    <row r="1206" spans="2:6">
      <c r="B1206" s="1"/>
      <c r="C1206" s="1"/>
      <c r="D1206" s="1"/>
      <c r="E1206" s="6"/>
      <c r="F1206" s="4"/>
    </row>
    <row r="1207" spans="2:6">
      <c r="B1207" s="1"/>
      <c r="C1207" s="1"/>
      <c r="D1207" s="1"/>
      <c r="E1207" s="6"/>
      <c r="F1207" s="4"/>
    </row>
    <row r="1208" spans="2:6">
      <c r="B1208" s="1"/>
      <c r="C1208" s="1"/>
      <c r="D1208" s="1"/>
      <c r="E1208" s="6"/>
      <c r="F1208" s="4"/>
    </row>
    <row r="1209" spans="2:6">
      <c r="B1209" s="1"/>
      <c r="C1209" s="1"/>
      <c r="D1209" s="1"/>
      <c r="E1209" s="6"/>
      <c r="F1209" s="4"/>
    </row>
    <row r="1210" spans="2:6">
      <c r="B1210" s="1"/>
      <c r="C1210" s="1"/>
      <c r="D1210" s="1"/>
      <c r="E1210" s="6"/>
      <c r="F1210" s="4"/>
    </row>
    <row r="1211" spans="2:6">
      <c r="B1211" s="1"/>
      <c r="C1211" s="1"/>
      <c r="D1211" s="1"/>
      <c r="E1211" s="6"/>
      <c r="F1211" s="4"/>
    </row>
    <row r="1212" spans="2:6">
      <c r="B1212" s="1"/>
      <c r="C1212" s="1"/>
      <c r="D1212" s="1"/>
      <c r="E1212" s="6"/>
      <c r="F1212" s="4"/>
    </row>
    <row r="1213" spans="2:6">
      <c r="B1213" s="1"/>
      <c r="C1213" s="1"/>
      <c r="D1213" s="1"/>
      <c r="E1213" s="6"/>
      <c r="F1213" s="4"/>
    </row>
    <row r="1214" spans="2:6">
      <c r="B1214" s="1"/>
      <c r="C1214" s="1"/>
      <c r="D1214" s="1"/>
      <c r="E1214" s="6"/>
      <c r="F1214" s="4"/>
    </row>
    <row r="1215" spans="2:6">
      <c r="B1215" s="1"/>
      <c r="C1215" s="1"/>
      <c r="D1215" s="1"/>
      <c r="E1215" s="6"/>
      <c r="F1215" s="4"/>
    </row>
    <row r="1216" spans="2:6">
      <c r="B1216" s="1"/>
      <c r="C1216" s="1"/>
      <c r="D1216" s="1"/>
      <c r="E1216" s="6"/>
      <c r="F1216" s="4"/>
    </row>
    <row r="1217" spans="2:6">
      <c r="B1217" s="1"/>
      <c r="C1217" s="1"/>
      <c r="D1217" s="1"/>
      <c r="E1217" s="6"/>
      <c r="F1217" s="4"/>
    </row>
    <row r="1218" spans="2:6">
      <c r="B1218" s="1"/>
      <c r="C1218" s="1"/>
      <c r="D1218" s="1"/>
      <c r="E1218" s="6"/>
      <c r="F1218" s="4"/>
    </row>
    <row r="1219" spans="2:6">
      <c r="B1219" s="1"/>
      <c r="C1219" s="1"/>
      <c r="D1219" s="1"/>
      <c r="E1219" s="6"/>
      <c r="F1219" s="4"/>
    </row>
    <row r="1220" spans="2:6">
      <c r="B1220" s="1"/>
      <c r="C1220" s="1"/>
      <c r="D1220" s="1"/>
      <c r="E1220" s="6"/>
      <c r="F1220" s="4"/>
    </row>
    <row r="1221" spans="2:6">
      <c r="B1221" s="1"/>
      <c r="C1221" s="1"/>
      <c r="D1221" s="1"/>
      <c r="E1221" s="6"/>
      <c r="F1221" s="4"/>
    </row>
    <row r="1222" spans="2:6">
      <c r="B1222" s="1"/>
      <c r="C1222" s="1"/>
      <c r="D1222" s="1"/>
      <c r="E1222" s="6"/>
      <c r="F1222" s="4"/>
    </row>
    <row r="1223" spans="2:6">
      <c r="B1223" s="1"/>
      <c r="C1223" s="1"/>
      <c r="D1223" s="1"/>
      <c r="E1223" s="6"/>
      <c r="F1223" s="4"/>
    </row>
    <row r="1224" spans="2:6">
      <c r="B1224" s="1"/>
      <c r="C1224" s="1"/>
      <c r="D1224" s="1"/>
      <c r="E1224" s="6"/>
      <c r="F1224" s="4"/>
    </row>
    <row r="1225" spans="2:6">
      <c r="B1225" s="1"/>
      <c r="C1225" s="1"/>
      <c r="D1225" s="1"/>
      <c r="E1225" s="6"/>
      <c r="F1225" s="4"/>
    </row>
    <row r="1226" spans="2:6">
      <c r="B1226" s="1"/>
      <c r="C1226" s="1"/>
      <c r="D1226" s="1"/>
      <c r="E1226" s="6"/>
      <c r="F1226" s="4"/>
    </row>
    <row r="1227" spans="2:6">
      <c r="B1227" s="1"/>
      <c r="C1227" s="1"/>
      <c r="D1227" s="1"/>
      <c r="E1227" s="6"/>
      <c r="F1227" s="4"/>
    </row>
    <row r="1228" spans="2:6">
      <c r="B1228" s="1"/>
      <c r="C1228" s="1"/>
      <c r="D1228" s="1"/>
      <c r="E1228" s="6"/>
      <c r="F1228" s="4"/>
    </row>
    <row r="1229" spans="2:6">
      <c r="B1229" s="1"/>
      <c r="C1229" s="1"/>
      <c r="D1229" s="1"/>
      <c r="E1229" s="6"/>
      <c r="F1229" s="4"/>
    </row>
    <row r="1230" spans="2:6">
      <c r="B1230" s="1"/>
      <c r="C1230" s="1"/>
      <c r="D1230" s="1"/>
      <c r="E1230" s="6"/>
      <c r="F1230" s="4"/>
    </row>
    <row r="1231" spans="2:6">
      <c r="B1231" s="1"/>
      <c r="C1231" s="1"/>
      <c r="D1231" s="1"/>
      <c r="E1231" s="6"/>
      <c r="F1231" s="4"/>
    </row>
    <row r="1232" spans="2:6">
      <c r="B1232" s="1"/>
      <c r="C1232" s="1"/>
      <c r="D1232" s="1"/>
      <c r="E1232" s="6"/>
      <c r="F1232" s="4"/>
    </row>
    <row r="1233" spans="2:6">
      <c r="B1233" s="1"/>
      <c r="C1233" s="1"/>
      <c r="D1233" s="1"/>
      <c r="E1233" s="6"/>
      <c r="F1233" s="4"/>
    </row>
    <row r="1234" spans="2:6">
      <c r="B1234" s="1"/>
      <c r="C1234" s="1"/>
      <c r="D1234" s="1"/>
      <c r="E1234" s="6"/>
      <c r="F1234" s="4"/>
    </row>
    <row r="1235" spans="2:6">
      <c r="B1235" s="1"/>
      <c r="C1235" s="1"/>
      <c r="D1235" s="1"/>
      <c r="E1235" s="6"/>
      <c r="F1235" s="4"/>
    </row>
    <row r="1236" spans="2:6">
      <c r="B1236" s="1"/>
      <c r="C1236" s="1"/>
      <c r="D1236" s="1"/>
      <c r="E1236" s="6"/>
      <c r="F1236" s="4"/>
    </row>
    <row r="1237" spans="2:6">
      <c r="B1237" s="1"/>
      <c r="C1237" s="1"/>
      <c r="D1237" s="1"/>
      <c r="E1237" s="6"/>
      <c r="F1237" s="4"/>
    </row>
    <row r="1238" spans="2:6">
      <c r="B1238" s="1"/>
      <c r="C1238" s="1"/>
      <c r="D1238" s="1"/>
      <c r="E1238" s="6"/>
      <c r="F1238" s="4"/>
    </row>
    <row r="1239" spans="2:6">
      <c r="B1239" s="1"/>
      <c r="C1239" s="1"/>
      <c r="D1239" s="1"/>
      <c r="E1239" s="6"/>
      <c r="F1239" s="4"/>
    </row>
    <row r="1240" spans="2:6">
      <c r="B1240" s="1"/>
      <c r="C1240" s="1"/>
      <c r="D1240" s="1"/>
      <c r="E1240" s="6"/>
      <c r="F1240" s="4"/>
    </row>
    <row r="1241" spans="2:6">
      <c r="B1241" s="1"/>
      <c r="C1241" s="1"/>
      <c r="D1241" s="1"/>
      <c r="E1241" s="6"/>
      <c r="F1241" s="4"/>
    </row>
    <row r="1242" spans="2:6">
      <c r="B1242" s="1"/>
      <c r="C1242" s="1"/>
      <c r="D1242" s="1"/>
      <c r="E1242" s="6"/>
      <c r="F1242" s="4"/>
    </row>
    <row r="1243" spans="2:6">
      <c r="B1243" s="1"/>
      <c r="C1243" s="1"/>
      <c r="D1243" s="1"/>
      <c r="E1243" s="6"/>
      <c r="F1243" s="4"/>
    </row>
    <row r="1244" spans="2:6">
      <c r="B1244" s="1"/>
      <c r="C1244" s="1"/>
      <c r="D1244" s="1"/>
      <c r="E1244" s="6"/>
      <c r="F1244" s="4"/>
    </row>
    <row r="1245" spans="2:6">
      <c r="B1245" s="1"/>
      <c r="C1245" s="1"/>
      <c r="D1245" s="1"/>
      <c r="E1245" s="6"/>
      <c r="F1245" s="4"/>
    </row>
    <row r="1246" spans="2:6">
      <c r="B1246" s="1"/>
      <c r="C1246" s="1"/>
      <c r="D1246" s="1"/>
      <c r="E1246" s="6"/>
      <c r="F1246" s="4"/>
    </row>
    <row r="1247" spans="2:6">
      <c r="B1247" s="1"/>
      <c r="C1247" s="1"/>
      <c r="D1247" s="1"/>
      <c r="E1247" s="6"/>
      <c r="F1247" s="4"/>
    </row>
    <row r="1248" spans="2:6">
      <c r="B1248" s="1"/>
      <c r="C1248" s="1"/>
      <c r="D1248" s="1"/>
      <c r="E1248" s="6"/>
      <c r="F1248" s="4"/>
    </row>
    <row r="1249" spans="2:6">
      <c r="B1249" s="1"/>
      <c r="C1249" s="1"/>
      <c r="D1249" s="1"/>
      <c r="E1249" s="6"/>
      <c r="F1249" s="4"/>
    </row>
    <row r="1250" spans="2:6">
      <c r="B1250" s="1"/>
      <c r="C1250" s="1"/>
      <c r="D1250" s="1"/>
      <c r="E1250" s="6"/>
      <c r="F1250" s="4"/>
    </row>
    <row r="1251" spans="2:6">
      <c r="B1251" s="1"/>
      <c r="C1251" s="1"/>
      <c r="D1251" s="1"/>
      <c r="E1251" s="6"/>
      <c r="F1251" s="4"/>
    </row>
    <row r="1252" spans="2:6">
      <c r="B1252" s="1"/>
      <c r="C1252" s="1"/>
      <c r="D1252" s="1"/>
      <c r="E1252" s="6"/>
      <c r="F1252" s="4"/>
    </row>
    <row r="1253" spans="2:6">
      <c r="B1253" s="1"/>
      <c r="C1253" s="1"/>
      <c r="D1253" s="1"/>
      <c r="E1253" s="6"/>
      <c r="F1253" s="4"/>
    </row>
    <row r="1254" spans="2:6">
      <c r="B1254" s="1"/>
      <c r="C1254" s="1"/>
      <c r="D1254" s="1"/>
      <c r="E1254" s="6"/>
      <c r="F1254" s="4"/>
    </row>
    <row r="1255" spans="2:6">
      <c r="B1255" s="1"/>
      <c r="C1255" s="1"/>
      <c r="D1255" s="1"/>
      <c r="E1255" s="6"/>
      <c r="F1255" s="4"/>
    </row>
    <row r="1256" spans="2:6">
      <c r="B1256" s="1"/>
      <c r="C1256" s="1"/>
      <c r="D1256" s="1"/>
      <c r="E1256" s="6"/>
      <c r="F1256" s="4"/>
    </row>
    <row r="1257" spans="2:6">
      <c r="B1257" s="1"/>
      <c r="C1257" s="1"/>
      <c r="D1257" s="1"/>
      <c r="E1257" s="6"/>
      <c r="F1257" s="4"/>
    </row>
    <row r="1258" spans="2:6">
      <c r="B1258" s="1"/>
      <c r="C1258" s="1"/>
      <c r="D1258" s="1"/>
      <c r="E1258" s="6"/>
      <c r="F1258" s="4"/>
    </row>
    <row r="1259" spans="2:6">
      <c r="B1259" s="1"/>
      <c r="C1259" s="1"/>
      <c r="D1259" s="1"/>
      <c r="E1259" s="6"/>
      <c r="F1259" s="4"/>
    </row>
    <row r="1260" spans="2:6">
      <c r="B1260" s="1"/>
      <c r="C1260" s="1"/>
      <c r="D1260" s="1"/>
      <c r="E1260" s="6"/>
      <c r="F1260" s="4"/>
    </row>
    <row r="1261" spans="2:6">
      <c r="B1261" s="1"/>
      <c r="C1261" s="1"/>
      <c r="D1261" s="1"/>
      <c r="E1261" s="6"/>
      <c r="F1261" s="4"/>
    </row>
    <row r="1262" spans="2:6">
      <c r="B1262" s="1"/>
      <c r="C1262" s="1"/>
      <c r="D1262" s="1"/>
      <c r="E1262" s="6"/>
      <c r="F1262" s="4"/>
    </row>
    <row r="1263" spans="2:6">
      <c r="B1263" s="1"/>
      <c r="C1263" s="1"/>
      <c r="D1263" s="1"/>
      <c r="E1263" s="6"/>
      <c r="F1263" s="4"/>
    </row>
    <row r="1264" spans="2:6">
      <c r="B1264" s="1"/>
      <c r="C1264" s="1"/>
      <c r="D1264" s="1"/>
      <c r="E1264" s="6"/>
      <c r="F1264" s="4"/>
    </row>
    <row r="1265" spans="2:6">
      <c r="B1265" s="1"/>
      <c r="C1265" s="1"/>
      <c r="D1265" s="1"/>
      <c r="E1265" s="6"/>
      <c r="F1265" s="4"/>
    </row>
    <row r="1266" spans="2:6">
      <c r="B1266" s="1"/>
      <c r="C1266" s="1"/>
      <c r="D1266" s="1"/>
      <c r="E1266" s="6"/>
      <c r="F1266" s="4"/>
    </row>
    <row r="1267" spans="2:6">
      <c r="B1267" s="1"/>
      <c r="C1267" s="1"/>
      <c r="D1267" s="1"/>
      <c r="E1267" s="6"/>
      <c r="F1267" s="4"/>
    </row>
    <row r="1268" spans="2:6">
      <c r="B1268" s="1"/>
      <c r="C1268" s="1"/>
      <c r="D1268" s="1"/>
      <c r="E1268" s="6"/>
      <c r="F1268" s="4"/>
    </row>
    <row r="1269" spans="2:6">
      <c r="B1269" s="1"/>
      <c r="C1269" s="1"/>
      <c r="D1269" s="1"/>
      <c r="E1269" s="6"/>
      <c r="F1269" s="4"/>
    </row>
    <row r="1270" spans="2:6">
      <c r="B1270" s="1"/>
      <c r="C1270" s="1"/>
      <c r="D1270" s="1"/>
      <c r="E1270" s="6"/>
      <c r="F1270" s="4"/>
    </row>
    <row r="1271" spans="2:6">
      <c r="B1271" s="1"/>
      <c r="C1271" s="1"/>
      <c r="D1271" s="1"/>
      <c r="E1271" s="6"/>
      <c r="F1271" s="4"/>
    </row>
    <row r="1272" spans="2:6">
      <c r="B1272" s="1"/>
      <c r="C1272" s="1"/>
      <c r="D1272" s="1"/>
      <c r="E1272" s="6"/>
      <c r="F1272" s="4"/>
    </row>
    <row r="1273" spans="2:6">
      <c r="B1273" s="1"/>
      <c r="C1273" s="1"/>
      <c r="D1273" s="1"/>
      <c r="E1273" s="6"/>
      <c r="F1273" s="4"/>
    </row>
    <row r="1274" spans="2:6">
      <c r="B1274" s="1"/>
      <c r="C1274" s="1"/>
      <c r="D1274" s="1"/>
      <c r="E1274" s="6"/>
      <c r="F1274" s="4"/>
    </row>
    <row r="1275" spans="2:6">
      <c r="B1275" s="1"/>
      <c r="C1275" s="1"/>
      <c r="D1275" s="1"/>
      <c r="E1275" s="6"/>
      <c r="F1275" s="4"/>
    </row>
    <row r="1276" spans="2:6">
      <c r="B1276" s="1"/>
      <c r="C1276" s="1"/>
      <c r="D1276" s="1"/>
      <c r="E1276" s="6"/>
      <c r="F1276" s="4"/>
    </row>
    <row r="1277" spans="2:6">
      <c r="B1277" s="1"/>
      <c r="C1277" s="1"/>
      <c r="D1277" s="1"/>
      <c r="E1277" s="6"/>
      <c r="F1277" s="4"/>
    </row>
    <row r="1278" spans="2:6">
      <c r="B1278" s="1"/>
      <c r="C1278" s="1"/>
      <c r="D1278" s="1"/>
      <c r="E1278" s="6"/>
      <c r="F1278" s="4"/>
    </row>
    <row r="1279" spans="2:6">
      <c r="B1279" s="1"/>
      <c r="C1279" s="1"/>
      <c r="D1279" s="1"/>
      <c r="E1279" s="6"/>
      <c r="F1279" s="4"/>
    </row>
    <row r="1280" spans="2:6">
      <c r="B1280" s="1"/>
      <c r="C1280" s="1"/>
      <c r="D1280" s="1"/>
      <c r="E1280" s="6"/>
      <c r="F1280" s="4"/>
    </row>
    <row r="1281" spans="2:6">
      <c r="B1281" s="1"/>
      <c r="C1281" s="1"/>
      <c r="D1281" s="1"/>
      <c r="E1281" s="6"/>
      <c r="F1281" s="4"/>
    </row>
    <row r="1282" spans="2:6">
      <c r="B1282" s="1"/>
      <c r="C1282" s="1"/>
      <c r="D1282" s="1"/>
      <c r="E1282" s="6"/>
      <c r="F1282" s="4"/>
    </row>
    <row r="1283" spans="2:6">
      <c r="B1283" s="1"/>
      <c r="C1283" s="1"/>
      <c r="D1283" s="1"/>
      <c r="E1283" s="6"/>
      <c r="F1283" s="4"/>
    </row>
    <row r="1284" spans="2:6">
      <c r="B1284" s="1"/>
      <c r="C1284" s="1"/>
      <c r="D1284" s="1"/>
      <c r="E1284" s="6"/>
      <c r="F1284" s="4"/>
    </row>
    <row r="1285" spans="2:6">
      <c r="B1285" s="1"/>
      <c r="C1285" s="1"/>
      <c r="D1285" s="1"/>
      <c r="E1285" s="6"/>
      <c r="F1285" s="4"/>
    </row>
    <row r="1286" spans="2:6">
      <c r="B1286" s="1"/>
      <c r="C1286" s="1"/>
      <c r="D1286" s="1"/>
      <c r="E1286" s="6"/>
      <c r="F1286" s="4"/>
    </row>
    <row r="1287" spans="2:6">
      <c r="B1287" s="1"/>
      <c r="C1287" s="1"/>
      <c r="D1287" s="1"/>
      <c r="E1287" s="6"/>
      <c r="F1287" s="4"/>
    </row>
    <row r="1288" spans="2:6">
      <c r="B1288" s="1"/>
      <c r="C1288" s="1"/>
      <c r="D1288" s="1"/>
      <c r="E1288" s="6"/>
      <c r="F1288" s="4"/>
    </row>
    <row r="1289" spans="2:6">
      <c r="B1289" s="1"/>
      <c r="C1289" s="1"/>
      <c r="D1289" s="1"/>
      <c r="E1289" s="6"/>
      <c r="F1289" s="4"/>
    </row>
    <row r="1290" spans="2:6">
      <c r="B1290" s="1"/>
      <c r="C1290" s="1"/>
      <c r="D1290" s="1"/>
      <c r="E1290" s="6"/>
      <c r="F1290" s="4"/>
    </row>
    <row r="1291" spans="2:6">
      <c r="B1291" s="1"/>
      <c r="C1291" s="1"/>
      <c r="D1291" s="1"/>
      <c r="E1291" s="6"/>
      <c r="F1291" s="4"/>
    </row>
    <row r="1292" spans="2:6">
      <c r="B1292" s="1"/>
      <c r="C1292" s="1"/>
      <c r="D1292" s="1"/>
      <c r="E1292" s="6"/>
      <c r="F1292" s="4"/>
    </row>
    <row r="1293" spans="2:6">
      <c r="B1293" s="1"/>
      <c r="C1293" s="1"/>
      <c r="D1293" s="1"/>
      <c r="E1293" s="6"/>
      <c r="F1293" s="4"/>
    </row>
    <row r="1294" spans="2:6">
      <c r="B1294" s="1"/>
      <c r="C1294" s="1"/>
      <c r="D1294" s="1"/>
      <c r="E1294" s="6"/>
      <c r="F1294" s="4"/>
    </row>
    <row r="1295" spans="2:6">
      <c r="B1295" s="1"/>
      <c r="C1295" s="1"/>
      <c r="D1295" s="1"/>
      <c r="E1295" s="6"/>
      <c r="F1295" s="4"/>
    </row>
    <row r="1296" spans="2:6">
      <c r="B1296" s="1"/>
      <c r="C1296" s="1"/>
      <c r="D1296" s="1"/>
      <c r="E1296" s="6"/>
      <c r="F1296" s="4"/>
    </row>
    <row r="1297" spans="2:6">
      <c r="B1297" s="1"/>
      <c r="C1297" s="1"/>
      <c r="D1297" s="1"/>
      <c r="E1297" s="6"/>
      <c r="F1297" s="4"/>
    </row>
    <row r="1298" spans="2:6">
      <c r="B1298" s="1"/>
      <c r="C1298" s="1"/>
      <c r="D1298" s="1"/>
      <c r="E1298" s="6"/>
      <c r="F1298" s="4"/>
    </row>
    <row r="1299" spans="2:6">
      <c r="B1299" s="1"/>
      <c r="C1299" s="1"/>
      <c r="D1299" s="1"/>
      <c r="E1299" s="6"/>
      <c r="F1299" s="4"/>
    </row>
    <row r="1300" spans="2:6">
      <c r="B1300" s="1"/>
      <c r="C1300" s="1"/>
      <c r="D1300" s="1"/>
      <c r="E1300" s="6"/>
      <c r="F1300" s="4"/>
    </row>
    <row r="1301" spans="2:6">
      <c r="B1301" s="1"/>
      <c r="C1301" s="1"/>
      <c r="D1301" s="1"/>
      <c r="E1301" s="6"/>
      <c r="F1301" s="4"/>
    </row>
    <row r="1302" spans="2:6">
      <c r="B1302" s="1"/>
      <c r="C1302" s="1"/>
      <c r="D1302" s="1"/>
      <c r="E1302" s="6"/>
      <c r="F1302" s="4"/>
    </row>
    <row r="1303" spans="2:6">
      <c r="B1303" s="1"/>
      <c r="C1303" s="1"/>
      <c r="D1303" s="1"/>
      <c r="E1303" s="6"/>
      <c r="F1303" s="4"/>
    </row>
    <row r="1304" spans="2:6">
      <c r="B1304" s="1"/>
      <c r="C1304" s="1"/>
      <c r="D1304" s="1"/>
      <c r="E1304" s="6"/>
      <c r="F1304" s="4"/>
    </row>
    <row r="1305" spans="2:6">
      <c r="B1305" s="1"/>
      <c r="C1305" s="1"/>
      <c r="D1305" s="1"/>
      <c r="E1305" s="6"/>
      <c r="F1305" s="4"/>
    </row>
    <row r="1306" spans="2:6">
      <c r="B1306" s="1"/>
      <c r="C1306" s="1"/>
      <c r="D1306" s="1"/>
      <c r="E1306" s="6"/>
      <c r="F1306" s="4"/>
    </row>
    <row r="1307" spans="2:6">
      <c r="B1307" s="1"/>
      <c r="C1307" s="1"/>
      <c r="D1307" s="1"/>
      <c r="E1307" s="6"/>
      <c r="F1307" s="4"/>
    </row>
    <row r="1308" spans="2:6">
      <c r="B1308" s="1"/>
      <c r="C1308" s="1"/>
      <c r="D1308" s="1"/>
      <c r="E1308" s="6"/>
      <c r="F1308" s="4"/>
    </row>
    <row r="1309" spans="2:6">
      <c r="B1309" s="1"/>
      <c r="C1309" s="1"/>
      <c r="D1309" s="1"/>
      <c r="E1309" s="6"/>
      <c r="F1309" s="4"/>
    </row>
    <row r="1310" spans="2:6">
      <c r="B1310" s="1"/>
      <c r="C1310" s="1"/>
      <c r="D1310" s="1"/>
      <c r="E1310" s="6"/>
      <c r="F1310" s="4"/>
    </row>
    <row r="1311" spans="2:6">
      <c r="B1311" s="1"/>
      <c r="C1311" s="1"/>
      <c r="D1311" s="1"/>
      <c r="E1311" s="6"/>
      <c r="F1311" s="4"/>
    </row>
    <row r="1312" spans="2:6">
      <c r="B1312" s="1"/>
      <c r="C1312" s="1"/>
      <c r="D1312" s="1"/>
      <c r="E1312" s="6"/>
      <c r="F1312" s="4"/>
    </row>
    <row r="1313" spans="2:6">
      <c r="B1313" s="1"/>
      <c r="C1313" s="1"/>
      <c r="D1313" s="1"/>
      <c r="E1313" s="6"/>
      <c r="F1313" s="4"/>
    </row>
    <row r="1314" spans="2:6">
      <c r="B1314" s="1"/>
      <c r="C1314" s="1"/>
      <c r="D1314" s="1"/>
      <c r="E1314" s="6"/>
      <c r="F1314" s="4"/>
    </row>
    <row r="1315" spans="2:6">
      <c r="B1315" s="1"/>
      <c r="C1315" s="1"/>
      <c r="D1315" s="1"/>
      <c r="E1315" s="6"/>
      <c r="F1315" s="4"/>
    </row>
    <row r="1316" spans="2:6">
      <c r="B1316" s="1"/>
      <c r="C1316" s="1"/>
      <c r="D1316" s="1"/>
      <c r="E1316" s="6"/>
      <c r="F1316" s="4"/>
    </row>
    <row r="1317" spans="2:6">
      <c r="B1317" s="1"/>
      <c r="C1317" s="1"/>
      <c r="D1317" s="1"/>
      <c r="E1317" s="6"/>
      <c r="F1317" s="4"/>
    </row>
    <row r="1318" spans="2:6">
      <c r="B1318" s="1"/>
      <c r="C1318" s="1"/>
      <c r="D1318" s="1"/>
      <c r="E1318" s="6"/>
      <c r="F1318" s="4"/>
    </row>
    <row r="1319" spans="2:6">
      <c r="B1319" s="1"/>
      <c r="C1319" s="1"/>
      <c r="D1319" s="1"/>
      <c r="E1319" s="6"/>
      <c r="F1319" s="4"/>
    </row>
    <row r="1320" spans="2:6">
      <c r="B1320" s="1"/>
      <c r="C1320" s="1"/>
      <c r="D1320" s="1"/>
      <c r="E1320" s="6"/>
      <c r="F1320" s="4"/>
    </row>
    <row r="1321" spans="2:6">
      <c r="B1321" s="1"/>
      <c r="C1321" s="1"/>
      <c r="D1321" s="1"/>
      <c r="E1321" s="6"/>
      <c r="F1321" s="4"/>
    </row>
    <row r="1322" spans="2:6">
      <c r="B1322" s="1"/>
      <c r="C1322" s="1"/>
      <c r="D1322" s="1"/>
      <c r="E1322" s="6"/>
      <c r="F1322" s="4"/>
    </row>
    <row r="1323" spans="2:6">
      <c r="B1323" s="1"/>
      <c r="C1323" s="1"/>
      <c r="D1323" s="1"/>
      <c r="E1323" s="6"/>
      <c r="F1323" s="4"/>
    </row>
    <row r="1324" spans="2:6">
      <c r="B1324" s="1"/>
      <c r="C1324" s="1"/>
      <c r="D1324" s="1"/>
      <c r="E1324" s="6"/>
      <c r="F1324" s="4"/>
    </row>
    <row r="1325" spans="2:6">
      <c r="B1325" s="1"/>
      <c r="C1325" s="1"/>
      <c r="D1325" s="1"/>
      <c r="E1325" s="6"/>
      <c r="F1325" s="4"/>
    </row>
    <row r="1326" spans="2:6">
      <c r="B1326" s="1"/>
      <c r="C1326" s="1"/>
      <c r="D1326" s="1"/>
      <c r="E1326" s="6"/>
      <c r="F1326" s="4"/>
    </row>
    <row r="1327" spans="2:6">
      <c r="B1327" s="1"/>
      <c r="C1327" s="1"/>
      <c r="D1327" s="1"/>
      <c r="E1327" s="6"/>
      <c r="F1327" s="4"/>
    </row>
    <row r="1328" spans="2:6">
      <c r="B1328" s="1"/>
      <c r="C1328" s="1"/>
      <c r="D1328" s="1"/>
      <c r="E1328" s="6"/>
      <c r="F1328" s="4"/>
    </row>
    <row r="1329" spans="2:6">
      <c r="B1329" s="1"/>
      <c r="C1329" s="1"/>
      <c r="D1329" s="1"/>
      <c r="E1329" s="6"/>
      <c r="F1329" s="4"/>
    </row>
    <row r="1330" spans="2:6">
      <c r="B1330" s="1"/>
      <c r="C1330" s="1"/>
      <c r="D1330" s="1"/>
      <c r="E1330" s="6"/>
      <c r="F1330" s="4"/>
    </row>
    <row r="1331" spans="2:6">
      <c r="B1331" s="1"/>
      <c r="C1331" s="1"/>
      <c r="D1331" s="1"/>
      <c r="E1331" s="6"/>
      <c r="F1331" s="4"/>
    </row>
    <row r="1332" spans="2:6">
      <c r="B1332" s="1"/>
      <c r="C1332" s="1"/>
      <c r="D1332" s="1"/>
      <c r="E1332" s="6"/>
      <c r="F1332" s="4"/>
    </row>
    <row r="1333" spans="2:6">
      <c r="B1333" s="1"/>
      <c r="C1333" s="1"/>
      <c r="D1333" s="1"/>
      <c r="E1333" s="6"/>
      <c r="F1333" s="4"/>
    </row>
    <row r="1334" spans="2:6">
      <c r="B1334" s="1"/>
      <c r="C1334" s="1"/>
      <c r="D1334" s="1"/>
      <c r="E1334" s="6"/>
      <c r="F1334" s="4"/>
    </row>
    <row r="1335" spans="2:6">
      <c r="B1335" s="1"/>
      <c r="C1335" s="1"/>
      <c r="D1335" s="1"/>
      <c r="E1335" s="6"/>
      <c r="F1335" s="4"/>
    </row>
    <row r="1336" spans="2:6">
      <c r="B1336" s="1"/>
      <c r="C1336" s="1"/>
      <c r="D1336" s="1"/>
      <c r="E1336" s="6"/>
      <c r="F1336" s="4"/>
    </row>
    <row r="1337" spans="2:6">
      <c r="B1337" s="1"/>
      <c r="C1337" s="1"/>
      <c r="D1337" s="1"/>
      <c r="E1337" s="6"/>
      <c r="F1337" s="4"/>
    </row>
    <row r="1338" spans="2:6">
      <c r="B1338" s="1"/>
      <c r="C1338" s="1"/>
      <c r="D1338" s="1"/>
      <c r="E1338" s="6"/>
      <c r="F1338" s="4"/>
    </row>
    <row r="1339" spans="2:6">
      <c r="B1339" s="1"/>
      <c r="C1339" s="1"/>
      <c r="D1339" s="1"/>
      <c r="E1339" s="6"/>
      <c r="F1339" s="4"/>
    </row>
    <row r="1340" spans="2:6">
      <c r="B1340" s="1"/>
      <c r="C1340" s="1"/>
      <c r="D1340" s="1"/>
      <c r="E1340" s="6"/>
      <c r="F1340" s="4"/>
    </row>
    <row r="1341" spans="2:6">
      <c r="B1341" s="1"/>
      <c r="C1341" s="1"/>
      <c r="D1341" s="1"/>
      <c r="E1341" s="6"/>
      <c r="F1341" s="4"/>
    </row>
    <row r="1342" spans="2:6">
      <c r="B1342" s="1"/>
      <c r="C1342" s="1"/>
      <c r="D1342" s="1"/>
      <c r="E1342" s="6"/>
      <c r="F1342" s="4"/>
    </row>
    <row r="1343" spans="2:6">
      <c r="B1343" s="1"/>
      <c r="C1343" s="1"/>
      <c r="D1343" s="1"/>
      <c r="E1343" s="6"/>
      <c r="F1343" s="4"/>
    </row>
    <row r="1344" spans="2:6">
      <c r="B1344" s="1"/>
      <c r="C1344" s="1"/>
      <c r="D1344" s="1"/>
      <c r="E1344" s="6"/>
      <c r="F1344" s="4"/>
    </row>
    <row r="1345" spans="2:6">
      <c r="B1345" s="1"/>
      <c r="C1345" s="1"/>
      <c r="D1345" s="1"/>
      <c r="E1345" s="6"/>
      <c r="F1345" s="4"/>
    </row>
    <row r="1346" spans="2:6">
      <c r="B1346" s="1"/>
      <c r="C1346" s="1"/>
      <c r="D1346" s="1"/>
      <c r="E1346" s="6"/>
      <c r="F1346" s="4"/>
    </row>
    <row r="1347" spans="2:6">
      <c r="B1347" s="1"/>
      <c r="C1347" s="1"/>
      <c r="D1347" s="1"/>
      <c r="E1347" s="6"/>
      <c r="F1347" s="4"/>
    </row>
    <row r="1348" spans="2:6">
      <c r="B1348" s="1"/>
      <c r="C1348" s="1"/>
      <c r="D1348" s="1"/>
      <c r="E1348" s="6"/>
      <c r="F1348" s="4"/>
    </row>
    <row r="1349" spans="2:6">
      <c r="B1349" s="1"/>
      <c r="C1349" s="1"/>
      <c r="D1349" s="1"/>
      <c r="E1349" s="6"/>
      <c r="F1349" s="4"/>
    </row>
    <row r="1350" spans="2:6">
      <c r="B1350" s="1"/>
      <c r="C1350" s="1"/>
      <c r="D1350" s="1"/>
      <c r="E1350" s="6"/>
      <c r="F1350" s="4"/>
    </row>
    <row r="1351" spans="2:6">
      <c r="B1351" s="1"/>
      <c r="C1351" s="1"/>
      <c r="D1351" s="1"/>
      <c r="E1351" s="6"/>
      <c r="F1351" s="4"/>
    </row>
    <row r="1352" spans="2:6">
      <c r="B1352" s="1"/>
      <c r="C1352" s="1"/>
      <c r="D1352" s="1"/>
      <c r="E1352" s="6"/>
      <c r="F1352" s="4"/>
    </row>
    <row r="1353" spans="2:6">
      <c r="B1353" s="1"/>
      <c r="C1353" s="1"/>
      <c r="D1353" s="1"/>
      <c r="E1353" s="6"/>
      <c r="F1353" s="4"/>
    </row>
    <row r="1354" spans="2:6">
      <c r="B1354" s="1"/>
      <c r="C1354" s="1"/>
      <c r="D1354" s="1"/>
      <c r="E1354" s="6"/>
      <c r="F1354" s="4"/>
    </row>
    <row r="1355" spans="2:6">
      <c r="B1355" s="1"/>
      <c r="C1355" s="1"/>
      <c r="D1355" s="1"/>
      <c r="E1355" s="6"/>
      <c r="F1355" s="4"/>
    </row>
    <row r="1356" spans="2:6">
      <c r="B1356" s="1"/>
      <c r="C1356" s="1"/>
      <c r="D1356" s="1"/>
      <c r="E1356" s="6"/>
      <c r="F1356" s="4"/>
    </row>
    <row r="1357" spans="2:6">
      <c r="B1357" s="1"/>
      <c r="C1357" s="1"/>
      <c r="D1357" s="1"/>
      <c r="E1357" s="6"/>
      <c r="F1357" s="4"/>
    </row>
    <row r="1358" spans="2:6">
      <c r="B1358" s="1"/>
      <c r="C1358" s="1"/>
      <c r="D1358" s="1"/>
      <c r="E1358" s="6"/>
      <c r="F1358" s="4"/>
    </row>
    <row r="1359" spans="2:6">
      <c r="B1359" s="1"/>
      <c r="C1359" s="1"/>
      <c r="D1359" s="1"/>
      <c r="E1359" s="6"/>
      <c r="F1359" s="4"/>
    </row>
    <row r="1360" spans="2:6">
      <c r="B1360" s="1"/>
      <c r="C1360" s="1"/>
      <c r="D1360" s="1"/>
      <c r="E1360" s="6"/>
      <c r="F1360" s="4"/>
    </row>
    <row r="1361" spans="2:6">
      <c r="B1361" s="1"/>
      <c r="C1361" s="1"/>
      <c r="D1361" s="1"/>
      <c r="E1361" s="6"/>
      <c r="F1361" s="4"/>
    </row>
    <row r="1362" spans="2:6">
      <c r="B1362" s="1"/>
      <c r="C1362" s="1"/>
      <c r="D1362" s="1"/>
      <c r="E1362" s="6"/>
      <c r="F1362" s="4"/>
    </row>
    <row r="1363" spans="2:6">
      <c r="B1363" s="1"/>
      <c r="C1363" s="1"/>
      <c r="D1363" s="1"/>
      <c r="E1363" s="6"/>
      <c r="F1363" s="4"/>
    </row>
    <row r="1364" spans="2:6">
      <c r="B1364" s="1"/>
      <c r="C1364" s="1"/>
      <c r="D1364" s="1"/>
      <c r="E1364" s="6"/>
      <c r="F1364" s="4"/>
    </row>
    <row r="1365" spans="2:6">
      <c r="B1365" s="1"/>
      <c r="C1365" s="1"/>
      <c r="D1365" s="1"/>
      <c r="E1365" s="6"/>
      <c r="F1365" s="4"/>
    </row>
    <row r="1366" spans="2:6">
      <c r="B1366" s="1"/>
      <c r="C1366" s="1"/>
      <c r="D1366" s="1"/>
      <c r="E1366" s="6"/>
      <c r="F1366" s="4"/>
    </row>
    <row r="1367" spans="2:6">
      <c r="B1367" s="1"/>
      <c r="C1367" s="1"/>
      <c r="D1367" s="1"/>
      <c r="E1367" s="6"/>
      <c r="F1367" s="4"/>
    </row>
    <row r="1368" spans="2:6">
      <c r="B1368" s="1"/>
      <c r="C1368" s="1"/>
      <c r="D1368" s="1"/>
      <c r="E1368" s="6"/>
      <c r="F1368" s="4"/>
    </row>
    <row r="1369" spans="2:6">
      <c r="B1369" s="1"/>
      <c r="C1369" s="1"/>
      <c r="D1369" s="1"/>
      <c r="E1369" s="6"/>
      <c r="F1369" s="4"/>
    </row>
    <row r="1370" spans="2:6">
      <c r="B1370" s="1"/>
      <c r="C1370" s="1"/>
      <c r="D1370" s="1"/>
      <c r="E1370" s="6"/>
      <c r="F1370" s="4"/>
    </row>
    <row r="1371" spans="2:6">
      <c r="B1371" s="1"/>
      <c r="C1371" s="1"/>
      <c r="D1371" s="1"/>
      <c r="E1371" s="6"/>
      <c r="F1371" s="4"/>
    </row>
    <row r="1372" spans="2:6">
      <c r="B1372" s="1"/>
      <c r="C1372" s="1"/>
      <c r="D1372" s="1"/>
      <c r="E1372" s="6"/>
      <c r="F1372" s="4"/>
    </row>
    <row r="1373" spans="2:6">
      <c r="B1373" s="1"/>
      <c r="C1373" s="1"/>
      <c r="D1373" s="1"/>
      <c r="E1373" s="6"/>
      <c r="F1373" s="4"/>
    </row>
    <row r="1374" spans="2:6">
      <c r="B1374" s="1"/>
      <c r="C1374" s="1"/>
      <c r="D1374" s="1"/>
      <c r="E1374" s="6"/>
      <c r="F1374" s="4"/>
    </row>
    <row r="1375" spans="2:6">
      <c r="B1375" s="1"/>
      <c r="C1375" s="1"/>
      <c r="D1375" s="1"/>
      <c r="E1375" s="6"/>
      <c r="F1375" s="4"/>
    </row>
    <row r="1376" spans="2:6">
      <c r="B1376" s="1"/>
      <c r="C1376" s="1"/>
      <c r="D1376" s="1"/>
      <c r="E1376" s="6"/>
      <c r="F1376" s="4"/>
    </row>
    <row r="1377" spans="2:6">
      <c r="B1377" s="1"/>
      <c r="C1377" s="1"/>
      <c r="D1377" s="1"/>
      <c r="E1377" s="6"/>
      <c r="F1377" s="4"/>
    </row>
    <row r="1378" spans="2:6">
      <c r="B1378" s="1"/>
      <c r="C1378" s="1"/>
      <c r="D1378" s="1"/>
      <c r="E1378" s="6"/>
      <c r="F1378" s="4"/>
    </row>
    <row r="1379" spans="2:6">
      <c r="B1379" s="1"/>
      <c r="C1379" s="1"/>
      <c r="D1379" s="1"/>
      <c r="E1379" s="6"/>
      <c r="F1379" s="4"/>
    </row>
    <row r="1380" spans="2:6">
      <c r="B1380" s="1"/>
      <c r="C1380" s="1"/>
      <c r="D1380" s="1"/>
      <c r="E1380" s="6"/>
      <c r="F1380" s="4"/>
    </row>
    <row r="1381" spans="2:6">
      <c r="B1381" s="1"/>
      <c r="C1381" s="1"/>
      <c r="D1381" s="1"/>
      <c r="E1381" s="6"/>
      <c r="F1381" s="4"/>
    </row>
    <row r="1382" spans="2:6">
      <c r="B1382" s="1"/>
      <c r="C1382" s="1"/>
      <c r="D1382" s="1"/>
      <c r="E1382" s="6"/>
      <c r="F1382" s="4"/>
    </row>
    <row r="1383" spans="2:6">
      <c r="B1383" s="1"/>
      <c r="C1383" s="1"/>
      <c r="D1383" s="1"/>
      <c r="E1383" s="6"/>
      <c r="F1383" s="4"/>
    </row>
    <row r="1384" spans="2:6">
      <c r="B1384" s="1"/>
      <c r="C1384" s="1"/>
      <c r="D1384" s="1"/>
      <c r="E1384" s="6"/>
      <c r="F1384" s="4"/>
    </row>
    <row r="1385" spans="2:6">
      <c r="B1385" s="1"/>
      <c r="C1385" s="1"/>
      <c r="D1385" s="1"/>
      <c r="E1385" s="6"/>
      <c r="F1385" s="4"/>
    </row>
    <row r="1386" spans="2:6">
      <c r="B1386" s="1"/>
      <c r="C1386" s="1"/>
      <c r="D1386" s="1"/>
      <c r="E1386" s="6"/>
      <c r="F1386" s="4"/>
    </row>
    <row r="1387" spans="2:6">
      <c r="B1387" s="1"/>
      <c r="C1387" s="1"/>
      <c r="D1387" s="1"/>
      <c r="E1387" s="6"/>
      <c r="F1387" s="4"/>
    </row>
    <row r="1388" spans="2:6">
      <c r="B1388" s="1"/>
      <c r="C1388" s="1"/>
      <c r="D1388" s="1"/>
      <c r="E1388" s="6"/>
      <c r="F1388" s="4"/>
    </row>
    <row r="1389" spans="2:6">
      <c r="B1389" s="1"/>
      <c r="C1389" s="1"/>
      <c r="D1389" s="1"/>
      <c r="E1389" s="6"/>
      <c r="F1389" s="4"/>
    </row>
    <row r="1390" spans="2:6">
      <c r="B1390" s="1"/>
      <c r="C1390" s="1"/>
      <c r="D1390" s="1"/>
      <c r="E1390" s="6"/>
      <c r="F1390" s="4"/>
    </row>
    <row r="1391" spans="2:6">
      <c r="B1391" s="1"/>
      <c r="C1391" s="1"/>
      <c r="D1391" s="1"/>
      <c r="E1391" s="6"/>
      <c r="F1391" s="4"/>
    </row>
    <row r="1392" spans="2:6">
      <c r="B1392" s="1"/>
      <c r="C1392" s="1"/>
      <c r="D1392" s="1"/>
      <c r="E1392" s="6"/>
      <c r="F1392" s="4"/>
    </row>
    <row r="1393" spans="2:6">
      <c r="B1393" s="1"/>
      <c r="C1393" s="1"/>
      <c r="D1393" s="1"/>
      <c r="E1393" s="6"/>
      <c r="F1393" s="4"/>
    </row>
    <row r="1394" spans="2:6">
      <c r="B1394" s="1"/>
      <c r="C1394" s="1"/>
      <c r="D1394" s="1"/>
      <c r="E1394" s="6"/>
      <c r="F1394" s="4"/>
    </row>
    <row r="1395" spans="2:6">
      <c r="B1395" s="1"/>
      <c r="C1395" s="1"/>
      <c r="D1395" s="1"/>
      <c r="E1395" s="6"/>
      <c r="F1395" s="4"/>
    </row>
    <row r="1396" spans="2:6">
      <c r="B1396" s="1"/>
      <c r="C1396" s="1"/>
      <c r="D1396" s="1"/>
      <c r="E1396" s="6"/>
      <c r="F1396" s="4"/>
    </row>
    <row r="1397" spans="2:6">
      <c r="B1397" s="1"/>
      <c r="C1397" s="1"/>
      <c r="D1397" s="1"/>
      <c r="E1397" s="6"/>
      <c r="F1397" s="4"/>
    </row>
    <row r="1398" spans="2:6">
      <c r="B1398" s="1"/>
      <c r="C1398" s="1"/>
      <c r="D1398" s="1"/>
      <c r="E1398" s="6"/>
      <c r="F1398" s="4"/>
    </row>
    <row r="1399" spans="2:6">
      <c r="B1399" s="1"/>
      <c r="C1399" s="1"/>
      <c r="D1399" s="1"/>
      <c r="E1399" s="6"/>
      <c r="F1399" s="4"/>
    </row>
    <row r="1400" spans="2:6">
      <c r="B1400" s="1"/>
      <c r="C1400" s="1"/>
      <c r="D1400" s="1"/>
      <c r="E1400" s="6"/>
      <c r="F1400" s="4"/>
    </row>
    <row r="1401" spans="2:6">
      <c r="B1401" s="1"/>
      <c r="C1401" s="1"/>
      <c r="D1401" s="1"/>
      <c r="E1401" s="6"/>
      <c r="F1401" s="4"/>
    </row>
    <row r="1402" spans="2:6">
      <c r="B1402" s="1"/>
      <c r="C1402" s="1"/>
      <c r="D1402" s="1"/>
      <c r="E1402" s="6"/>
      <c r="F1402" s="4"/>
    </row>
    <row r="1403" spans="2:6">
      <c r="B1403" s="1"/>
      <c r="C1403" s="1"/>
      <c r="D1403" s="1"/>
      <c r="E1403" s="6"/>
      <c r="F1403" s="4"/>
    </row>
    <row r="1404" spans="2:6">
      <c r="B1404" s="1"/>
      <c r="C1404" s="1"/>
      <c r="D1404" s="1"/>
      <c r="E1404" s="6"/>
      <c r="F1404" s="4"/>
    </row>
    <row r="1405" spans="2:6">
      <c r="B1405" s="1"/>
      <c r="C1405" s="1"/>
      <c r="D1405" s="1"/>
      <c r="E1405" s="6"/>
      <c r="F1405" s="4"/>
    </row>
    <row r="1406" spans="2:6">
      <c r="B1406" s="1"/>
      <c r="C1406" s="1"/>
      <c r="D1406" s="1"/>
      <c r="E1406" s="6"/>
      <c r="F1406" s="4"/>
    </row>
    <row r="1407" spans="2:6">
      <c r="B1407" s="1"/>
      <c r="C1407" s="1"/>
      <c r="D1407" s="1"/>
      <c r="E1407" s="6"/>
      <c r="F1407" s="4"/>
    </row>
    <row r="1408" spans="2:6">
      <c r="B1408" s="1"/>
      <c r="C1408" s="1"/>
      <c r="D1408" s="1"/>
      <c r="E1408" s="6"/>
      <c r="F1408" s="4"/>
    </row>
    <row r="1409" spans="2:6">
      <c r="B1409" s="1"/>
      <c r="C1409" s="1"/>
      <c r="D1409" s="1"/>
      <c r="E1409" s="6"/>
      <c r="F1409" s="4"/>
    </row>
    <row r="1410" spans="2:6">
      <c r="B1410" s="1"/>
      <c r="C1410" s="1"/>
      <c r="D1410" s="1"/>
      <c r="E1410" s="6"/>
      <c r="F1410" s="4"/>
    </row>
    <row r="1411" spans="2:6">
      <c r="B1411" s="1"/>
      <c r="C1411" s="1"/>
      <c r="D1411" s="1"/>
      <c r="E1411" s="6"/>
      <c r="F1411" s="4"/>
    </row>
    <row r="1412" spans="2:6">
      <c r="B1412" s="1"/>
      <c r="C1412" s="1"/>
      <c r="D1412" s="1"/>
      <c r="E1412" s="6"/>
      <c r="F1412" s="4"/>
    </row>
    <row r="1413" spans="2:6">
      <c r="B1413" s="1"/>
      <c r="C1413" s="1"/>
      <c r="D1413" s="1"/>
      <c r="E1413" s="6"/>
      <c r="F1413" s="4"/>
    </row>
    <row r="1414" spans="2:6">
      <c r="B1414" s="1"/>
      <c r="C1414" s="1"/>
      <c r="D1414" s="1"/>
      <c r="E1414" s="6"/>
      <c r="F1414" s="4"/>
    </row>
    <row r="1415" spans="2:6">
      <c r="B1415" s="1"/>
      <c r="C1415" s="1"/>
      <c r="D1415" s="1"/>
      <c r="E1415" s="6"/>
      <c r="F1415" s="4"/>
    </row>
    <row r="1416" spans="2:6">
      <c r="B1416" s="1"/>
      <c r="C1416" s="1"/>
      <c r="D1416" s="1"/>
      <c r="E1416" s="6"/>
      <c r="F1416" s="4"/>
    </row>
    <row r="1417" spans="2:6">
      <c r="B1417" s="1"/>
      <c r="C1417" s="1"/>
      <c r="D1417" s="1"/>
      <c r="E1417" s="6"/>
      <c r="F1417" s="4"/>
    </row>
    <row r="1418" spans="2:6">
      <c r="B1418" s="1"/>
      <c r="C1418" s="1"/>
      <c r="D1418" s="1"/>
      <c r="E1418" s="6"/>
      <c r="F1418" s="4"/>
    </row>
    <row r="1419" spans="2:6">
      <c r="B1419" s="1"/>
      <c r="C1419" s="1"/>
      <c r="D1419" s="1"/>
      <c r="E1419" s="6"/>
      <c r="F1419" s="4"/>
    </row>
    <row r="1420" spans="2:6">
      <c r="B1420" s="1"/>
      <c r="C1420" s="1"/>
      <c r="D1420" s="1"/>
      <c r="E1420" s="6"/>
      <c r="F1420" s="4"/>
    </row>
    <row r="1421" spans="2:6">
      <c r="B1421" s="1"/>
      <c r="C1421" s="1"/>
      <c r="D1421" s="1"/>
      <c r="E1421" s="6"/>
      <c r="F1421" s="4"/>
    </row>
    <row r="1422" spans="2:6">
      <c r="B1422" s="1"/>
      <c r="C1422" s="1"/>
      <c r="D1422" s="1"/>
      <c r="E1422" s="6"/>
      <c r="F1422" s="4"/>
    </row>
    <row r="1423" spans="2:6">
      <c r="B1423" s="1"/>
      <c r="C1423" s="1"/>
      <c r="D1423" s="1"/>
      <c r="E1423" s="6"/>
      <c r="F1423" s="4"/>
    </row>
    <row r="1424" spans="2:6">
      <c r="B1424" s="1"/>
      <c r="C1424" s="1"/>
      <c r="D1424" s="1"/>
      <c r="E1424" s="6"/>
      <c r="F1424" s="4"/>
    </row>
    <row r="1425" spans="2:6">
      <c r="B1425" s="1"/>
      <c r="C1425" s="1"/>
      <c r="D1425" s="1"/>
      <c r="E1425" s="6"/>
      <c r="F1425" s="4"/>
    </row>
    <row r="1426" spans="2:6">
      <c r="B1426" s="1"/>
      <c r="C1426" s="1"/>
      <c r="D1426" s="1"/>
      <c r="E1426" s="6"/>
      <c r="F1426" s="4"/>
    </row>
    <row r="1427" spans="2:6">
      <c r="B1427" s="1"/>
      <c r="C1427" s="1"/>
      <c r="D1427" s="1"/>
      <c r="E1427" s="6"/>
      <c r="F1427" s="4"/>
    </row>
    <row r="1428" spans="2:6">
      <c r="B1428" s="1"/>
      <c r="C1428" s="1"/>
      <c r="D1428" s="1"/>
      <c r="E1428" s="6"/>
      <c r="F1428" s="4"/>
    </row>
    <row r="1429" spans="2:6">
      <c r="B1429" s="1"/>
      <c r="C1429" s="1"/>
      <c r="D1429" s="1"/>
      <c r="E1429" s="6"/>
      <c r="F1429" s="4"/>
    </row>
    <row r="1430" spans="2:6">
      <c r="B1430" s="1"/>
      <c r="C1430" s="1"/>
      <c r="D1430" s="1"/>
      <c r="E1430" s="6"/>
      <c r="F1430" s="4"/>
    </row>
    <row r="1431" spans="2:6">
      <c r="B1431" s="1"/>
      <c r="C1431" s="1"/>
      <c r="D1431" s="1"/>
      <c r="E1431" s="6"/>
      <c r="F1431" s="4"/>
    </row>
    <row r="1432" spans="2:6">
      <c r="B1432" s="1"/>
      <c r="C1432" s="1"/>
      <c r="D1432" s="1"/>
      <c r="E1432" s="6"/>
      <c r="F1432" s="4"/>
    </row>
    <row r="1433" spans="2:6">
      <c r="B1433" s="1"/>
      <c r="C1433" s="1"/>
      <c r="D1433" s="1"/>
      <c r="E1433" s="6"/>
      <c r="F1433" s="4"/>
    </row>
    <row r="1434" spans="2:6">
      <c r="B1434" s="1"/>
      <c r="C1434" s="1"/>
      <c r="D1434" s="1"/>
      <c r="E1434" s="6"/>
      <c r="F1434" s="4"/>
    </row>
    <row r="1435" spans="2:6">
      <c r="B1435" s="1"/>
      <c r="C1435" s="1"/>
      <c r="D1435" s="1"/>
      <c r="E1435" s="6"/>
      <c r="F1435" s="4"/>
    </row>
    <row r="1436" spans="2:6">
      <c r="B1436" s="1"/>
      <c r="C1436" s="1"/>
      <c r="D1436" s="1"/>
      <c r="E1436" s="6"/>
      <c r="F1436" s="4"/>
    </row>
    <row r="1437" spans="2:6">
      <c r="B1437" s="1"/>
      <c r="C1437" s="1"/>
      <c r="D1437" s="1"/>
      <c r="E1437" s="6"/>
      <c r="F1437" s="4"/>
    </row>
    <row r="1438" spans="2:6">
      <c r="B1438" s="1"/>
      <c r="C1438" s="1"/>
      <c r="D1438" s="1"/>
      <c r="E1438" s="6"/>
      <c r="F1438" s="4"/>
    </row>
    <row r="1439" spans="2:6">
      <c r="B1439" s="1"/>
      <c r="C1439" s="1"/>
      <c r="D1439" s="1"/>
      <c r="E1439" s="6"/>
      <c r="F1439" s="4"/>
    </row>
    <row r="1440" spans="2:6">
      <c r="B1440" s="1"/>
      <c r="C1440" s="1"/>
      <c r="D1440" s="1"/>
      <c r="E1440" s="6"/>
      <c r="F1440" s="4"/>
    </row>
    <row r="1441" spans="2:6">
      <c r="B1441" s="1"/>
      <c r="C1441" s="1"/>
      <c r="D1441" s="1"/>
      <c r="E1441" s="6"/>
      <c r="F1441" s="4"/>
    </row>
    <row r="1442" spans="2:6">
      <c r="B1442" s="1"/>
      <c r="C1442" s="1"/>
      <c r="D1442" s="1"/>
      <c r="E1442" s="6"/>
      <c r="F1442" s="4"/>
    </row>
    <row r="1443" spans="2:6">
      <c r="B1443" s="1"/>
      <c r="C1443" s="1"/>
      <c r="D1443" s="1"/>
      <c r="E1443" s="6"/>
      <c r="F1443" s="4"/>
    </row>
    <row r="1444" spans="2:6">
      <c r="B1444" s="1"/>
      <c r="C1444" s="1"/>
      <c r="D1444" s="1"/>
      <c r="E1444" s="6"/>
      <c r="F1444" s="4"/>
    </row>
    <row r="1445" spans="2:6">
      <c r="B1445" s="1"/>
      <c r="C1445" s="1"/>
      <c r="D1445" s="1"/>
      <c r="E1445" s="6"/>
      <c r="F1445" s="4"/>
    </row>
    <row r="1446" spans="2:6">
      <c r="B1446" s="1"/>
      <c r="C1446" s="1"/>
      <c r="D1446" s="1"/>
      <c r="E1446" s="6"/>
      <c r="F1446" s="4"/>
    </row>
    <row r="1447" spans="2:6">
      <c r="B1447" s="1"/>
      <c r="C1447" s="1"/>
      <c r="D1447" s="1"/>
      <c r="E1447" s="6"/>
      <c r="F1447" s="4"/>
    </row>
    <row r="1448" spans="2:6">
      <c r="B1448" s="1"/>
      <c r="C1448" s="1"/>
      <c r="D1448" s="1"/>
      <c r="E1448" s="6"/>
      <c r="F1448" s="4"/>
    </row>
    <row r="1449" spans="2:6">
      <c r="B1449" s="1"/>
      <c r="C1449" s="1"/>
      <c r="D1449" s="1"/>
      <c r="E1449" s="6"/>
      <c r="F1449" s="4"/>
    </row>
    <row r="1450" spans="2:6">
      <c r="B1450" s="1"/>
      <c r="C1450" s="1"/>
      <c r="D1450" s="1"/>
      <c r="E1450" s="6"/>
      <c r="F1450" s="4"/>
    </row>
    <row r="1451" spans="2:6">
      <c r="B1451" s="1"/>
      <c r="C1451" s="1"/>
      <c r="D1451" s="1"/>
      <c r="E1451" s="6"/>
      <c r="F1451" s="4"/>
    </row>
    <row r="1452" spans="2:6">
      <c r="B1452" s="1"/>
      <c r="C1452" s="1"/>
      <c r="D1452" s="1"/>
      <c r="E1452" s="6"/>
      <c r="F1452" s="4"/>
    </row>
    <row r="1453" spans="2:6">
      <c r="B1453" s="1"/>
      <c r="C1453" s="1"/>
      <c r="D1453" s="1"/>
      <c r="E1453" s="6"/>
      <c r="F1453" s="4"/>
    </row>
    <row r="1454" spans="2:6">
      <c r="B1454" s="1"/>
      <c r="C1454" s="1"/>
      <c r="D1454" s="1"/>
      <c r="E1454" s="6"/>
      <c r="F1454" s="4"/>
    </row>
    <row r="1455" spans="2:6">
      <c r="B1455" s="1"/>
      <c r="C1455" s="1"/>
      <c r="D1455" s="1"/>
      <c r="E1455" s="6"/>
      <c r="F1455" s="4"/>
    </row>
    <row r="1456" spans="2:6">
      <c r="B1456" s="1"/>
      <c r="C1456" s="1"/>
      <c r="D1456" s="1"/>
      <c r="E1456" s="6"/>
      <c r="F1456" s="4"/>
    </row>
    <row r="1457" spans="2:6">
      <c r="B1457" s="1"/>
      <c r="C1457" s="1"/>
      <c r="D1457" s="1"/>
      <c r="E1457" s="6"/>
      <c r="F1457" s="4"/>
    </row>
    <row r="1458" spans="2:6">
      <c r="B1458" s="1"/>
      <c r="C1458" s="1"/>
      <c r="D1458" s="1"/>
      <c r="E1458" s="6"/>
      <c r="F1458" s="4"/>
    </row>
    <row r="1459" spans="2:6">
      <c r="B1459" s="1"/>
      <c r="C1459" s="1"/>
      <c r="D1459" s="1"/>
      <c r="E1459" s="6"/>
      <c r="F1459" s="4"/>
    </row>
    <row r="1460" spans="2:6">
      <c r="B1460" s="1"/>
      <c r="C1460" s="1"/>
      <c r="D1460" s="1"/>
      <c r="E1460" s="6"/>
      <c r="F1460" s="4"/>
    </row>
    <row r="1461" spans="2:6">
      <c r="B1461" s="1"/>
      <c r="C1461" s="1"/>
      <c r="D1461" s="1"/>
      <c r="E1461" s="6"/>
      <c r="F1461" s="4"/>
    </row>
    <row r="1462" spans="2:6">
      <c r="B1462" s="1"/>
      <c r="C1462" s="1"/>
      <c r="D1462" s="1"/>
      <c r="E1462" s="6"/>
      <c r="F1462" s="4"/>
    </row>
    <row r="1463" spans="2:6">
      <c r="B1463" s="1"/>
      <c r="C1463" s="1"/>
      <c r="D1463" s="1"/>
      <c r="E1463" s="6"/>
      <c r="F1463" s="4"/>
    </row>
    <row r="1464" spans="2:6">
      <c r="B1464" s="1"/>
      <c r="C1464" s="1"/>
      <c r="D1464" s="1"/>
      <c r="E1464" s="6"/>
      <c r="F1464" s="4"/>
    </row>
    <row r="1465" spans="2:6">
      <c r="B1465" s="1"/>
      <c r="C1465" s="1"/>
      <c r="D1465" s="1"/>
      <c r="E1465" s="6"/>
      <c r="F1465" s="4"/>
    </row>
    <row r="1466" spans="2:6">
      <c r="B1466" s="1"/>
      <c r="C1466" s="1"/>
      <c r="D1466" s="1"/>
      <c r="E1466" s="6"/>
      <c r="F1466" s="4"/>
    </row>
    <row r="1467" spans="2:6">
      <c r="B1467" s="1"/>
      <c r="C1467" s="1"/>
      <c r="D1467" s="1"/>
      <c r="E1467" s="6"/>
      <c r="F1467" s="4"/>
    </row>
    <row r="1468" spans="2:6">
      <c r="B1468" s="1"/>
      <c r="C1468" s="1"/>
      <c r="D1468" s="1"/>
      <c r="E1468" s="6"/>
      <c r="F1468" s="4"/>
    </row>
    <row r="1469" spans="2:6">
      <c r="B1469" s="1"/>
      <c r="C1469" s="1"/>
      <c r="D1469" s="1"/>
      <c r="E1469" s="6"/>
      <c r="F1469" s="4"/>
    </row>
    <row r="1470" spans="2:6">
      <c r="B1470" s="1"/>
      <c r="C1470" s="1"/>
      <c r="D1470" s="1"/>
      <c r="E1470" s="6"/>
      <c r="F1470" s="4"/>
    </row>
    <row r="1471" spans="2:6">
      <c r="B1471" s="1"/>
      <c r="C1471" s="1"/>
      <c r="D1471" s="1"/>
      <c r="E1471" s="6"/>
      <c r="F1471" s="4"/>
    </row>
    <row r="1472" spans="2:6">
      <c r="B1472" s="1"/>
      <c r="C1472" s="1"/>
      <c r="D1472" s="1"/>
      <c r="E1472" s="6"/>
      <c r="F1472" s="4"/>
    </row>
    <row r="1473" spans="2:6">
      <c r="B1473" s="1"/>
      <c r="C1473" s="1"/>
      <c r="D1473" s="1"/>
      <c r="E1473" s="6"/>
      <c r="F1473" s="4"/>
    </row>
    <row r="1474" spans="2:6">
      <c r="B1474" s="1"/>
      <c r="C1474" s="1"/>
      <c r="D1474" s="1"/>
      <c r="E1474" s="6"/>
      <c r="F1474" s="4"/>
    </row>
    <row r="1475" spans="2:6">
      <c r="B1475" s="1"/>
      <c r="C1475" s="1"/>
      <c r="D1475" s="1"/>
      <c r="E1475" s="6"/>
      <c r="F1475" s="4"/>
    </row>
    <row r="1476" spans="2:6">
      <c r="B1476" s="1"/>
      <c r="C1476" s="1"/>
      <c r="D1476" s="1"/>
      <c r="E1476" s="6"/>
      <c r="F1476" s="4"/>
    </row>
    <row r="1477" spans="2:6">
      <c r="B1477" s="1"/>
      <c r="C1477" s="1"/>
      <c r="D1477" s="1"/>
      <c r="E1477" s="6"/>
      <c r="F1477" s="4"/>
    </row>
    <row r="1478" spans="2:6">
      <c r="B1478" s="1"/>
      <c r="C1478" s="1"/>
      <c r="D1478" s="1"/>
      <c r="E1478" s="6"/>
      <c r="F1478" s="4"/>
    </row>
    <row r="1479" spans="2:6">
      <c r="B1479" s="1"/>
      <c r="C1479" s="1"/>
      <c r="D1479" s="1"/>
      <c r="E1479" s="6"/>
      <c r="F1479" s="4"/>
    </row>
    <row r="1480" spans="2:6">
      <c r="B1480" s="1"/>
      <c r="C1480" s="1"/>
      <c r="D1480" s="1"/>
      <c r="E1480" s="6"/>
      <c r="F1480" s="4"/>
    </row>
    <row r="1481" spans="2:6">
      <c r="B1481" s="1"/>
      <c r="C1481" s="1"/>
      <c r="D1481" s="1"/>
      <c r="E1481" s="6"/>
      <c r="F1481" s="4"/>
    </row>
    <row r="1482" spans="2:6">
      <c r="B1482" s="1"/>
      <c r="C1482" s="1"/>
      <c r="D1482" s="1"/>
      <c r="E1482" s="6"/>
      <c r="F1482" s="4"/>
    </row>
    <row r="1483" spans="2:6">
      <c r="B1483" s="1"/>
      <c r="C1483" s="1"/>
      <c r="D1483" s="1"/>
      <c r="E1483" s="6"/>
      <c r="F1483" s="4"/>
    </row>
    <row r="1484" spans="2:6">
      <c r="B1484" s="1"/>
      <c r="C1484" s="1"/>
      <c r="D1484" s="1"/>
      <c r="E1484" s="6"/>
      <c r="F1484" s="4"/>
    </row>
    <row r="1485" spans="2:6">
      <c r="B1485" s="1"/>
      <c r="C1485" s="1"/>
      <c r="D1485" s="1"/>
      <c r="E1485" s="6"/>
      <c r="F1485" s="4"/>
    </row>
    <row r="1486" spans="2:6">
      <c r="B1486" s="1"/>
      <c r="C1486" s="1"/>
      <c r="D1486" s="1"/>
      <c r="E1486" s="6"/>
      <c r="F1486" s="4"/>
    </row>
    <row r="1487" spans="2:6">
      <c r="B1487" s="1"/>
      <c r="C1487" s="1"/>
      <c r="D1487" s="1"/>
      <c r="E1487" s="6"/>
      <c r="F1487" s="4"/>
    </row>
    <row r="1488" spans="2:6">
      <c r="B1488" s="1"/>
      <c r="C1488" s="1"/>
      <c r="D1488" s="1"/>
      <c r="E1488" s="6"/>
      <c r="F1488" s="4"/>
    </row>
    <row r="1489" spans="2:6">
      <c r="B1489" s="1"/>
      <c r="C1489" s="1"/>
      <c r="D1489" s="1"/>
      <c r="E1489" s="6"/>
      <c r="F1489" s="4"/>
    </row>
    <row r="1490" spans="2:6">
      <c r="B1490" s="1"/>
      <c r="C1490" s="1"/>
      <c r="D1490" s="1"/>
      <c r="E1490" s="6"/>
      <c r="F1490" s="4"/>
    </row>
    <row r="1491" spans="2:6">
      <c r="B1491" s="1"/>
      <c r="C1491" s="1"/>
      <c r="D1491" s="1"/>
      <c r="E1491" s="6"/>
      <c r="F1491" s="4"/>
    </row>
    <row r="1492" spans="2:6">
      <c r="B1492" s="1"/>
      <c r="C1492" s="1"/>
      <c r="D1492" s="1"/>
      <c r="E1492" s="6"/>
      <c r="F1492" s="4"/>
    </row>
    <row r="1493" spans="2:6">
      <c r="B1493" s="1"/>
      <c r="C1493" s="1"/>
      <c r="D1493" s="1"/>
      <c r="E1493" s="6"/>
      <c r="F1493" s="4"/>
    </row>
    <row r="1494" spans="2:6">
      <c r="B1494" s="1"/>
      <c r="C1494" s="1"/>
      <c r="D1494" s="1"/>
      <c r="E1494" s="6"/>
      <c r="F1494" s="4"/>
    </row>
    <row r="1495" spans="2:6">
      <c r="B1495" s="1"/>
      <c r="C1495" s="1"/>
      <c r="D1495" s="1"/>
      <c r="E1495" s="6"/>
      <c r="F1495" s="4"/>
    </row>
    <row r="1496" spans="2:6">
      <c r="B1496" s="1"/>
      <c r="C1496" s="1"/>
      <c r="D1496" s="1"/>
      <c r="E1496" s="6"/>
      <c r="F1496" s="4"/>
    </row>
    <row r="1497" spans="2:6">
      <c r="B1497" s="1"/>
      <c r="C1497" s="1"/>
      <c r="D1497" s="1"/>
      <c r="E1497" s="6"/>
      <c r="F1497" s="4"/>
    </row>
    <row r="1498" spans="2:6">
      <c r="B1498" s="1"/>
      <c r="C1498" s="1"/>
      <c r="D1498" s="1"/>
      <c r="E1498" s="6"/>
      <c r="F1498" s="4"/>
    </row>
    <row r="1499" spans="2:6">
      <c r="B1499" s="1"/>
      <c r="C1499" s="1"/>
      <c r="D1499" s="1"/>
      <c r="E1499" s="6"/>
      <c r="F1499" s="4"/>
    </row>
    <row r="1500" spans="2:6">
      <c r="B1500" s="1"/>
      <c r="C1500" s="1"/>
      <c r="D1500" s="1"/>
      <c r="E1500" s="6"/>
      <c r="F1500" s="4"/>
    </row>
    <row r="1501" spans="2:6">
      <c r="B1501" s="1"/>
      <c r="C1501" s="1"/>
      <c r="D1501" s="1"/>
      <c r="E1501" s="6"/>
      <c r="F1501" s="4"/>
    </row>
    <row r="1502" spans="2:6">
      <c r="B1502" s="1"/>
      <c r="C1502" s="1"/>
      <c r="D1502" s="1"/>
      <c r="E1502" s="6"/>
      <c r="F1502" s="4"/>
    </row>
    <row r="1503" spans="2:6">
      <c r="B1503" s="1"/>
      <c r="C1503" s="1"/>
      <c r="D1503" s="1"/>
      <c r="E1503" s="6"/>
      <c r="F1503" s="4"/>
    </row>
    <row r="1504" spans="2:6">
      <c r="B1504" s="1"/>
      <c r="C1504" s="1"/>
      <c r="D1504" s="1"/>
      <c r="E1504" s="6"/>
      <c r="F1504" s="4"/>
    </row>
    <row r="1505" spans="2:6">
      <c r="B1505" s="1"/>
      <c r="C1505" s="1"/>
      <c r="D1505" s="1"/>
      <c r="E1505" s="6"/>
      <c r="F1505" s="4"/>
    </row>
    <row r="1506" spans="2:6">
      <c r="B1506" s="1"/>
      <c r="C1506" s="1"/>
      <c r="D1506" s="1"/>
      <c r="E1506" s="6"/>
      <c r="F1506" s="4"/>
    </row>
    <row r="1507" spans="2:6">
      <c r="B1507" s="1"/>
      <c r="C1507" s="1"/>
      <c r="D1507" s="1"/>
      <c r="E1507" s="6"/>
      <c r="F1507" s="4"/>
    </row>
    <row r="1508" spans="2:6">
      <c r="B1508" s="1"/>
      <c r="C1508" s="1"/>
      <c r="D1508" s="1"/>
      <c r="E1508" s="6"/>
      <c r="F1508" s="4"/>
    </row>
    <row r="1509" spans="2:6">
      <c r="B1509" s="1"/>
      <c r="C1509" s="1"/>
      <c r="D1509" s="1"/>
      <c r="E1509" s="6"/>
      <c r="F1509" s="4"/>
    </row>
    <row r="1510" spans="2:6">
      <c r="B1510" s="1"/>
      <c r="C1510" s="1"/>
      <c r="D1510" s="1"/>
      <c r="E1510" s="6"/>
      <c r="F1510" s="4"/>
    </row>
    <row r="1511" spans="2:6">
      <c r="B1511" s="1"/>
      <c r="C1511" s="1"/>
      <c r="D1511" s="1"/>
      <c r="E1511" s="6"/>
      <c r="F1511" s="4"/>
    </row>
    <row r="1512" spans="2:6">
      <c r="B1512" s="1"/>
      <c r="C1512" s="1"/>
      <c r="D1512" s="1"/>
      <c r="E1512" s="6"/>
      <c r="F1512" s="4"/>
    </row>
    <row r="1513" spans="2:6">
      <c r="B1513" s="1"/>
      <c r="C1513" s="1"/>
      <c r="D1513" s="1"/>
      <c r="E1513" s="6"/>
      <c r="F1513" s="4"/>
    </row>
    <row r="1514" spans="2:6">
      <c r="B1514" s="1"/>
      <c r="C1514" s="1"/>
      <c r="D1514" s="1"/>
      <c r="E1514" s="6"/>
      <c r="F1514" s="4"/>
    </row>
    <row r="1515" spans="2:6">
      <c r="B1515" s="1"/>
      <c r="C1515" s="1"/>
      <c r="D1515" s="1"/>
      <c r="E1515" s="6"/>
      <c r="F1515" s="4"/>
    </row>
    <row r="1516" spans="2:6">
      <c r="B1516" s="1"/>
      <c r="C1516" s="1"/>
      <c r="D1516" s="1"/>
      <c r="E1516" s="6"/>
      <c r="F1516" s="4"/>
    </row>
    <row r="1517" spans="2:6">
      <c r="B1517" s="1"/>
      <c r="C1517" s="1"/>
      <c r="D1517" s="1"/>
      <c r="E1517" s="6"/>
      <c r="F1517" s="4"/>
    </row>
    <row r="1518" spans="2:6">
      <c r="B1518" s="1"/>
      <c r="C1518" s="1"/>
      <c r="D1518" s="1"/>
      <c r="E1518" s="6"/>
      <c r="F1518" s="4"/>
    </row>
    <row r="1519" spans="2:6">
      <c r="B1519" s="1"/>
      <c r="C1519" s="1"/>
      <c r="D1519" s="1"/>
      <c r="E1519" s="6"/>
      <c r="F1519" s="4"/>
    </row>
    <row r="1520" spans="2:6">
      <c r="B1520" s="1"/>
      <c r="C1520" s="1"/>
      <c r="D1520" s="1"/>
      <c r="E1520" s="6"/>
      <c r="F1520" s="4"/>
    </row>
    <row r="1521" spans="2:6">
      <c r="B1521" s="1"/>
      <c r="C1521" s="1"/>
      <c r="D1521" s="1"/>
      <c r="E1521" s="6"/>
      <c r="F1521" s="4"/>
    </row>
    <row r="1522" spans="2:6">
      <c r="B1522" s="1"/>
      <c r="C1522" s="1"/>
      <c r="D1522" s="1"/>
      <c r="E1522" s="6"/>
      <c r="F1522" s="4"/>
    </row>
    <row r="1523" spans="2:6">
      <c r="B1523" s="1"/>
      <c r="C1523" s="1"/>
      <c r="D1523" s="1"/>
      <c r="E1523" s="6"/>
      <c r="F1523" s="4"/>
    </row>
    <row r="1524" spans="2:6">
      <c r="B1524" s="1"/>
      <c r="C1524" s="1"/>
      <c r="D1524" s="1"/>
      <c r="E1524" s="6"/>
      <c r="F1524" s="4"/>
    </row>
    <row r="1525" spans="2:6">
      <c r="B1525" s="1"/>
      <c r="C1525" s="1"/>
      <c r="D1525" s="1"/>
      <c r="E1525" s="6"/>
      <c r="F1525" s="4"/>
    </row>
    <row r="1526" spans="2:6">
      <c r="B1526" s="1"/>
      <c r="C1526" s="1"/>
      <c r="D1526" s="1"/>
      <c r="E1526" s="6"/>
      <c r="F1526" s="4"/>
    </row>
    <row r="1527" spans="2:6">
      <c r="B1527" s="1"/>
      <c r="C1527" s="1"/>
      <c r="D1527" s="1"/>
      <c r="E1527" s="6"/>
      <c r="F1527" s="4"/>
    </row>
    <row r="1528" spans="2:6">
      <c r="B1528" s="1"/>
      <c r="C1528" s="1"/>
      <c r="D1528" s="1"/>
      <c r="E1528" s="6"/>
      <c r="F1528" s="4"/>
    </row>
    <row r="1529" spans="2:6">
      <c r="B1529" s="1"/>
      <c r="C1529" s="1"/>
      <c r="D1529" s="1"/>
      <c r="E1529" s="6"/>
      <c r="F1529" s="4"/>
    </row>
    <row r="1530" spans="2:6">
      <c r="B1530" s="1"/>
      <c r="C1530" s="1"/>
      <c r="D1530" s="1"/>
      <c r="E1530" s="6"/>
      <c r="F1530" s="4"/>
    </row>
    <row r="1531" spans="2:6">
      <c r="B1531" s="1"/>
      <c r="C1531" s="1"/>
      <c r="D1531" s="1"/>
      <c r="E1531" s="6"/>
      <c r="F1531" s="4"/>
    </row>
    <row r="1532" spans="2:6">
      <c r="B1532" s="1"/>
      <c r="C1532" s="1"/>
      <c r="D1532" s="1"/>
      <c r="E1532" s="6"/>
      <c r="F1532" s="4"/>
    </row>
    <row r="1533" spans="2:6">
      <c r="B1533" s="1"/>
      <c r="C1533" s="1"/>
      <c r="D1533" s="1"/>
      <c r="E1533" s="6"/>
      <c r="F1533" s="4"/>
    </row>
    <row r="1534" spans="2:6">
      <c r="B1534" s="1"/>
      <c r="C1534" s="1"/>
      <c r="D1534" s="1"/>
      <c r="E1534" s="6"/>
      <c r="F1534" s="4"/>
    </row>
    <row r="1535" spans="2:6">
      <c r="B1535" s="1"/>
      <c r="C1535" s="1"/>
      <c r="D1535" s="1"/>
      <c r="E1535" s="6"/>
      <c r="F1535" s="4"/>
    </row>
    <row r="1536" spans="2:6">
      <c r="B1536" s="1"/>
      <c r="C1536" s="1"/>
      <c r="D1536" s="1"/>
      <c r="E1536" s="6"/>
      <c r="F1536" s="4"/>
    </row>
    <row r="1537" spans="2:6">
      <c r="B1537" s="1"/>
      <c r="C1537" s="1"/>
      <c r="D1537" s="1"/>
      <c r="E1537" s="6"/>
      <c r="F1537" s="4"/>
    </row>
    <row r="1538" spans="2:6">
      <c r="B1538" s="1"/>
      <c r="C1538" s="1"/>
      <c r="D1538" s="1"/>
      <c r="E1538" s="6"/>
      <c r="F1538" s="4"/>
    </row>
    <row r="1539" spans="2:6">
      <c r="B1539" s="1"/>
      <c r="C1539" s="1"/>
      <c r="D1539" s="1"/>
      <c r="E1539" s="6"/>
      <c r="F1539" s="4"/>
    </row>
    <row r="1540" spans="2:6">
      <c r="B1540" s="1"/>
      <c r="C1540" s="1"/>
      <c r="D1540" s="1"/>
      <c r="E1540" s="6"/>
      <c r="F1540" s="4"/>
    </row>
    <row r="1541" spans="2:6">
      <c r="B1541" s="1"/>
      <c r="C1541" s="1"/>
      <c r="D1541" s="1"/>
      <c r="E1541" s="6"/>
      <c r="F1541" s="4"/>
    </row>
    <row r="1542" spans="2:6">
      <c r="B1542" s="1"/>
      <c r="C1542" s="1"/>
      <c r="D1542" s="1"/>
      <c r="E1542" s="6"/>
      <c r="F1542" s="4"/>
    </row>
    <row r="1543" spans="2:6">
      <c r="B1543" s="1"/>
      <c r="C1543" s="1"/>
      <c r="D1543" s="1"/>
      <c r="E1543" s="6"/>
      <c r="F1543" s="4"/>
    </row>
    <row r="1544" spans="2:6">
      <c r="B1544" s="1"/>
      <c r="C1544" s="1"/>
      <c r="D1544" s="1"/>
      <c r="E1544" s="6"/>
      <c r="F1544" s="4"/>
    </row>
    <row r="1545" spans="2:6">
      <c r="B1545" s="1"/>
      <c r="C1545" s="1"/>
      <c r="D1545" s="1"/>
      <c r="E1545" s="6"/>
      <c r="F1545" s="4"/>
    </row>
    <row r="1546" spans="2:6">
      <c r="B1546" s="1"/>
      <c r="C1546" s="1"/>
      <c r="D1546" s="1"/>
      <c r="E1546" s="6"/>
      <c r="F1546" s="4"/>
    </row>
    <row r="1547" spans="2:6">
      <c r="B1547" s="1"/>
      <c r="C1547" s="1"/>
      <c r="D1547" s="1"/>
      <c r="E1547" s="6"/>
      <c r="F1547" s="4"/>
    </row>
    <row r="1548" spans="2:6">
      <c r="B1548" s="1"/>
      <c r="C1548" s="1"/>
      <c r="D1548" s="1"/>
      <c r="E1548" s="6"/>
      <c r="F1548" s="4"/>
    </row>
    <row r="1549" spans="2:6">
      <c r="B1549" s="1"/>
      <c r="C1549" s="1"/>
      <c r="D1549" s="1"/>
      <c r="E1549" s="6"/>
      <c r="F1549" s="4"/>
    </row>
    <row r="1550" spans="2:6">
      <c r="B1550" s="1"/>
      <c r="C1550" s="1"/>
      <c r="D1550" s="1"/>
      <c r="E1550" s="6"/>
      <c r="F1550" s="4"/>
    </row>
    <row r="1551" spans="2:6">
      <c r="B1551" s="1"/>
      <c r="C1551" s="1"/>
      <c r="D1551" s="1"/>
      <c r="E1551" s="6"/>
      <c r="F1551" s="4"/>
    </row>
    <row r="1552" spans="2:6">
      <c r="B1552" s="1"/>
      <c r="C1552" s="1"/>
      <c r="D1552" s="1"/>
      <c r="E1552" s="6"/>
      <c r="F1552" s="4"/>
    </row>
    <row r="1553" spans="2:6">
      <c r="B1553" s="1"/>
      <c r="C1553" s="1"/>
      <c r="D1553" s="1"/>
      <c r="E1553" s="6"/>
      <c r="F1553" s="4"/>
    </row>
    <row r="1554" spans="2:6">
      <c r="B1554" s="1"/>
      <c r="C1554" s="1"/>
      <c r="D1554" s="1"/>
      <c r="E1554" s="6"/>
      <c r="F1554" s="4"/>
    </row>
    <row r="1555" spans="2:6">
      <c r="B1555" s="1"/>
      <c r="C1555" s="1"/>
      <c r="D1555" s="1"/>
      <c r="E1555" s="6"/>
      <c r="F1555" s="4"/>
    </row>
    <row r="1556" spans="2:6">
      <c r="B1556" s="1"/>
      <c r="C1556" s="1"/>
      <c r="D1556" s="1"/>
      <c r="E1556" s="6"/>
      <c r="F1556" s="4"/>
    </row>
    <row r="1557" spans="2:6">
      <c r="B1557" s="1"/>
      <c r="C1557" s="1"/>
      <c r="D1557" s="1"/>
      <c r="E1557" s="6"/>
      <c r="F1557" s="4"/>
    </row>
    <row r="1558" spans="2:6">
      <c r="B1558" s="1"/>
      <c r="C1558" s="1"/>
      <c r="D1558" s="1"/>
      <c r="E1558" s="6"/>
      <c r="F1558" s="4"/>
    </row>
    <row r="1559" spans="2:6">
      <c r="B1559" s="1"/>
      <c r="C1559" s="1"/>
      <c r="D1559" s="1"/>
      <c r="E1559" s="6"/>
      <c r="F1559" s="4"/>
    </row>
    <row r="1560" spans="2:6">
      <c r="B1560" s="1"/>
      <c r="C1560" s="1"/>
      <c r="D1560" s="1"/>
      <c r="E1560" s="6"/>
      <c r="F1560" s="4"/>
    </row>
    <row r="1561" spans="2:6">
      <c r="B1561" s="1"/>
      <c r="C1561" s="1"/>
      <c r="D1561" s="1"/>
      <c r="E1561" s="6"/>
      <c r="F1561" s="4"/>
    </row>
    <row r="1562" spans="2:6">
      <c r="B1562" s="1"/>
      <c r="C1562" s="1"/>
      <c r="D1562" s="1"/>
      <c r="E1562" s="6"/>
      <c r="F1562" s="4"/>
    </row>
    <row r="1563" spans="2:6">
      <c r="B1563" s="1"/>
      <c r="C1563" s="1"/>
      <c r="D1563" s="1"/>
      <c r="E1563" s="6"/>
      <c r="F1563" s="4"/>
    </row>
    <row r="1564" spans="2:6">
      <c r="B1564" s="1"/>
      <c r="C1564" s="1"/>
      <c r="D1564" s="1"/>
      <c r="E1564" s="6"/>
      <c r="F1564" s="4"/>
    </row>
    <row r="1565" spans="2:6">
      <c r="B1565" s="1"/>
      <c r="C1565" s="1"/>
      <c r="D1565" s="1"/>
      <c r="E1565" s="6"/>
      <c r="F1565" s="4"/>
    </row>
    <row r="1566" spans="2:6">
      <c r="B1566" s="1"/>
      <c r="C1566" s="1"/>
      <c r="D1566" s="1"/>
      <c r="E1566" s="6"/>
      <c r="F1566" s="4"/>
    </row>
    <row r="1567" spans="2:6">
      <c r="B1567" s="1"/>
      <c r="C1567" s="1"/>
      <c r="D1567" s="1"/>
      <c r="E1567" s="6"/>
      <c r="F1567" s="4"/>
    </row>
    <row r="1568" spans="2:6">
      <c r="B1568" s="1"/>
      <c r="C1568" s="1"/>
      <c r="D1568" s="1"/>
      <c r="E1568" s="6"/>
      <c r="F1568" s="4"/>
    </row>
    <row r="1569" spans="2:6">
      <c r="B1569" s="1"/>
      <c r="C1569" s="1"/>
      <c r="D1569" s="1"/>
      <c r="E1569" s="6"/>
      <c r="F1569" s="4"/>
    </row>
    <row r="1570" spans="2:6">
      <c r="B1570" s="1"/>
      <c r="C1570" s="1"/>
      <c r="D1570" s="1"/>
      <c r="E1570" s="6"/>
      <c r="F1570" s="4"/>
    </row>
    <row r="1571" spans="2:6">
      <c r="B1571" s="1"/>
      <c r="C1571" s="1"/>
      <c r="D1571" s="1"/>
      <c r="E1571" s="6"/>
      <c r="F1571" s="4"/>
    </row>
    <row r="1572" spans="2:6">
      <c r="B1572" s="1"/>
      <c r="C1572" s="1"/>
      <c r="D1572" s="1"/>
      <c r="E1572" s="6"/>
      <c r="F1572" s="4"/>
    </row>
    <row r="1573" spans="2:6">
      <c r="B1573" s="1"/>
      <c r="C1573" s="1"/>
      <c r="D1573" s="1"/>
      <c r="E1573" s="6"/>
      <c r="F1573" s="4"/>
    </row>
    <row r="1574" spans="2:6">
      <c r="B1574" s="1"/>
      <c r="C1574" s="1"/>
      <c r="D1574" s="1"/>
      <c r="E1574" s="6"/>
      <c r="F1574" s="4"/>
    </row>
    <row r="1575" spans="2:6">
      <c r="B1575" s="1"/>
      <c r="C1575" s="1"/>
      <c r="D1575" s="1"/>
      <c r="E1575" s="6"/>
      <c r="F1575" s="4"/>
    </row>
    <row r="1576" spans="2:6">
      <c r="B1576" s="1"/>
      <c r="C1576" s="1"/>
      <c r="D1576" s="1"/>
      <c r="E1576" s="6"/>
      <c r="F1576" s="4"/>
    </row>
    <row r="1577" spans="2:6">
      <c r="B1577" s="1"/>
      <c r="C1577" s="1"/>
      <c r="D1577" s="1"/>
      <c r="E1577" s="6"/>
      <c r="F1577" s="4"/>
    </row>
    <row r="1578" spans="2:6">
      <c r="B1578" s="1"/>
      <c r="C1578" s="1"/>
      <c r="D1578" s="1"/>
      <c r="E1578" s="6"/>
      <c r="F1578" s="4"/>
    </row>
    <row r="1579" spans="2:6">
      <c r="B1579" s="1"/>
      <c r="C1579" s="1"/>
      <c r="D1579" s="1"/>
      <c r="E1579" s="6"/>
      <c r="F1579" s="4"/>
    </row>
    <row r="1580" spans="2:6">
      <c r="B1580" s="1"/>
      <c r="C1580" s="1"/>
      <c r="D1580" s="1"/>
      <c r="E1580" s="6"/>
      <c r="F1580" s="4"/>
    </row>
    <row r="1581" spans="2:6">
      <c r="B1581" s="1"/>
      <c r="C1581" s="1"/>
      <c r="D1581" s="1"/>
      <c r="E1581" s="6"/>
      <c r="F1581" s="4"/>
    </row>
    <row r="1582" spans="2:6">
      <c r="B1582" s="1"/>
      <c r="C1582" s="1"/>
      <c r="D1582" s="1"/>
      <c r="E1582" s="6"/>
      <c r="F1582" s="4"/>
    </row>
    <row r="1583" spans="2:6">
      <c r="B1583" s="1"/>
      <c r="C1583" s="1"/>
      <c r="D1583" s="1"/>
      <c r="E1583" s="6"/>
      <c r="F1583" s="4"/>
    </row>
    <row r="1584" spans="2:6">
      <c r="B1584" s="1"/>
      <c r="C1584" s="1"/>
      <c r="D1584" s="1"/>
      <c r="E1584" s="6"/>
      <c r="F1584" s="4"/>
    </row>
    <row r="1585" spans="2:6">
      <c r="B1585" s="1"/>
      <c r="C1585" s="1"/>
      <c r="D1585" s="1"/>
      <c r="E1585" s="6"/>
      <c r="F1585" s="4"/>
    </row>
    <row r="1586" spans="2:6">
      <c r="B1586" s="1"/>
      <c r="C1586" s="1"/>
      <c r="D1586" s="1"/>
      <c r="E1586" s="6"/>
      <c r="F1586" s="4"/>
    </row>
    <row r="1587" spans="2:6">
      <c r="B1587" s="1"/>
      <c r="C1587" s="1"/>
      <c r="D1587" s="1"/>
      <c r="E1587" s="6"/>
      <c r="F1587" s="4"/>
    </row>
    <row r="1588" spans="2:6">
      <c r="B1588" s="1"/>
      <c r="C1588" s="1"/>
      <c r="D1588" s="1"/>
      <c r="E1588" s="6"/>
      <c r="F1588" s="4"/>
    </row>
    <row r="1589" spans="2:6">
      <c r="B1589" s="1"/>
      <c r="C1589" s="1"/>
      <c r="D1589" s="1"/>
      <c r="E1589" s="6"/>
      <c r="F1589" s="4"/>
    </row>
    <row r="1590" spans="2:6">
      <c r="B1590" s="1"/>
      <c r="C1590" s="1"/>
      <c r="D1590" s="1"/>
      <c r="E1590" s="6"/>
      <c r="F1590" s="4"/>
    </row>
    <row r="1591" spans="2:6">
      <c r="B1591" s="1"/>
      <c r="C1591" s="1"/>
      <c r="D1591" s="1"/>
      <c r="E1591" s="6"/>
      <c r="F1591" s="4"/>
    </row>
    <row r="1592" spans="2:6">
      <c r="B1592" s="1"/>
      <c r="C1592" s="1"/>
      <c r="D1592" s="1"/>
      <c r="E1592" s="6"/>
      <c r="F1592" s="4"/>
    </row>
    <row r="1593" spans="2:6">
      <c r="B1593" s="1"/>
      <c r="C1593" s="1"/>
      <c r="D1593" s="1"/>
      <c r="E1593" s="6"/>
      <c r="F1593" s="4"/>
    </row>
    <row r="1594" spans="2:6">
      <c r="B1594" s="1"/>
      <c r="C1594" s="1"/>
      <c r="D1594" s="1"/>
      <c r="E1594" s="6"/>
      <c r="F1594" s="4"/>
    </row>
    <row r="1595" spans="2:6">
      <c r="B1595" s="1"/>
      <c r="C1595" s="1"/>
      <c r="D1595" s="1"/>
      <c r="E1595" s="6"/>
      <c r="F1595" s="4"/>
    </row>
    <row r="1596" spans="2:6">
      <c r="B1596" s="1"/>
      <c r="C1596" s="1"/>
      <c r="D1596" s="1"/>
      <c r="E1596" s="6"/>
      <c r="F1596" s="4"/>
    </row>
    <row r="1597" spans="2:6">
      <c r="B1597" s="1"/>
      <c r="C1597" s="1"/>
      <c r="D1597" s="1"/>
      <c r="E1597" s="6"/>
      <c r="F1597" s="4"/>
    </row>
    <row r="1598" spans="2:6">
      <c r="B1598" s="1"/>
      <c r="C1598" s="1"/>
      <c r="D1598" s="1"/>
      <c r="E1598" s="6"/>
      <c r="F1598" s="4"/>
    </row>
    <row r="1599" spans="2:6">
      <c r="B1599" s="1"/>
      <c r="C1599" s="1"/>
      <c r="D1599" s="1"/>
      <c r="E1599" s="6"/>
      <c r="F1599" s="4"/>
    </row>
    <row r="1600" spans="2:6">
      <c r="B1600" s="1"/>
      <c r="C1600" s="1"/>
      <c r="D1600" s="1"/>
      <c r="E1600" s="6"/>
      <c r="F1600" s="4"/>
    </row>
    <row r="1601" spans="2:6">
      <c r="B1601" s="1"/>
      <c r="C1601" s="1"/>
      <c r="D1601" s="1"/>
      <c r="E1601" s="6"/>
      <c r="F1601" s="4"/>
    </row>
    <row r="1602" spans="2:6">
      <c r="B1602" s="1"/>
      <c r="C1602" s="1"/>
      <c r="D1602" s="1"/>
      <c r="E1602" s="6"/>
      <c r="F1602" s="4"/>
    </row>
    <row r="1603" spans="2:6">
      <c r="B1603" s="1"/>
      <c r="C1603" s="1"/>
      <c r="D1603" s="1"/>
      <c r="E1603" s="6"/>
      <c r="F1603" s="4"/>
    </row>
    <row r="1604" spans="2:6">
      <c r="B1604" s="1"/>
      <c r="C1604" s="1"/>
      <c r="D1604" s="1"/>
      <c r="E1604" s="6"/>
      <c r="F1604" s="4"/>
    </row>
    <row r="1605" spans="2:6">
      <c r="B1605" s="1"/>
      <c r="C1605" s="1"/>
      <c r="D1605" s="1"/>
      <c r="E1605" s="6"/>
      <c r="F1605" s="4"/>
    </row>
    <row r="1606" spans="2:6">
      <c r="B1606" s="1"/>
      <c r="C1606" s="1"/>
      <c r="D1606" s="1"/>
      <c r="E1606" s="6"/>
      <c r="F1606" s="4"/>
    </row>
    <row r="1607" spans="2:6">
      <c r="B1607" s="1"/>
      <c r="C1607" s="1"/>
      <c r="D1607" s="1"/>
      <c r="E1607" s="6"/>
      <c r="F1607" s="4"/>
    </row>
    <row r="1608" spans="2:6">
      <c r="B1608" s="1"/>
      <c r="C1608" s="1"/>
      <c r="D1608" s="1"/>
      <c r="E1608" s="6"/>
      <c r="F1608" s="4"/>
    </row>
    <row r="1609" spans="2:6">
      <c r="B1609" s="1"/>
      <c r="C1609" s="1"/>
      <c r="D1609" s="1"/>
      <c r="E1609" s="6"/>
      <c r="F1609" s="4"/>
    </row>
    <row r="1610" spans="2:6">
      <c r="B1610" s="1"/>
      <c r="C1610" s="1"/>
      <c r="D1610" s="1"/>
      <c r="E1610" s="6"/>
      <c r="F1610" s="4"/>
    </row>
    <row r="1611" spans="2:6">
      <c r="B1611" s="1"/>
      <c r="C1611" s="1"/>
      <c r="D1611" s="1"/>
      <c r="E1611" s="6"/>
      <c r="F1611" s="4"/>
    </row>
    <row r="1612" spans="2:6">
      <c r="B1612" s="1"/>
      <c r="C1612" s="1"/>
      <c r="D1612" s="1"/>
      <c r="E1612" s="6"/>
      <c r="F1612" s="4"/>
    </row>
    <row r="1613" spans="2:6">
      <c r="B1613" s="1"/>
      <c r="C1613" s="1"/>
      <c r="D1613" s="1"/>
      <c r="E1613" s="6"/>
      <c r="F1613" s="4"/>
    </row>
    <row r="1614" spans="2:6">
      <c r="B1614" s="1"/>
      <c r="C1614" s="1"/>
      <c r="D1614" s="1"/>
      <c r="E1614" s="6"/>
      <c r="F1614" s="4"/>
    </row>
    <row r="1615" spans="2:6">
      <c r="B1615" s="1"/>
      <c r="C1615" s="1"/>
      <c r="D1615" s="1"/>
      <c r="E1615" s="6"/>
      <c r="F1615" s="4"/>
    </row>
    <row r="1616" spans="2:6">
      <c r="B1616" s="1"/>
      <c r="C1616" s="1"/>
      <c r="D1616" s="1"/>
      <c r="E1616" s="6"/>
      <c r="F1616" s="4"/>
    </row>
    <row r="1617" spans="2:6">
      <c r="B1617" s="1"/>
      <c r="C1617" s="1"/>
      <c r="D1617" s="1"/>
      <c r="E1617" s="6"/>
      <c r="F1617" s="4"/>
    </row>
    <row r="1618" spans="2:6">
      <c r="B1618" s="1"/>
      <c r="C1618" s="1"/>
      <c r="D1618" s="1"/>
      <c r="E1618" s="6"/>
      <c r="F1618" s="4"/>
    </row>
    <row r="1619" spans="2:6">
      <c r="B1619" s="1"/>
      <c r="C1619" s="1"/>
      <c r="D1619" s="1"/>
      <c r="E1619" s="6"/>
      <c r="F1619" s="4"/>
    </row>
    <row r="1620" spans="2:6">
      <c r="B1620" s="1"/>
      <c r="C1620" s="1"/>
      <c r="D1620" s="1"/>
      <c r="E1620" s="6"/>
      <c r="F1620" s="4"/>
    </row>
    <row r="1621" spans="2:6">
      <c r="B1621" s="1"/>
      <c r="C1621" s="1"/>
      <c r="D1621" s="1"/>
      <c r="E1621" s="6"/>
      <c r="F1621" s="4"/>
    </row>
    <row r="1622" spans="2:6">
      <c r="B1622" s="1"/>
      <c r="C1622" s="1"/>
      <c r="D1622" s="1"/>
      <c r="E1622" s="6"/>
      <c r="F1622" s="4"/>
    </row>
    <row r="1623" spans="2:6">
      <c r="B1623" s="1"/>
      <c r="C1623" s="1"/>
      <c r="D1623" s="1"/>
      <c r="E1623" s="6"/>
      <c r="F1623" s="4"/>
    </row>
    <row r="1624" spans="2:6">
      <c r="B1624" s="1"/>
      <c r="C1624" s="1"/>
      <c r="D1624" s="1"/>
      <c r="E1624" s="6"/>
      <c r="F1624" s="4"/>
    </row>
    <row r="1625" spans="2:6">
      <c r="B1625" s="1"/>
      <c r="C1625" s="1"/>
      <c r="D1625" s="1"/>
      <c r="E1625" s="6"/>
      <c r="F1625" s="4"/>
    </row>
    <row r="1626" spans="2:6">
      <c r="B1626" s="1"/>
      <c r="C1626" s="1"/>
      <c r="D1626" s="1"/>
      <c r="E1626" s="6"/>
      <c r="F1626" s="4"/>
    </row>
    <row r="1627" spans="2:6">
      <c r="B1627" s="1"/>
      <c r="C1627" s="1"/>
      <c r="D1627" s="1"/>
      <c r="E1627" s="6"/>
      <c r="F1627" s="4"/>
    </row>
    <row r="1628" spans="2:6">
      <c r="B1628" s="1"/>
      <c r="C1628" s="1"/>
      <c r="D1628" s="1"/>
      <c r="E1628" s="6"/>
      <c r="F1628" s="4"/>
    </row>
    <row r="1629" spans="2:6">
      <c r="B1629" s="1"/>
      <c r="C1629" s="1"/>
      <c r="D1629" s="1"/>
      <c r="E1629" s="6"/>
      <c r="F1629" s="4"/>
    </row>
    <row r="1630" spans="2:6">
      <c r="B1630" s="1"/>
      <c r="C1630" s="1"/>
      <c r="D1630" s="1"/>
      <c r="E1630" s="6"/>
      <c r="F1630" s="4"/>
    </row>
    <row r="1631" spans="2:6">
      <c r="B1631" s="1"/>
      <c r="C1631" s="1"/>
      <c r="D1631" s="1"/>
      <c r="E1631" s="6"/>
      <c r="F1631" s="4"/>
    </row>
    <row r="1632" spans="2:6">
      <c r="B1632" s="1"/>
      <c r="C1632" s="1"/>
      <c r="D1632" s="1"/>
      <c r="E1632" s="6"/>
      <c r="F1632" s="4"/>
    </row>
    <row r="1633" spans="2:6">
      <c r="B1633" s="1"/>
      <c r="C1633" s="1"/>
      <c r="D1633" s="1"/>
      <c r="E1633" s="6"/>
      <c r="F1633" s="4"/>
    </row>
    <row r="1634" spans="2:6">
      <c r="B1634" s="1"/>
      <c r="C1634" s="1"/>
      <c r="D1634" s="1"/>
      <c r="E1634" s="6"/>
      <c r="F1634" s="4"/>
    </row>
    <row r="1635" spans="2:6">
      <c r="B1635" s="1"/>
      <c r="C1635" s="1"/>
      <c r="D1635" s="1"/>
      <c r="E1635" s="6"/>
      <c r="F1635" s="4"/>
    </row>
    <row r="1636" spans="2:6">
      <c r="B1636" s="1"/>
      <c r="C1636" s="1"/>
      <c r="D1636" s="1"/>
      <c r="E1636" s="6"/>
      <c r="F1636" s="4"/>
    </row>
    <row r="1637" spans="2:6">
      <c r="B1637" s="1"/>
      <c r="C1637" s="1"/>
      <c r="D1637" s="1"/>
      <c r="E1637" s="6"/>
      <c r="F1637" s="4"/>
    </row>
    <row r="1638" spans="2:6">
      <c r="B1638" s="1"/>
      <c r="C1638" s="1"/>
      <c r="D1638" s="1"/>
      <c r="E1638" s="6"/>
      <c r="F1638" s="4"/>
    </row>
    <row r="1639" spans="2:6">
      <c r="B1639" s="1"/>
      <c r="C1639" s="1"/>
      <c r="D1639" s="1"/>
      <c r="E1639" s="6"/>
      <c r="F1639" s="4"/>
    </row>
    <row r="1640" spans="2:6">
      <c r="B1640" s="1"/>
      <c r="C1640" s="1"/>
      <c r="D1640" s="1"/>
      <c r="E1640" s="6"/>
      <c r="F1640" s="4"/>
    </row>
    <row r="1641" spans="2:6">
      <c r="B1641" s="1"/>
      <c r="C1641" s="1"/>
      <c r="D1641" s="1"/>
      <c r="E1641" s="6"/>
      <c r="F1641" s="4"/>
    </row>
    <row r="1642" spans="2:6">
      <c r="B1642" s="1"/>
      <c r="C1642" s="1"/>
      <c r="D1642" s="1"/>
      <c r="E1642" s="6"/>
      <c r="F1642" s="4"/>
    </row>
    <row r="1643" spans="2:6">
      <c r="B1643" s="1"/>
      <c r="C1643" s="1"/>
      <c r="D1643" s="1"/>
      <c r="E1643" s="6"/>
      <c r="F1643" s="4"/>
    </row>
    <row r="1644" spans="2:6">
      <c r="B1644" s="1"/>
      <c r="C1644" s="1"/>
      <c r="D1644" s="1"/>
      <c r="E1644" s="6"/>
      <c r="F1644" s="4"/>
    </row>
    <row r="1645" spans="2:6">
      <c r="B1645" s="1"/>
      <c r="C1645" s="1"/>
      <c r="D1645" s="1"/>
      <c r="E1645" s="6"/>
      <c r="F1645" s="4"/>
    </row>
    <row r="1646" spans="2:6">
      <c r="B1646" s="1"/>
      <c r="C1646" s="1"/>
      <c r="D1646" s="1"/>
      <c r="E1646" s="6"/>
      <c r="F1646" s="4"/>
    </row>
    <row r="1647" spans="2:6">
      <c r="B1647" s="1"/>
      <c r="C1647" s="1"/>
      <c r="D1647" s="1"/>
      <c r="E1647" s="6"/>
      <c r="F1647" s="4"/>
    </row>
    <row r="1648" spans="2:6">
      <c r="B1648" s="1"/>
      <c r="C1648" s="1"/>
      <c r="D1648" s="1"/>
      <c r="E1648" s="6"/>
      <c r="F1648" s="4"/>
    </row>
    <row r="1649" spans="2:6">
      <c r="B1649" s="1"/>
      <c r="C1649" s="1"/>
      <c r="D1649" s="1"/>
      <c r="E1649" s="6"/>
      <c r="F1649" s="4"/>
    </row>
    <row r="1650" spans="2:6">
      <c r="B1650" s="1"/>
      <c r="C1650" s="1"/>
      <c r="D1650" s="1"/>
      <c r="E1650" s="6"/>
      <c r="F1650" s="4"/>
    </row>
    <row r="1651" spans="2:6">
      <c r="B1651" s="1"/>
      <c r="C1651" s="1"/>
      <c r="D1651" s="1"/>
      <c r="E1651" s="6"/>
      <c r="F1651" s="4"/>
    </row>
    <row r="1652" spans="2:6">
      <c r="B1652" s="1"/>
      <c r="C1652" s="1"/>
      <c r="D1652" s="1"/>
      <c r="E1652" s="6"/>
      <c r="F1652" s="4"/>
    </row>
    <row r="1653" spans="2:6">
      <c r="B1653" s="1"/>
      <c r="C1653" s="1"/>
      <c r="D1653" s="1"/>
      <c r="E1653" s="6"/>
      <c r="F1653" s="4"/>
    </row>
    <row r="1654" spans="2:6">
      <c r="B1654" s="1"/>
      <c r="C1654" s="1"/>
      <c r="D1654" s="1"/>
      <c r="E1654" s="6"/>
      <c r="F1654" s="4"/>
    </row>
    <row r="1655" spans="2:6">
      <c r="B1655" s="1"/>
      <c r="C1655" s="1"/>
      <c r="D1655" s="1"/>
      <c r="E1655" s="6"/>
      <c r="F1655" s="4"/>
    </row>
    <row r="1656" spans="2:6">
      <c r="B1656" s="1"/>
      <c r="C1656" s="1"/>
      <c r="D1656" s="1"/>
      <c r="E1656" s="6"/>
      <c r="F1656" s="4"/>
    </row>
    <row r="1657" spans="2:6">
      <c r="B1657" s="1"/>
      <c r="C1657" s="1"/>
      <c r="D1657" s="1"/>
      <c r="E1657" s="6"/>
      <c r="F1657" s="4"/>
    </row>
    <row r="1658" spans="2:6">
      <c r="B1658" s="1"/>
      <c r="C1658" s="1"/>
      <c r="D1658" s="1"/>
      <c r="E1658" s="6"/>
      <c r="F1658" s="4"/>
    </row>
    <row r="1659" spans="2:6">
      <c r="B1659" s="1"/>
      <c r="C1659" s="1"/>
      <c r="D1659" s="1"/>
      <c r="E1659" s="6"/>
      <c r="F1659" s="4"/>
    </row>
    <row r="1660" spans="2:6">
      <c r="B1660" s="1"/>
      <c r="C1660" s="1"/>
      <c r="D1660" s="1"/>
      <c r="E1660" s="6"/>
      <c r="F1660" s="4"/>
    </row>
    <row r="1661" spans="2:6">
      <c r="B1661" s="1"/>
      <c r="C1661" s="1"/>
      <c r="D1661" s="1"/>
      <c r="E1661" s="6"/>
      <c r="F1661" s="4"/>
    </row>
    <row r="1662" spans="2:6">
      <c r="B1662" s="1"/>
      <c r="C1662" s="1"/>
      <c r="D1662" s="1"/>
      <c r="E1662" s="6"/>
      <c r="F1662" s="4"/>
    </row>
    <row r="1663" spans="2:6">
      <c r="B1663" s="1"/>
      <c r="C1663" s="1"/>
      <c r="D1663" s="1"/>
      <c r="E1663" s="6"/>
      <c r="F1663" s="4"/>
    </row>
    <row r="1664" spans="2:6">
      <c r="B1664" s="1"/>
      <c r="C1664" s="1"/>
      <c r="D1664" s="1"/>
      <c r="E1664" s="6"/>
      <c r="F1664" s="4"/>
    </row>
    <row r="1665" spans="2:6">
      <c r="B1665" s="1"/>
      <c r="C1665" s="1"/>
      <c r="D1665" s="1"/>
      <c r="E1665" s="6"/>
      <c r="F1665" s="4"/>
    </row>
    <row r="1666" spans="2:6">
      <c r="B1666" s="1"/>
      <c r="C1666" s="1"/>
      <c r="D1666" s="1"/>
      <c r="E1666" s="6"/>
      <c r="F1666" s="4"/>
    </row>
    <row r="1667" spans="2:6">
      <c r="B1667" s="1"/>
      <c r="C1667" s="1"/>
      <c r="D1667" s="1"/>
      <c r="E1667" s="6"/>
      <c r="F1667" s="4"/>
    </row>
    <row r="1668" spans="2:6">
      <c r="B1668" s="1"/>
      <c r="C1668" s="1"/>
      <c r="D1668" s="1"/>
      <c r="E1668" s="6"/>
      <c r="F1668" s="4"/>
    </row>
    <row r="1669" spans="2:6">
      <c r="B1669" s="1"/>
      <c r="C1669" s="1"/>
      <c r="D1669" s="1"/>
      <c r="E1669" s="6"/>
      <c r="F1669" s="4"/>
    </row>
    <row r="1670" spans="2:6">
      <c r="B1670" s="1"/>
      <c r="C1670" s="1"/>
      <c r="D1670" s="1"/>
      <c r="E1670" s="6"/>
      <c r="F1670" s="4"/>
    </row>
    <row r="1671" spans="2:6">
      <c r="B1671" s="1"/>
      <c r="C1671" s="1"/>
      <c r="D1671" s="1"/>
      <c r="E1671" s="6"/>
      <c r="F1671" s="4"/>
    </row>
    <row r="1672" spans="2:6">
      <c r="B1672" s="1"/>
      <c r="C1672" s="1"/>
      <c r="D1672" s="1"/>
      <c r="E1672" s="6"/>
      <c r="F1672" s="4"/>
    </row>
    <row r="1673" spans="2:6">
      <c r="B1673" s="1"/>
      <c r="C1673" s="1"/>
      <c r="D1673" s="1"/>
      <c r="E1673" s="6"/>
      <c r="F1673" s="4"/>
    </row>
    <row r="1674" spans="2:6">
      <c r="B1674" s="1"/>
      <c r="C1674" s="1"/>
      <c r="D1674" s="1"/>
      <c r="E1674" s="6"/>
      <c r="F1674" s="4"/>
    </row>
    <row r="1675" spans="2:6">
      <c r="B1675" s="1"/>
      <c r="C1675" s="1"/>
      <c r="D1675" s="1"/>
      <c r="E1675" s="6"/>
      <c r="F1675" s="4"/>
    </row>
    <row r="1676" spans="2:6">
      <c r="B1676" s="1"/>
      <c r="C1676" s="1"/>
      <c r="D1676" s="1"/>
      <c r="E1676" s="6"/>
      <c r="F1676" s="4"/>
    </row>
    <row r="1677" spans="2:6">
      <c r="B1677" s="1"/>
      <c r="C1677" s="1"/>
      <c r="D1677" s="1"/>
      <c r="E1677" s="6"/>
      <c r="F1677" s="4"/>
    </row>
    <row r="1678" spans="2:6">
      <c r="B1678" s="1"/>
      <c r="C1678" s="1"/>
      <c r="D1678" s="1"/>
      <c r="E1678" s="6"/>
      <c r="F1678" s="4"/>
    </row>
    <row r="1679" spans="2:6">
      <c r="B1679" s="1"/>
      <c r="C1679" s="1"/>
      <c r="D1679" s="1"/>
      <c r="E1679" s="6"/>
      <c r="F1679" s="4"/>
    </row>
    <row r="1680" spans="2:6">
      <c r="B1680" s="1"/>
      <c r="C1680" s="1"/>
      <c r="D1680" s="1"/>
      <c r="E1680" s="6"/>
      <c r="F1680" s="4"/>
    </row>
    <row r="1681" spans="2:6">
      <c r="B1681" s="1"/>
      <c r="C1681" s="1"/>
      <c r="D1681" s="1"/>
      <c r="E1681" s="6"/>
      <c r="F1681" s="4"/>
    </row>
    <row r="1682" spans="2:6">
      <c r="B1682" s="1"/>
      <c r="C1682" s="1"/>
      <c r="D1682" s="1"/>
      <c r="E1682" s="6"/>
      <c r="F1682" s="4"/>
    </row>
    <row r="1683" spans="2:6">
      <c r="B1683" s="1"/>
      <c r="C1683" s="1"/>
      <c r="D1683" s="1"/>
      <c r="E1683" s="6"/>
      <c r="F1683" s="4"/>
    </row>
    <row r="1684" spans="2:6">
      <c r="B1684" s="1"/>
      <c r="C1684" s="1"/>
      <c r="D1684" s="1"/>
      <c r="E1684" s="6"/>
      <c r="F1684" s="4"/>
    </row>
    <row r="1685" spans="2:6">
      <c r="B1685" s="1"/>
      <c r="C1685" s="1"/>
      <c r="D1685" s="1"/>
      <c r="E1685" s="6"/>
      <c r="F1685" s="4"/>
    </row>
    <row r="1686" spans="2:6">
      <c r="B1686" s="1"/>
      <c r="C1686" s="1"/>
      <c r="D1686" s="1"/>
      <c r="E1686" s="6"/>
      <c r="F1686" s="4"/>
    </row>
    <row r="1687" spans="2:6">
      <c r="B1687" s="1"/>
      <c r="C1687" s="1"/>
      <c r="D1687" s="1"/>
      <c r="E1687" s="6"/>
      <c r="F1687" s="4"/>
    </row>
    <row r="1688" spans="2:6">
      <c r="B1688" s="1"/>
      <c r="C1688" s="1"/>
      <c r="D1688" s="1"/>
      <c r="E1688" s="6"/>
      <c r="F1688" s="4"/>
    </row>
    <row r="1689" spans="2:6">
      <c r="B1689" s="1"/>
      <c r="C1689" s="1"/>
      <c r="D1689" s="1"/>
      <c r="E1689" s="6"/>
      <c r="F1689" s="4"/>
    </row>
    <row r="1690" spans="2:6">
      <c r="B1690" s="1"/>
      <c r="C1690" s="1"/>
      <c r="D1690" s="1"/>
      <c r="E1690" s="6"/>
      <c r="F1690" s="4"/>
    </row>
    <row r="1691" spans="2:6">
      <c r="B1691" s="1"/>
      <c r="C1691" s="1"/>
      <c r="D1691" s="1"/>
      <c r="E1691" s="6"/>
      <c r="F1691" s="4"/>
    </row>
    <row r="1692" spans="2:6">
      <c r="B1692" s="1"/>
      <c r="C1692" s="1"/>
      <c r="D1692" s="1"/>
      <c r="E1692" s="6"/>
      <c r="F1692" s="4"/>
    </row>
    <row r="1693" spans="2:6">
      <c r="B1693" s="1"/>
      <c r="C1693" s="1"/>
      <c r="D1693" s="1"/>
      <c r="E1693" s="6"/>
      <c r="F1693" s="4"/>
    </row>
    <row r="1694" spans="2:6">
      <c r="B1694" s="1"/>
      <c r="C1694" s="1"/>
      <c r="D1694" s="1"/>
      <c r="E1694" s="6"/>
      <c r="F1694" s="4"/>
    </row>
    <row r="1695" spans="2:6">
      <c r="B1695" s="1"/>
      <c r="C1695" s="1"/>
      <c r="D1695" s="1"/>
      <c r="E1695" s="6"/>
      <c r="F1695" s="4"/>
    </row>
    <row r="1696" spans="2:6">
      <c r="B1696" s="1"/>
      <c r="C1696" s="1"/>
      <c r="D1696" s="1"/>
      <c r="E1696" s="6"/>
      <c r="F1696" s="4"/>
    </row>
    <row r="1697" spans="2:6">
      <c r="B1697" s="1"/>
      <c r="C1697" s="1"/>
      <c r="D1697" s="1"/>
      <c r="E1697" s="6"/>
      <c r="F1697" s="4"/>
    </row>
    <row r="1698" spans="2:6">
      <c r="B1698" s="1"/>
      <c r="C1698" s="1"/>
      <c r="D1698" s="1"/>
      <c r="E1698" s="6"/>
      <c r="F1698" s="4"/>
    </row>
    <row r="1699" spans="2:6">
      <c r="B1699" s="1"/>
      <c r="C1699" s="1"/>
      <c r="D1699" s="1"/>
      <c r="E1699" s="6"/>
      <c r="F1699" s="4"/>
    </row>
    <row r="1700" spans="2:6">
      <c r="B1700" s="1"/>
      <c r="C1700" s="1"/>
      <c r="D1700" s="1"/>
      <c r="E1700" s="6"/>
      <c r="F1700" s="4"/>
    </row>
    <row r="1701" spans="2:6">
      <c r="B1701" s="1"/>
      <c r="C1701" s="1"/>
      <c r="D1701" s="1"/>
      <c r="E1701" s="6"/>
      <c r="F1701" s="4"/>
    </row>
    <row r="1702" spans="2:6">
      <c r="B1702" s="1"/>
      <c r="C1702" s="1"/>
      <c r="D1702" s="1"/>
      <c r="E1702" s="6"/>
      <c r="F1702" s="4"/>
    </row>
    <row r="1703" spans="2:6">
      <c r="B1703" s="1"/>
      <c r="C1703" s="1"/>
      <c r="D1703" s="1"/>
      <c r="E1703" s="6"/>
      <c r="F1703" s="4"/>
    </row>
    <row r="1704" spans="2:6">
      <c r="B1704" s="1"/>
      <c r="C1704" s="1"/>
      <c r="D1704" s="1"/>
      <c r="E1704" s="6"/>
      <c r="F1704" s="4"/>
    </row>
    <row r="1705" spans="2:6">
      <c r="B1705" s="1"/>
      <c r="C1705" s="1"/>
      <c r="D1705" s="1"/>
      <c r="E1705" s="6"/>
      <c r="F1705" s="4"/>
    </row>
    <row r="1706" spans="2:6">
      <c r="B1706" s="1"/>
      <c r="C1706" s="1"/>
      <c r="D1706" s="1"/>
      <c r="E1706" s="6"/>
      <c r="F1706" s="4"/>
    </row>
    <row r="1707" spans="2:6">
      <c r="B1707" s="1"/>
      <c r="C1707" s="1"/>
      <c r="D1707" s="1"/>
      <c r="E1707" s="6"/>
      <c r="F1707" s="4"/>
    </row>
    <row r="1708" spans="2:6">
      <c r="B1708" s="1"/>
      <c r="C1708" s="1"/>
      <c r="D1708" s="1"/>
      <c r="E1708" s="6"/>
      <c r="F1708" s="4"/>
    </row>
    <row r="1709" spans="2:6">
      <c r="B1709" s="1"/>
      <c r="C1709" s="1"/>
      <c r="D1709" s="1"/>
      <c r="E1709" s="6"/>
      <c r="F1709" s="4"/>
    </row>
    <row r="1710" spans="2:6">
      <c r="B1710" s="1"/>
      <c r="C1710" s="1"/>
      <c r="D1710" s="1"/>
      <c r="E1710" s="6"/>
      <c r="F1710" s="4"/>
    </row>
    <row r="1711" spans="2:6">
      <c r="B1711" s="1"/>
      <c r="C1711" s="1"/>
      <c r="D1711" s="1"/>
      <c r="E1711" s="6"/>
      <c r="F1711" s="4"/>
    </row>
    <row r="1712" spans="2:6">
      <c r="B1712" s="1"/>
      <c r="C1712" s="1"/>
      <c r="D1712" s="1"/>
      <c r="E1712" s="6"/>
      <c r="F1712" s="4"/>
    </row>
    <row r="1713" spans="2:6">
      <c r="B1713" s="1"/>
      <c r="C1713" s="1"/>
      <c r="D1713" s="1"/>
      <c r="E1713" s="6"/>
      <c r="F1713" s="4"/>
    </row>
    <row r="1714" spans="2:6">
      <c r="B1714" s="1"/>
      <c r="C1714" s="1"/>
      <c r="D1714" s="1"/>
      <c r="E1714" s="6"/>
      <c r="F1714" s="4"/>
    </row>
    <row r="1715" spans="2:6">
      <c r="B1715" s="1"/>
      <c r="C1715" s="1"/>
      <c r="D1715" s="1"/>
      <c r="E1715" s="6"/>
      <c r="F1715" s="4"/>
    </row>
    <row r="1716" spans="2:6">
      <c r="B1716" s="1"/>
      <c r="C1716" s="1"/>
      <c r="D1716" s="1"/>
      <c r="E1716" s="6"/>
      <c r="F1716" s="4"/>
    </row>
    <row r="1717" spans="2:6">
      <c r="B1717" s="1"/>
      <c r="C1717" s="1"/>
      <c r="D1717" s="1"/>
      <c r="E1717" s="6"/>
      <c r="F1717" s="4"/>
    </row>
    <row r="1718" spans="2:6">
      <c r="B1718" s="1"/>
      <c r="C1718" s="1"/>
      <c r="D1718" s="1"/>
      <c r="E1718" s="6"/>
      <c r="F1718" s="4"/>
    </row>
    <row r="1719" spans="2:6">
      <c r="B1719" s="1"/>
      <c r="C1719" s="1"/>
      <c r="D1719" s="1"/>
      <c r="E1719" s="6"/>
      <c r="F1719" s="4"/>
    </row>
    <row r="1720" spans="2:6">
      <c r="B1720" s="1"/>
      <c r="C1720" s="1"/>
      <c r="D1720" s="1"/>
      <c r="E1720" s="6"/>
      <c r="F1720" s="4"/>
    </row>
    <row r="1721" spans="2:6">
      <c r="B1721" s="1"/>
      <c r="C1721" s="1"/>
      <c r="D1721" s="1"/>
      <c r="E1721" s="6"/>
      <c r="F1721" s="4"/>
    </row>
    <row r="1722" spans="2:6">
      <c r="B1722" s="1"/>
      <c r="C1722" s="1"/>
      <c r="D1722" s="1"/>
      <c r="E1722" s="6"/>
      <c r="F1722" s="4"/>
    </row>
    <row r="1723" spans="2:6">
      <c r="B1723" s="1"/>
      <c r="C1723" s="1"/>
      <c r="D1723" s="1"/>
      <c r="E1723" s="6"/>
      <c r="F1723" s="4"/>
    </row>
    <row r="1724" spans="2:6">
      <c r="B1724" s="1"/>
      <c r="C1724" s="1"/>
      <c r="D1724" s="1"/>
      <c r="E1724" s="6"/>
      <c r="F1724" s="4"/>
    </row>
    <row r="1725" spans="2:6">
      <c r="B1725" s="1"/>
      <c r="C1725" s="1"/>
      <c r="D1725" s="1"/>
      <c r="E1725" s="6"/>
      <c r="F1725" s="4"/>
    </row>
    <row r="1726" spans="2:6">
      <c r="B1726" s="1"/>
      <c r="C1726" s="1"/>
      <c r="D1726" s="1"/>
      <c r="E1726" s="6"/>
      <c r="F1726" s="4"/>
    </row>
    <row r="1727" spans="2:6">
      <c r="B1727" s="1"/>
      <c r="C1727" s="1"/>
      <c r="D1727" s="1"/>
      <c r="E1727" s="6"/>
      <c r="F1727" s="4"/>
    </row>
    <row r="1728" spans="2:6">
      <c r="B1728" s="1"/>
      <c r="C1728" s="1"/>
      <c r="D1728" s="1"/>
      <c r="E1728" s="6"/>
      <c r="F1728" s="4"/>
    </row>
    <row r="1729" spans="2:6">
      <c r="B1729" s="1"/>
      <c r="C1729" s="1"/>
      <c r="D1729" s="1"/>
      <c r="E1729" s="6"/>
      <c r="F1729" s="4"/>
    </row>
    <row r="1730" spans="2:6">
      <c r="B1730" s="1"/>
      <c r="C1730" s="1"/>
      <c r="D1730" s="1"/>
      <c r="E1730" s="6"/>
      <c r="F1730" s="4"/>
    </row>
    <row r="1731" spans="2:6">
      <c r="B1731" s="1"/>
      <c r="C1731" s="1"/>
      <c r="D1731" s="1"/>
      <c r="E1731" s="6"/>
      <c r="F1731" s="4"/>
    </row>
    <row r="1732" spans="2:6">
      <c r="B1732" s="1"/>
      <c r="C1732" s="1"/>
      <c r="D1732" s="1"/>
      <c r="E1732" s="6"/>
      <c r="F1732" s="4"/>
    </row>
    <row r="1733" spans="2:6">
      <c r="B1733" s="1"/>
      <c r="C1733" s="1"/>
      <c r="D1733" s="1"/>
      <c r="E1733" s="6"/>
      <c r="F1733" s="4"/>
    </row>
    <row r="1734" spans="2:6">
      <c r="B1734" s="1"/>
      <c r="C1734" s="1"/>
      <c r="D1734" s="1"/>
      <c r="E1734" s="6"/>
      <c r="F1734" s="4"/>
    </row>
    <row r="1735" spans="2:6">
      <c r="B1735" s="1"/>
      <c r="C1735" s="1"/>
      <c r="D1735" s="1"/>
      <c r="E1735" s="6"/>
      <c r="F1735" s="4"/>
    </row>
    <row r="1736" spans="2:6">
      <c r="B1736" s="1"/>
      <c r="C1736" s="1"/>
      <c r="D1736" s="1"/>
      <c r="E1736" s="6"/>
      <c r="F1736" s="4"/>
    </row>
    <row r="1737" spans="2:6">
      <c r="B1737" s="1"/>
      <c r="C1737" s="1"/>
      <c r="D1737" s="1"/>
      <c r="E1737" s="6"/>
      <c r="F1737" s="4"/>
    </row>
    <row r="1738" spans="2:6">
      <c r="B1738" s="1"/>
      <c r="C1738" s="1"/>
      <c r="D1738" s="1"/>
      <c r="E1738" s="6"/>
      <c r="F1738" s="4"/>
    </row>
    <row r="1739" spans="2:6">
      <c r="B1739" s="1"/>
      <c r="C1739" s="1"/>
      <c r="D1739" s="1"/>
      <c r="E1739" s="6"/>
      <c r="F1739" s="4"/>
    </row>
    <row r="1740" spans="2:6">
      <c r="B1740" s="1"/>
      <c r="C1740" s="1"/>
      <c r="D1740" s="1"/>
      <c r="E1740" s="6"/>
      <c r="F1740" s="4"/>
    </row>
    <row r="1741" spans="2:6">
      <c r="B1741" s="1"/>
      <c r="C1741" s="1"/>
      <c r="D1741" s="1"/>
      <c r="E1741" s="6"/>
      <c r="F1741" s="4"/>
    </row>
    <row r="1742" spans="2:6">
      <c r="B1742" s="1"/>
      <c r="C1742" s="1"/>
      <c r="D1742" s="1"/>
      <c r="E1742" s="6"/>
      <c r="F1742" s="4"/>
    </row>
    <row r="1743" spans="2:6">
      <c r="B1743" s="1"/>
      <c r="C1743" s="1"/>
      <c r="D1743" s="1"/>
      <c r="E1743" s="6"/>
      <c r="F1743" s="4"/>
    </row>
    <row r="1744" spans="2:6">
      <c r="B1744" s="1"/>
      <c r="C1744" s="1"/>
      <c r="D1744" s="1"/>
      <c r="E1744" s="6"/>
      <c r="F1744" s="4"/>
    </row>
    <row r="1745" spans="2:6">
      <c r="B1745" s="1"/>
      <c r="C1745" s="1"/>
      <c r="D1745" s="1"/>
      <c r="E1745" s="6"/>
      <c r="F1745" s="4"/>
    </row>
    <row r="1746" spans="2:6">
      <c r="B1746" s="1"/>
      <c r="C1746" s="1"/>
      <c r="D1746" s="1"/>
      <c r="E1746" s="6"/>
      <c r="F1746" s="4"/>
    </row>
    <row r="1747" spans="2:6">
      <c r="B1747" s="1"/>
      <c r="C1747" s="1"/>
      <c r="D1747" s="1"/>
      <c r="E1747" s="6"/>
      <c r="F1747" s="4"/>
    </row>
    <row r="1748" spans="2:6">
      <c r="B1748" s="1"/>
      <c r="C1748" s="1"/>
      <c r="D1748" s="1"/>
      <c r="E1748" s="6"/>
      <c r="F1748" s="4"/>
    </row>
    <row r="1749" spans="2:6">
      <c r="B1749" s="1"/>
      <c r="C1749" s="1"/>
      <c r="D1749" s="1"/>
      <c r="E1749" s="6"/>
      <c r="F1749" s="4"/>
    </row>
    <row r="1750" spans="2:6">
      <c r="B1750" s="1"/>
      <c r="C1750" s="1"/>
      <c r="D1750" s="1"/>
      <c r="E1750" s="6"/>
      <c r="F1750" s="4"/>
    </row>
    <row r="1751" spans="2:6">
      <c r="B1751" s="1"/>
      <c r="C1751" s="1"/>
      <c r="D1751" s="1"/>
      <c r="E1751" s="6"/>
      <c r="F1751" s="4"/>
    </row>
    <row r="1752" spans="2:6">
      <c r="B1752" s="1"/>
      <c r="C1752" s="1"/>
      <c r="D1752" s="1"/>
      <c r="E1752" s="6"/>
      <c r="F1752" s="4"/>
    </row>
    <row r="1753" spans="2:6">
      <c r="B1753" s="1"/>
      <c r="C1753" s="1"/>
      <c r="D1753" s="1"/>
      <c r="E1753" s="6"/>
      <c r="F1753" s="4"/>
    </row>
    <row r="1754" spans="2:6">
      <c r="B1754" s="1"/>
      <c r="C1754" s="1"/>
      <c r="D1754" s="1"/>
      <c r="E1754" s="6"/>
      <c r="F1754" s="4"/>
    </row>
    <row r="1755" spans="2:6">
      <c r="B1755" s="1"/>
      <c r="C1755" s="1"/>
      <c r="D1755" s="1"/>
      <c r="E1755" s="6"/>
      <c r="F1755" s="4"/>
    </row>
    <row r="1756" spans="2:6">
      <c r="B1756" s="1"/>
      <c r="C1756" s="1"/>
      <c r="D1756" s="1"/>
      <c r="E1756" s="6"/>
      <c r="F1756" s="4"/>
    </row>
    <row r="1757" spans="2:6">
      <c r="B1757" s="1"/>
      <c r="C1757" s="1"/>
      <c r="D1757" s="1"/>
      <c r="E1757" s="6"/>
      <c r="F1757" s="4"/>
    </row>
    <row r="1758" spans="2:6">
      <c r="B1758" s="1"/>
      <c r="C1758" s="1"/>
      <c r="D1758" s="1"/>
      <c r="E1758" s="6"/>
      <c r="F1758" s="4"/>
    </row>
    <row r="1759" spans="2:6">
      <c r="B1759" s="1"/>
      <c r="C1759" s="1"/>
      <c r="D1759" s="1"/>
      <c r="E1759" s="6"/>
      <c r="F1759" s="4"/>
    </row>
    <row r="1760" spans="2:6">
      <c r="B1760" s="1"/>
      <c r="C1760" s="1"/>
      <c r="D1760" s="1"/>
      <c r="E1760" s="6"/>
      <c r="F1760" s="4"/>
    </row>
    <row r="1761" spans="2:6">
      <c r="B1761" s="1"/>
      <c r="C1761" s="1"/>
      <c r="D1761" s="1"/>
      <c r="E1761" s="6"/>
      <c r="F1761" s="4"/>
    </row>
    <row r="1762" spans="2:6">
      <c r="B1762" s="1"/>
      <c r="C1762" s="1"/>
      <c r="D1762" s="1"/>
      <c r="E1762" s="6"/>
      <c r="F1762" s="4"/>
    </row>
    <row r="1763" spans="2:6">
      <c r="B1763" s="1"/>
      <c r="C1763" s="1"/>
      <c r="D1763" s="1"/>
      <c r="E1763" s="6"/>
      <c r="F1763" s="4"/>
    </row>
    <row r="1764" spans="2:6">
      <c r="B1764" s="1"/>
      <c r="C1764" s="1"/>
      <c r="D1764" s="1"/>
      <c r="E1764" s="6"/>
      <c r="F1764" s="4"/>
    </row>
    <row r="1765" spans="2:6">
      <c r="B1765" s="1"/>
      <c r="C1765" s="1"/>
      <c r="D1765" s="1"/>
      <c r="E1765" s="6"/>
      <c r="F1765" s="4"/>
    </row>
    <row r="1766" spans="2:6">
      <c r="B1766" s="1"/>
      <c r="C1766" s="1"/>
      <c r="D1766" s="1"/>
      <c r="E1766" s="6"/>
      <c r="F1766" s="4"/>
    </row>
    <row r="1767" spans="2:6">
      <c r="B1767" s="1"/>
      <c r="C1767" s="1"/>
      <c r="D1767" s="1"/>
      <c r="E1767" s="6"/>
      <c r="F1767" s="4"/>
    </row>
    <row r="1768" spans="2:6">
      <c r="B1768" s="1"/>
      <c r="C1768" s="1"/>
      <c r="D1768" s="1"/>
      <c r="E1768" s="6"/>
      <c r="F1768" s="4"/>
    </row>
    <row r="1769" spans="2:6">
      <c r="B1769" s="1"/>
      <c r="C1769" s="1"/>
      <c r="D1769" s="1"/>
      <c r="E1769" s="6"/>
      <c r="F1769" s="4"/>
    </row>
    <row r="1770" spans="2:6">
      <c r="B1770" s="1"/>
      <c r="C1770" s="1"/>
      <c r="D1770" s="1"/>
      <c r="E1770" s="6"/>
      <c r="F1770" s="4"/>
    </row>
    <row r="1771" spans="2:6">
      <c r="B1771" s="1"/>
      <c r="C1771" s="1"/>
      <c r="D1771" s="1"/>
      <c r="E1771" s="6"/>
      <c r="F1771" s="4"/>
    </row>
    <row r="1772" spans="2:6">
      <c r="B1772" s="1"/>
      <c r="C1772" s="1"/>
      <c r="D1772" s="1"/>
      <c r="E1772" s="6"/>
      <c r="F1772" s="4"/>
    </row>
    <row r="1773" spans="2:6">
      <c r="B1773" s="1"/>
      <c r="C1773" s="1"/>
      <c r="D1773" s="1"/>
      <c r="E1773" s="6"/>
      <c r="F1773" s="4"/>
    </row>
    <row r="1774" spans="2:6">
      <c r="B1774" s="1"/>
      <c r="C1774" s="1"/>
      <c r="D1774" s="1"/>
      <c r="E1774" s="6"/>
      <c r="F1774" s="4"/>
    </row>
    <row r="1775" spans="2:6">
      <c r="B1775" s="1"/>
      <c r="C1775" s="1"/>
      <c r="D1775" s="1"/>
      <c r="E1775" s="6"/>
      <c r="F1775" s="4"/>
    </row>
    <row r="1776" spans="2:6">
      <c r="B1776" s="1"/>
      <c r="C1776" s="1"/>
      <c r="D1776" s="1"/>
      <c r="E1776" s="6"/>
      <c r="F1776" s="4"/>
    </row>
    <row r="1777" spans="2:6">
      <c r="B1777" s="1"/>
      <c r="C1777" s="1"/>
      <c r="D1777" s="1"/>
      <c r="E1777" s="6"/>
      <c r="F1777" s="4"/>
    </row>
    <row r="1778" spans="2:6">
      <c r="B1778" s="1"/>
      <c r="C1778" s="1"/>
      <c r="D1778" s="1"/>
      <c r="E1778" s="6"/>
      <c r="F1778" s="4"/>
    </row>
    <row r="1779" spans="2:6">
      <c r="B1779" s="1"/>
      <c r="C1779" s="1"/>
      <c r="D1779" s="1"/>
      <c r="E1779" s="6"/>
      <c r="F1779" s="4"/>
    </row>
    <row r="1780" spans="2:6">
      <c r="B1780" s="1"/>
      <c r="C1780" s="1"/>
      <c r="D1780" s="1"/>
      <c r="E1780" s="6"/>
      <c r="F1780" s="4"/>
    </row>
    <row r="1781" spans="2:6">
      <c r="B1781" s="1"/>
      <c r="C1781" s="1"/>
      <c r="D1781" s="1"/>
      <c r="E1781" s="6"/>
      <c r="F1781" s="4"/>
    </row>
    <row r="1782" spans="2:6">
      <c r="B1782" s="1"/>
      <c r="C1782" s="1"/>
      <c r="D1782" s="1"/>
      <c r="E1782" s="6"/>
      <c r="F1782" s="4"/>
    </row>
    <row r="1783" spans="2:6">
      <c r="B1783" s="1"/>
      <c r="C1783" s="1"/>
      <c r="D1783" s="1"/>
      <c r="E1783" s="6"/>
      <c r="F1783" s="4"/>
    </row>
    <row r="1784" spans="2:6">
      <c r="B1784" s="1"/>
      <c r="C1784" s="1"/>
      <c r="D1784" s="1"/>
      <c r="E1784" s="6"/>
      <c r="F1784" s="4"/>
    </row>
    <row r="1785" spans="2:6">
      <c r="B1785" s="1"/>
      <c r="C1785" s="1"/>
      <c r="D1785" s="1"/>
      <c r="E1785" s="6"/>
      <c r="F1785" s="4"/>
    </row>
    <row r="1786" spans="2:6">
      <c r="B1786" s="1"/>
      <c r="C1786" s="1"/>
      <c r="D1786" s="1"/>
      <c r="E1786" s="6"/>
      <c r="F1786" s="4"/>
    </row>
    <row r="1787" spans="2:6">
      <c r="B1787" s="1"/>
      <c r="C1787" s="1"/>
      <c r="D1787" s="1"/>
      <c r="E1787" s="6"/>
      <c r="F1787" s="4"/>
    </row>
    <row r="1788" spans="2:6">
      <c r="B1788" s="1"/>
      <c r="C1788" s="1"/>
      <c r="D1788" s="1"/>
      <c r="E1788" s="6"/>
      <c r="F1788" s="4"/>
    </row>
    <row r="1789" spans="2:6">
      <c r="B1789" s="1"/>
      <c r="C1789" s="1"/>
      <c r="D1789" s="1"/>
      <c r="E1789" s="6"/>
      <c r="F1789" s="4"/>
    </row>
    <row r="1790" spans="2:6">
      <c r="B1790" s="1"/>
      <c r="C1790" s="1"/>
      <c r="D1790" s="1"/>
      <c r="E1790" s="6"/>
      <c r="F1790" s="4"/>
    </row>
    <row r="1791" spans="2:6">
      <c r="B1791" s="1"/>
      <c r="C1791" s="1"/>
      <c r="D1791" s="1"/>
      <c r="E1791" s="6"/>
      <c r="F1791" s="4"/>
    </row>
    <row r="1792" spans="2:6">
      <c r="B1792" s="1"/>
      <c r="C1792" s="1"/>
      <c r="D1792" s="1"/>
      <c r="E1792" s="6"/>
      <c r="F1792" s="4"/>
    </row>
    <row r="1793" spans="2:6">
      <c r="B1793" s="1"/>
      <c r="C1793" s="1"/>
      <c r="D1793" s="1"/>
      <c r="E1793" s="6"/>
      <c r="F1793" s="4"/>
    </row>
    <row r="1794" spans="2:6">
      <c r="B1794" s="1"/>
      <c r="C1794" s="1"/>
      <c r="D1794" s="1"/>
      <c r="E1794" s="6"/>
      <c r="F1794" s="4"/>
    </row>
    <row r="1795" spans="2:6">
      <c r="B1795" s="1"/>
      <c r="C1795" s="1"/>
      <c r="D1795" s="1"/>
      <c r="E1795" s="6"/>
      <c r="F1795" s="4"/>
    </row>
    <row r="1796" spans="2:6">
      <c r="B1796" s="1"/>
      <c r="C1796" s="1"/>
      <c r="D1796" s="1"/>
      <c r="E1796" s="6"/>
      <c r="F1796" s="4"/>
    </row>
    <row r="1797" spans="2:6">
      <c r="B1797" s="1"/>
      <c r="C1797" s="1"/>
      <c r="D1797" s="1"/>
      <c r="E1797" s="6"/>
      <c r="F1797" s="4"/>
    </row>
    <row r="1798" spans="2:6">
      <c r="B1798" s="1"/>
      <c r="C1798" s="1"/>
      <c r="D1798" s="1"/>
      <c r="E1798" s="6"/>
      <c r="F1798" s="4"/>
    </row>
    <row r="1799" spans="2:6">
      <c r="B1799" s="1"/>
      <c r="C1799" s="1"/>
      <c r="D1799" s="1"/>
      <c r="E1799" s="6"/>
      <c r="F1799" s="4"/>
    </row>
    <row r="1800" spans="2:6">
      <c r="B1800" s="1"/>
      <c r="C1800" s="1"/>
      <c r="D1800" s="1"/>
      <c r="E1800" s="6"/>
      <c r="F1800" s="4"/>
    </row>
    <row r="1801" spans="2:6">
      <c r="B1801" s="1"/>
      <c r="C1801" s="1"/>
      <c r="D1801" s="1"/>
      <c r="E1801" s="6"/>
      <c r="F1801" s="4"/>
    </row>
    <row r="1802" spans="2:6">
      <c r="B1802" s="1"/>
      <c r="C1802" s="1"/>
      <c r="D1802" s="1"/>
      <c r="E1802" s="6"/>
      <c r="F1802" s="4"/>
    </row>
    <row r="1803" spans="2:6">
      <c r="B1803" s="1"/>
      <c r="C1803" s="1"/>
      <c r="D1803" s="1"/>
      <c r="E1803" s="6"/>
      <c r="F1803" s="4"/>
    </row>
    <row r="1804" spans="2:6">
      <c r="B1804" s="1"/>
      <c r="C1804" s="1"/>
      <c r="D1804" s="1"/>
      <c r="E1804" s="6"/>
      <c r="F1804" s="4"/>
    </row>
    <row r="1805" spans="2:6">
      <c r="B1805" s="1"/>
      <c r="C1805" s="1"/>
      <c r="D1805" s="1"/>
      <c r="E1805" s="6"/>
      <c r="F1805" s="4"/>
    </row>
    <row r="1806" spans="2:6">
      <c r="B1806" s="1"/>
      <c r="C1806" s="1"/>
      <c r="D1806" s="1"/>
      <c r="E1806" s="6"/>
      <c r="F1806" s="4"/>
    </row>
    <row r="1807" spans="2:6">
      <c r="B1807" s="1"/>
      <c r="C1807" s="1"/>
      <c r="D1807" s="1"/>
      <c r="E1807" s="6"/>
      <c r="F1807" s="4"/>
    </row>
    <row r="1808" spans="2:6">
      <c r="B1808" s="1"/>
      <c r="C1808" s="1"/>
      <c r="D1808" s="1"/>
      <c r="E1808" s="6"/>
      <c r="F1808" s="4"/>
    </row>
    <row r="1809" spans="2:6">
      <c r="B1809" s="1"/>
      <c r="C1809" s="1"/>
      <c r="D1809" s="1"/>
      <c r="E1809" s="6"/>
      <c r="F1809" s="4"/>
    </row>
    <row r="1810" spans="2:6">
      <c r="B1810" s="1"/>
      <c r="C1810" s="1"/>
      <c r="D1810" s="1"/>
      <c r="E1810" s="6"/>
      <c r="F1810" s="4"/>
    </row>
    <row r="1811" spans="2:6">
      <c r="B1811" s="1"/>
      <c r="C1811" s="1"/>
      <c r="D1811" s="1"/>
      <c r="E1811" s="6"/>
      <c r="F1811" s="4"/>
    </row>
    <row r="1812" spans="2:6">
      <c r="B1812" s="1"/>
      <c r="C1812" s="1"/>
      <c r="D1812" s="1"/>
      <c r="E1812" s="6"/>
      <c r="F1812" s="4"/>
    </row>
    <row r="1813" spans="2:6">
      <c r="B1813" s="1"/>
      <c r="C1813" s="1"/>
      <c r="D1813" s="1"/>
      <c r="E1813" s="6"/>
      <c r="F1813" s="4"/>
    </row>
    <row r="1814" spans="2:6">
      <c r="B1814" s="1"/>
      <c r="C1814" s="1"/>
      <c r="D1814" s="1"/>
      <c r="E1814" s="6"/>
      <c r="F1814" s="4"/>
    </row>
    <row r="1815" spans="2:6">
      <c r="B1815" s="1"/>
      <c r="C1815" s="1"/>
      <c r="D1815" s="1"/>
      <c r="E1815" s="6"/>
      <c r="F1815" s="4"/>
    </row>
    <row r="1816" spans="2:6">
      <c r="B1816" s="1"/>
      <c r="C1816" s="1"/>
      <c r="D1816" s="1"/>
      <c r="E1816" s="6"/>
      <c r="F1816" s="4"/>
    </row>
    <row r="1817" spans="2:6">
      <c r="B1817" s="1"/>
      <c r="C1817" s="1"/>
      <c r="D1817" s="1"/>
      <c r="E1817" s="6"/>
      <c r="F1817" s="4"/>
    </row>
    <row r="1818" spans="2:6">
      <c r="B1818" s="1"/>
      <c r="C1818" s="1"/>
      <c r="D1818" s="1"/>
      <c r="E1818" s="6"/>
      <c r="F1818" s="4"/>
    </row>
    <row r="1819" spans="2:6">
      <c r="B1819" s="1"/>
      <c r="C1819" s="1"/>
      <c r="D1819" s="1"/>
      <c r="E1819" s="6"/>
      <c r="F1819" s="4"/>
    </row>
    <row r="1820" spans="2:6">
      <c r="B1820" s="1"/>
      <c r="C1820" s="1"/>
      <c r="D1820" s="1"/>
      <c r="E1820" s="6"/>
      <c r="F1820" s="4"/>
    </row>
    <row r="1821" spans="2:6">
      <c r="B1821" s="1"/>
      <c r="C1821" s="1"/>
      <c r="D1821" s="1"/>
      <c r="E1821" s="6"/>
      <c r="F1821" s="4"/>
    </row>
    <row r="1822" spans="2:6">
      <c r="B1822" s="1"/>
      <c r="C1822" s="1"/>
      <c r="D1822" s="1"/>
      <c r="E1822" s="6"/>
      <c r="F1822" s="4"/>
    </row>
    <row r="1823" spans="2:6">
      <c r="B1823" s="1"/>
      <c r="C1823" s="1"/>
      <c r="D1823" s="1"/>
      <c r="E1823" s="6"/>
      <c r="F1823" s="4"/>
    </row>
    <row r="1824" spans="2:6">
      <c r="B1824" s="1"/>
      <c r="C1824" s="1"/>
      <c r="D1824" s="1"/>
      <c r="E1824" s="6"/>
      <c r="F1824" s="4"/>
    </row>
    <row r="1825" spans="2:6">
      <c r="B1825" s="1"/>
      <c r="C1825" s="1"/>
      <c r="D1825" s="1"/>
      <c r="E1825" s="6"/>
      <c r="F1825" s="4"/>
    </row>
    <row r="1826" spans="2:6">
      <c r="B1826" s="1"/>
      <c r="C1826" s="1"/>
      <c r="D1826" s="1"/>
      <c r="E1826" s="6"/>
      <c r="F1826" s="4"/>
    </row>
    <row r="1827" spans="2:6">
      <c r="B1827" s="1"/>
      <c r="C1827" s="1"/>
      <c r="D1827" s="1"/>
      <c r="E1827" s="6"/>
      <c r="F1827" s="4"/>
    </row>
    <row r="1828" spans="2:6">
      <c r="B1828" s="1"/>
      <c r="C1828" s="1"/>
      <c r="D1828" s="1"/>
      <c r="E1828" s="6"/>
      <c r="F1828" s="4"/>
    </row>
    <row r="1829" spans="2:6">
      <c r="B1829" s="1"/>
      <c r="C1829" s="1"/>
      <c r="D1829" s="1"/>
      <c r="E1829" s="6"/>
      <c r="F1829" s="4"/>
    </row>
    <row r="1830" spans="2:6">
      <c r="B1830" s="1"/>
      <c r="C1830" s="1"/>
      <c r="D1830" s="1"/>
      <c r="E1830" s="6"/>
      <c r="F1830" s="4"/>
    </row>
    <row r="1831" spans="2:6">
      <c r="B1831" s="1"/>
      <c r="C1831" s="1"/>
      <c r="D1831" s="1"/>
      <c r="E1831" s="6"/>
      <c r="F1831" s="4"/>
    </row>
    <row r="1832" spans="2:6">
      <c r="B1832" s="1"/>
      <c r="C1832" s="1"/>
      <c r="D1832" s="1"/>
      <c r="E1832" s="6"/>
      <c r="F1832" s="4"/>
    </row>
    <row r="1833" spans="2:6">
      <c r="B1833" s="1"/>
      <c r="C1833" s="1"/>
      <c r="D1833" s="1"/>
      <c r="E1833" s="6"/>
      <c r="F1833" s="4"/>
    </row>
    <row r="1834" spans="2:6">
      <c r="B1834" s="1"/>
      <c r="C1834" s="1"/>
      <c r="D1834" s="1"/>
      <c r="E1834" s="6"/>
      <c r="F1834" s="4"/>
    </row>
    <row r="1835" spans="2:6">
      <c r="B1835" s="1"/>
      <c r="C1835" s="1"/>
      <c r="D1835" s="1"/>
      <c r="E1835" s="6"/>
      <c r="F1835" s="4"/>
    </row>
    <row r="1836" spans="2:6">
      <c r="B1836" s="1"/>
      <c r="C1836" s="1"/>
      <c r="D1836" s="1"/>
      <c r="E1836" s="6"/>
      <c r="F1836" s="4"/>
    </row>
    <row r="1837" spans="2:6">
      <c r="B1837" s="1"/>
      <c r="C1837" s="1"/>
      <c r="D1837" s="1"/>
      <c r="E1837" s="6"/>
      <c r="F1837" s="4"/>
    </row>
    <row r="1838" spans="2:6">
      <c r="B1838" s="1"/>
      <c r="C1838" s="1"/>
      <c r="D1838" s="1"/>
      <c r="E1838" s="6"/>
      <c r="F1838" s="4"/>
    </row>
    <row r="1839" spans="2:6">
      <c r="B1839" s="1"/>
      <c r="C1839" s="1"/>
      <c r="D1839" s="1"/>
      <c r="E1839" s="6"/>
      <c r="F1839" s="4"/>
    </row>
    <row r="1840" spans="2:6">
      <c r="B1840" s="1"/>
      <c r="C1840" s="1"/>
      <c r="D1840" s="1"/>
      <c r="E1840" s="6"/>
      <c r="F1840" s="4"/>
    </row>
    <row r="1841" spans="2:6">
      <c r="B1841" s="1"/>
      <c r="C1841" s="1"/>
      <c r="D1841" s="1"/>
      <c r="E1841" s="6"/>
      <c r="F1841" s="4"/>
    </row>
    <row r="1842" spans="2:6">
      <c r="B1842" s="1"/>
      <c r="C1842" s="1"/>
      <c r="D1842" s="1"/>
      <c r="E1842" s="6"/>
      <c r="F1842" s="4"/>
    </row>
    <row r="1843" spans="2:6">
      <c r="B1843" s="1"/>
      <c r="C1843" s="1"/>
      <c r="D1843" s="1"/>
      <c r="E1843" s="6"/>
      <c r="F1843" s="4"/>
    </row>
    <row r="1844" spans="2:6">
      <c r="B1844" s="1"/>
      <c r="C1844" s="1"/>
      <c r="D1844" s="1"/>
      <c r="E1844" s="6"/>
      <c r="F1844" s="4"/>
    </row>
    <row r="1845" spans="2:6">
      <c r="B1845" s="1"/>
      <c r="C1845" s="1"/>
      <c r="D1845" s="1"/>
      <c r="E1845" s="6"/>
      <c r="F1845" s="4"/>
    </row>
    <row r="1846" spans="2:6">
      <c r="B1846" s="1"/>
      <c r="C1846" s="1"/>
      <c r="D1846" s="1"/>
      <c r="E1846" s="6"/>
      <c r="F1846" s="4"/>
    </row>
    <row r="1847" spans="2:6">
      <c r="B1847" s="1"/>
      <c r="C1847" s="1"/>
      <c r="D1847" s="1"/>
      <c r="E1847" s="6"/>
      <c r="F1847" s="4"/>
    </row>
    <row r="1848" spans="2:6">
      <c r="B1848" s="1"/>
      <c r="C1848" s="1"/>
      <c r="D1848" s="1"/>
      <c r="E1848" s="6"/>
      <c r="F1848" s="4"/>
    </row>
    <row r="1849" spans="2:6">
      <c r="B1849" s="1"/>
      <c r="C1849" s="1"/>
      <c r="D1849" s="1"/>
      <c r="E1849" s="6"/>
      <c r="F1849" s="4"/>
    </row>
    <row r="1850" spans="2:6">
      <c r="B1850" s="1"/>
      <c r="C1850" s="1"/>
      <c r="D1850" s="1"/>
      <c r="E1850" s="6"/>
      <c r="F1850" s="4"/>
    </row>
    <row r="1851" spans="2:6">
      <c r="B1851" s="1"/>
      <c r="C1851" s="1"/>
      <c r="D1851" s="1"/>
      <c r="E1851" s="6"/>
      <c r="F1851" s="4"/>
    </row>
    <row r="1852" spans="2:6">
      <c r="B1852" s="1"/>
      <c r="C1852" s="1"/>
      <c r="D1852" s="1"/>
      <c r="E1852" s="6"/>
      <c r="F1852" s="4"/>
    </row>
    <row r="1853" spans="2:6">
      <c r="B1853" s="1"/>
      <c r="C1853" s="1"/>
      <c r="D1853" s="1"/>
      <c r="E1853" s="6"/>
      <c r="F1853" s="4"/>
    </row>
    <row r="1854" spans="2:6">
      <c r="B1854" s="1"/>
      <c r="C1854" s="1"/>
      <c r="D1854" s="1"/>
      <c r="E1854" s="6"/>
      <c r="F1854" s="4"/>
    </row>
    <row r="1855" spans="2:6">
      <c r="B1855" s="1"/>
      <c r="C1855" s="1"/>
      <c r="D1855" s="1"/>
      <c r="E1855" s="6"/>
      <c r="F1855" s="4"/>
    </row>
    <row r="1856" spans="2:6">
      <c r="B1856" s="1"/>
      <c r="C1856" s="1"/>
      <c r="D1856" s="1"/>
      <c r="E1856" s="6"/>
      <c r="F1856" s="4"/>
    </row>
    <row r="1857" spans="2:6">
      <c r="B1857" s="1"/>
      <c r="C1857" s="1"/>
      <c r="D1857" s="1"/>
      <c r="E1857" s="6"/>
      <c r="F1857" s="4"/>
    </row>
    <row r="1858" spans="2:6">
      <c r="B1858" s="1"/>
      <c r="C1858" s="1"/>
      <c r="D1858" s="1"/>
      <c r="E1858" s="6"/>
      <c r="F1858" s="4"/>
    </row>
    <row r="1859" spans="2:6">
      <c r="B1859" s="1"/>
      <c r="C1859" s="1"/>
      <c r="D1859" s="1"/>
      <c r="E1859" s="6"/>
      <c r="F1859" s="4"/>
    </row>
    <row r="1860" spans="2:6">
      <c r="B1860" s="1"/>
      <c r="C1860" s="1"/>
      <c r="D1860" s="1"/>
      <c r="E1860" s="6"/>
      <c r="F1860" s="4"/>
    </row>
    <row r="1861" spans="2:6">
      <c r="B1861" s="1"/>
      <c r="C1861" s="1"/>
      <c r="D1861" s="1"/>
      <c r="E1861" s="6"/>
      <c r="F1861" s="4"/>
    </row>
    <row r="1862" spans="2:6">
      <c r="B1862" s="1"/>
      <c r="C1862" s="1"/>
      <c r="D1862" s="1"/>
      <c r="E1862" s="6"/>
      <c r="F1862" s="4"/>
    </row>
    <row r="1863" spans="2:6">
      <c r="B1863" s="1"/>
      <c r="C1863" s="1"/>
      <c r="D1863" s="1"/>
      <c r="E1863" s="6"/>
      <c r="F1863" s="4"/>
    </row>
    <row r="1864" spans="2:6">
      <c r="B1864" s="1"/>
      <c r="C1864" s="1"/>
      <c r="D1864" s="1"/>
      <c r="E1864" s="6"/>
      <c r="F1864" s="4"/>
    </row>
    <row r="1865" spans="2:6">
      <c r="B1865" s="1"/>
      <c r="C1865" s="1"/>
      <c r="D1865" s="1"/>
      <c r="E1865" s="6"/>
      <c r="F1865" s="4"/>
    </row>
    <row r="1866" spans="2:6">
      <c r="B1866" s="1"/>
      <c r="C1866" s="1"/>
      <c r="D1866" s="1"/>
      <c r="E1866" s="6"/>
      <c r="F1866" s="4"/>
    </row>
    <row r="1867" spans="2:6">
      <c r="B1867" s="1"/>
      <c r="C1867" s="1"/>
      <c r="D1867" s="1"/>
      <c r="E1867" s="6"/>
      <c r="F1867" s="4"/>
    </row>
    <row r="1868" spans="2:6">
      <c r="B1868" s="1"/>
      <c r="C1868" s="1"/>
      <c r="D1868" s="1"/>
      <c r="E1868" s="6"/>
      <c r="F1868" s="4"/>
    </row>
    <row r="1869" spans="2:6">
      <c r="B1869" s="1"/>
      <c r="C1869" s="1"/>
      <c r="D1869" s="1"/>
      <c r="E1869" s="6"/>
      <c r="F1869" s="4"/>
    </row>
    <row r="1870" spans="2:6">
      <c r="B1870" s="1"/>
      <c r="C1870" s="1"/>
      <c r="D1870" s="1"/>
      <c r="E1870" s="6"/>
      <c r="F1870" s="4"/>
    </row>
    <row r="1871" spans="2:6">
      <c r="B1871" s="1"/>
      <c r="C1871" s="1"/>
      <c r="D1871" s="1"/>
      <c r="E1871" s="6"/>
      <c r="F1871" s="4"/>
    </row>
    <row r="1872" spans="2:6">
      <c r="B1872" s="1"/>
      <c r="C1872" s="1"/>
      <c r="D1872" s="1"/>
      <c r="E1872" s="6"/>
      <c r="F1872" s="4"/>
    </row>
    <row r="1873" spans="2:6">
      <c r="B1873" s="1"/>
      <c r="C1873" s="1"/>
      <c r="D1873" s="1"/>
      <c r="E1873" s="6"/>
      <c r="F1873" s="4"/>
    </row>
    <row r="1874" spans="2:6">
      <c r="B1874" s="1"/>
      <c r="C1874" s="1"/>
      <c r="D1874" s="1"/>
      <c r="E1874" s="6"/>
      <c r="F1874" s="4"/>
    </row>
    <row r="1875" spans="2:6">
      <c r="B1875" s="1"/>
      <c r="C1875" s="1"/>
      <c r="D1875" s="1"/>
      <c r="E1875" s="6"/>
      <c r="F1875" s="4"/>
    </row>
    <row r="1876" spans="2:6">
      <c r="B1876" s="1"/>
      <c r="C1876" s="1"/>
      <c r="D1876" s="1"/>
      <c r="E1876" s="6"/>
      <c r="F1876" s="4"/>
    </row>
    <row r="1877" spans="2:6">
      <c r="B1877" s="1"/>
      <c r="C1877" s="1"/>
      <c r="D1877" s="1"/>
      <c r="E1877" s="6"/>
      <c r="F1877" s="4"/>
    </row>
    <row r="1878" spans="2:6">
      <c r="B1878" s="1"/>
      <c r="C1878" s="1"/>
      <c r="D1878" s="1"/>
      <c r="E1878" s="6"/>
      <c r="F1878" s="4"/>
    </row>
    <row r="1879" spans="2:6">
      <c r="B1879" s="1"/>
      <c r="C1879" s="1"/>
      <c r="D1879" s="1"/>
      <c r="E1879" s="6"/>
      <c r="F1879" s="4"/>
    </row>
    <row r="1880" spans="2:6">
      <c r="B1880" s="1"/>
      <c r="C1880" s="1"/>
      <c r="D1880" s="1"/>
      <c r="E1880" s="6"/>
      <c r="F1880" s="4"/>
    </row>
    <row r="1881" spans="2:6">
      <c r="B1881" s="1"/>
      <c r="C1881" s="1"/>
      <c r="D1881" s="1"/>
      <c r="E1881" s="6"/>
      <c r="F1881" s="4"/>
    </row>
    <row r="1882" spans="2:6">
      <c r="B1882" s="1"/>
      <c r="C1882" s="1"/>
      <c r="D1882" s="1"/>
      <c r="E1882" s="6"/>
      <c r="F1882" s="4"/>
    </row>
    <row r="1883" spans="2:6">
      <c r="B1883" s="1"/>
      <c r="C1883" s="1"/>
      <c r="D1883" s="1"/>
      <c r="E1883" s="6"/>
      <c r="F1883" s="4"/>
    </row>
    <row r="1884" spans="2:6">
      <c r="B1884" s="1"/>
      <c r="C1884" s="1"/>
      <c r="D1884" s="1"/>
      <c r="E1884" s="6"/>
      <c r="F1884" s="4"/>
    </row>
    <row r="1885" spans="2:6">
      <c r="B1885" s="1"/>
      <c r="C1885" s="1"/>
      <c r="D1885" s="1"/>
      <c r="E1885" s="6"/>
      <c r="F1885" s="4"/>
    </row>
    <row r="1886" spans="2:6">
      <c r="B1886" s="1"/>
      <c r="C1886" s="1"/>
      <c r="D1886" s="1"/>
      <c r="E1886" s="6"/>
      <c r="F1886" s="4"/>
    </row>
    <row r="1887" spans="2:6">
      <c r="B1887" s="1"/>
      <c r="C1887" s="1"/>
      <c r="D1887" s="1"/>
      <c r="E1887" s="6"/>
      <c r="F1887" s="4"/>
    </row>
    <row r="1888" spans="2:6">
      <c r="B1888" s="1"/>
      <c r="C1888" s="1"/>
      <c r="D1888" s="1"/>
      <c r="E1888" s="6"/>
      <c r="F1888" s="4"/>
    </row>
    <row r="1889" spans="2:6">
      <c r="B1889" s="1"/>
      <c r="C1889" s="1"/>
      <c r="D1889" s="1"/>
      <c r="E1889" s="6"/>
      <c r="F1889" s="4"/>
    </row>
    <row r="1890" spans="2:6">
      <c r="B1890" s="1"/>
      <c r="C1890" s="1"/>
      <c r="D1890" s="1"/>
      <c r="E1890" s="6"/>
      <c r="F1890" s="4"/>
    </row>
    <row r="1891" spans="2:6">
      <c r="B1891" s="1"/>
      <c r="C1891" s="1"/>
      <c r="D1891" s="1"/>
      <c r="E1891" s="6"/>
      <c r="F1891" s="4"/>
    </row>
    <row r="1892" spans="2:6">
      <c r="B1892" s="1"/>
      <c r="C1892" s="1"/>
      <c r="D1892" s="1"/>
      <c r="E1892" s="6"/>
      <c r="F1892" s="4"/>
    </row>
    <row r="1893" spans="2:6">
      <c r="B1893" s="1"/>
      <c r="C1893" s="1"/>
      <c r="D1893" s="1"/>
      <c r="E1893" s="6"/>
      <c r="F1893" s="4"/>
    </row>
    <row r="1894" spans="2:6">
      <c r="B1894" s="1"/>
      <c r="C1894" s="1"/>
      <c r="D1894" s="1"/>
      <c r="E1894" s="6"/>
      <c r="F1894" s="4"/>
    </row>
    <row r="1895" spans="2:6">
      <c r="B1895" s="1"/>
      <c r="C1895" s="1"/>
      <c r="D1895" s="1"/>
      <c r="E1895" s="6"/>
      <c r="F1895" s="4"/>
    </row>
    <row r="1896" spans="2:6">
      <c r="B1896" s="1"/>
      <c r="C1896" s="1"/>
      <c r="D1896" s="1"/>
      <c r="E1896" s="6"/>
      <c r="F1896" s="4"/>
    </row>
    <row r="1897" spans="2:6">
      <c r="B1897" s="1"/>
      <c r="C1897" s="1"/>
      <c r="D1897" s="1"/>
      <c r="E1897" s="6"/>
      <c r="F1897" s="4"/>
    </row>
    <row r="1898" spans="2:6">
      <c r="B1898" s="1"/>
      <c r="C1898" s="1"/>
      <c r="D1898" s="1"/>
      <c r="E1898" s="6"/>
      <c r="F1898" s="4"/>
    </row>
    <row r="1899" spans="2:6">
      <c r="B1899" s="1"/>
      <c r="C1899" s="1"/>
      <c r="D1899" s="1"/>
      <c r="E1899" s="6"/>
      <c r="F1899" s="4"/>
    </row>
    <row r="1900" spans="2:6">
      <c r="B1900" s="1"/>
      <c r="C1900" s="1"/>
      <c r="D1900" s="1"/>
      <c r="E1900" s="6"/>
      <c r="F1900" s="4"/>
    </row>
    <row r="1901" spans="2:6">
      <c r="B1901" s="1"/>
      <c r="C1901" s="1"/>
      <c r="D1901" s="1"/>
      <c r="E1901" s="6"/>
      <c r="F1901" s="4"/>
    </row>
    <row r="1902" spans="2:6">
      <c r="B1902" s="1"/>
      <c r="C1902" s="1"/>
      <c r="D1902" s="1"/>
      <c r="E1902" s="6"/>
      <c r="F1902" s="4"/>
    </row>
    <row r="1903" spans="2:6">
      <c r="B1903" s="1"/>
      <c r="C1903" s="1"/>
      <c r="D1903" s="1"/>
      <c r="E1903" s="6"/>
      <c r="F1903" s="4"/>
    </row>
    <row r="1904" spans="2:6">
      <c r="B1904" s="1"/>
      <c r="C1904" s="1"/>
      <c r="D1904" s="1"/>
      <c r="E1904" s="6"/>
      <c r="F1904" s="4"/>
    </row>
    <row r="1905" spans="2:6">
      <c r="B1905" s="1"/>
      <c r="C1905" s="1"/>
      <c r="D1905" s="1"/>
      <c r="E1905" s="6"/>
      <c r="F1905" s="4"/>
    </row>
    <row r="1906" spans="2:6">
      <c r="B1906" s="1"/>
      <c r="C1906" s="1"/>
      <c r="D1906" s="1"/>
      <c r="E1906" s="6"/>
      <c r="F1906" s="4"/>
    </row>
    <row r="1907" spans="2:6">
      <c r="B1907" s="1"/>
      <c r="C1907" s="1"/>
      <c r="D1907" s="1"/>
      <c r="E1907" s="6"/>
      <c r="F1907" s="4"/>
    </row>
    <row r="1908" spans="2:6">
      <c r="B1908" s="1"/>
      <c r="C1908" s="1"/>
      <c r="D1908" s="1"/>
      <c r="E1908" s="6"/>
      <c r="F1908" s="4"/>
    </row>
    <row r="1909" spans="2:6">
      <c r="B1909" s="1"/>
      <c r="C1909" s="1"/>
      <c r="D1909" s="1"/>
      <c r="E1909" s="6"/>
      <c r="F1909" s="4"/>
    </row>
    <row r="1910" spans="2:6">
      <c r="B1910" s="1"/>
      <c r="C1910" s="1"/>
      <c r="D1910" s="1"/>
      <c r="E1910" s="6"/>
      <c r="F1910" s="4"/>
    </row>
    <row r="1911" spans="2:6">
      <c r="B1911" s="1"/>
      <c r="C1911" s="1"/>
      <c r="D1911" s="1"/>
      <c r="E1911" s="6"/>
      <c r="F1911" s="4"/>
    </row>
    <row r="1912" spans="2:6">
      <c r="B1912" s="1"/>
      <c r="C1912" s="1"/>
      <c r="D1912" s="1"/>
      <c r="E1912" s="6"/>
      <c r="F1912" s="4"/>
    </row>
    <row r="1913" spans="2:6">
      <c r="B1913" s="1"/>
      <c r="C1913" s="1"/>
      <c r="D1913" s="1"/>
      <c r="E1913" s="6"/>
      <c r="F1913" s="4"/>
    </row>
    <row r="1914" spans="2:6">
      <c r="B1914" s="1"/>
      <c r="C1914" s="1"/>
      <c r="D1914" s="1"/>
      <c r="E1914" s="6"/>
      <c r="F1914" s="4"/>
    </row>
    <row r="1915" spans="2:6">
      <c r="B1915" s="1"/>
      <c r="C1915" s="1"/>
      <c r="D1915" s="1"/>
      <c r="E1915" s="6"/>
      <c r="F1915" s="4"/>
    </row>
    <row r="1916" spans="2:6">
      <c r="B1916" s="1"/>
      <c r="C1916" s="1"/>
      <c r="D1916" s="1"/>
      <c r="E1916" s="6"/>
      <c r="F1916" s="4"/>
    </row>
    <row r="1917" spans="2:6">
      <c r="B1917" s="1"/>
      <c r="C1917" s="1"/>
      <c r="D1917" s="1"/>
      <c r="E1917" s="6"/>
      <c r="F1917" s="4"/>
    </row>
    <row r="1918" spans="2:6">
      <c r="B1918" s="1"/>
      <c r="C1918" s="1"/>
      <c r="D1918" s="1"/>
      <c r="E1918" s="6"/>
      <c r="F1918" s="4"/>
    </row>
    <row r="1919" spans="2:6">
      <c r="B1919" s="1"/>
      <c r="C1919" s="1"/>
      <c r="D1919" s="1"/>
      <c r="E1919" s="6"/>
      <c r="F1919" s="4"/>
    </row>
    <row r="1920" spans="2:6">
      <c r="B1920" s="1"/>
      <c r="C1920" s="1"/>
      <c r="D1920" s="1"/>
      <c r="E1920" s="6"/>
      <c r="F1920" s="4"/>
    </row>
    <row r="1921" spans="2:6">
      <c r="B1921" s="1"/>
      <c r="C1921" s="1"/>
      <c r="D1921" s="1"/>
      <c r="E1921" s="6"/>
      <c r="F1921" s="4"/>
    </row>
    <row r="1922" spans="2:6">
      <c r="B1922" s="1"/>
      <c r="C1922" s="1"/>
      <c r="D1922" s="1"/>
      <c r="E1922" s="6"/>
      <c r="F1922" s="4"/>
    </row>
    <row r="1923" spans="2:6">
      <c r="B1923" s="1"/>
      <c r="C1923" s="1"/>
      <c r="D1923" s="1"/>
      <c r="E1923" s="6"/>
      <c r="F1923" s="4"/>
    </row>
    <row r="1924" spans="2:6">
      <c r="B1924" s="1"/>
      <c r="C1924" s="1"/>
      <c r="D1924" s="1"/>
      <c r="E1924" s="6"/>
      <c r="F1924" s="4"/>
    </row>
    <row r="1925" spans="2:6">
      <c r="B1925" s="1"/>
      <c r="C1925" s="1"/>
      <c r="D1925" s="1"/>
      <c r="E1925" s="6"/>
      <c r="F1925" s="4"/>
    </row>
    <row r="1926" spans="2:6">
      <c r="B1926" s="1"/>
      <c r="C1926" s="1"/>
      <c r="D1926" s="1"/>
      <c r="E1926" s="6"/>
      <c r="F1926" s="4"/>
    </row>
    <row r="1927" spans="2:6">
      <c r="B1927" s="1"/>
      <c r="C1927" s="1"/>
      <c r="D1927" s="1"/>
      <c r="E1927" s="6"/>
      <c r="F1927" s="4"/>
    </row>
    <row r="1928" spans="2:6">
      <c r="B1928" s="1"/>
      <c r="C1928" s="1"/>
      <c r="D1928" s="1"/>
      <c r="E1928" s="6"/>
      <c r="F1928" s="4"/>
    </row>
    <row r="1929" spans="2:6">
      <c r="B1929" s="1"/>
      <c r="C1929" s="1"/>
      <c r="D1929" s="1"/>
      <c r="E1929" s="6"/>
      <c r="F1929" s="4"/>
    </row>
    <row r="1930" spans="2:6">
      <c r="B1930" s="1"/>
      <c r="C1930" s="1"/>
      <c r="D1930" s="1"/>
      <c r="E1930" s="6"/>
      <c r="F1930" s="4"/>
    </row>
    <row r="1931" spans="2:6">
      <c r="B1931" s="1"/>
      <c r="C1931" s="1"/>
      <c r="D1931" s="1"/>
      <c r="E1931" s="6"/>
      <c r="F1931" s="4"/>
    </row>
    <row r="1932" spans="2:6">
      <c r="B1932" s="1"/>
      <c r="C1932" s="1"/>
      <c r="D1932" s="1"/>
      <c r="E1932" s="6"/>
      <c r="F1932" s="4"/>
    </row>
    <row r="1933" spans="2:6">
      <c r="B1933" s="1"/>
      <c r="C1933" s="1"/>
      <c r="D1933" s="1"/>
      <c r="E1933" s="6"/>
      <c r="F1933" s="4"/>
    </row>
    <row r="1934" spans="2:6">
      <c r="B1934" s="1"/>
      <c r="C1934" s="1"/>
      <c r="D1934" s="1"/>
      <c r="E1934" s="6"/>
      <c r="F1934" s="4"/>
    </row>
    <row r="1935" spans="2:6">
      <c r="B1935" s="1"/>
      <c r="C1935" s="1"/>
      <c r="D1935" s="1"/>
      <c r="E1935" s="6"/>
      <c r="F1935" s="4"/>
    </row>
    <row r="1936" spans="2:6">
      <c r="B1936" s="1"/>
      <c r="C1936" s="1"/>
      <c r="D1936" s="1"/>
      <c r="E1936" s="6"/>
      <c r="F1936" s="4"/>
    </row>
    <row r="1937" spans="2:6">
      <c r="B1937" s="1"/>
      <c r="C1937" s="1"/>
      <c r="D1937" s="1"/>
      <c r="E1937" s="6"/>
      <c r="F1937" s="4"/>
    </row>
    <row r="1938" spans="2:6">
      <c r="B1938" s="1"/>
      <c r="C1938" s="1"/>
      <c r="D1938" s="1"/>
      <c r="E1938" s="6"/>
      <c r="F1938" s="4"/>
    </row>
    <row r="1939" spans="2:6">
      <c r="B1939" s="1"/>
      <c r="C1939" s="1"/>
      <c r="D1939" s="1"/>
      <c r="E1939" s="6"/>
      <c r="F1939" s="4"/>
    </row>
    <row r="1940" spans="2:6">
      <c r="B1940" s="1"/>
      <c r="C1940" s="1"/>
      <c r="D1940" s="1"/>
      <c r="E1940" s="6"/>
      <c r="F1940" s="4"/>
    </row>
    <row r="1941" spans="2:6">
      <c r="B1941" s="1"/>
      <c r="C1941" s="1"/>
      <c r="D1941" s="1"/>
      <c r="E1941" s="6"/>
      <c r="F1941" s="4"/>
    </row>
    <row r="1942" spans="2:6">
      <c r="B1942" s="1"/>
      <c r="C1942" s="1"/>
      <c r="D1942" s="1"/>
      <c r="E1942" s="6"/>
      <c r="F1942" s="4"/>
    </row>
    <row r="1943" spans="2:6">
      <c r="B1943" s="1"/>
      <c r="C1943" s="1"/>
      <c r="D1943" s="1"/>
      <c r="E1943" s="6"/>
      <c r="F1943" s="4"/>
    </row>
    <row r="1944" spans="2:6">
      <c r="B1944" s="1"/>
      <c r="C1944" s="1"/>
      <c r="D1944" s="1"/>
      <c r="E1944" s="6"/>
      <c r="F1944" s="4"/>
    </row>
    <row r="1945" spans="2:6">
      <c r="B1945" s="1"/>
      <c r="C1945" s="1"/>
      <c r="D1945" s="1"/>
      <c r="E1945" s="6"/>
      <c r="F1945" s="4"/>
    </row>
    <row r="1946" spans="2:6">
      <c r="B1946" s="1"/>
      <c r="C1946" s="1"/>
      <c r="D1946" s="1"/>
      <c r="E1946" s="6"/>
      <c r="F1946" s="4"/>
    </row>
    <row r="1947" spans="2:6">
      <c r="B1947" s="1"/>
      <c r="C1947" s="1"/>
      <c r="D1947" s="1"/>
      <c r="E1947" s="6"/>
      <c r="F1947" s="4"/>
    </row>
    <row r="1948" spans="2:6">
      <c r="B1948" s="1"/>
      <c r="C1948" s="1"/>
      <c r="D1948" s="1"/>
      <c r="E1948" s="6"/>
      <c r="F1948" s="4"/>
    </row>
    <row r="1949" spans="2:6">
      <c r="B1949" s="1"/>
      <c r="C1949" s="1"/>
      <c r="D1949" s="1"/>
      <c r="E1949" s="6"/>
      <c r="F1949" s="4"/>
    </row>
    <row r="1950" spans="2:6">
      <c r="B1950" s="1"/>
      <c r="C1950" s="1"/>
      <c r="D1950" s="1"/>
      <c r="E1950" s="6"/>
      <c r="F1950" s="4"/>
    </row>
    <row r="1951" spans="2:6">
      <c r="B1951" s="1"/>
      <c r="C1951" s="1"/>
      <c r="D1951" s="1"/>
      <c r="E1951" s="6"/>
      <c r="F1951" s="4"/>
    </row>
    <row r="1952" spans="2:6">
      <c r="B1952" s="1"/>
      <c r="C1952" s="1"/>
      <c r="D1952" s="1"/>
      <c r="E1952" s="6"/>
      <c r="F1952" s="4"/>
    </row>
    <row r="1953" spans="2:6">
      <c r="B1953" s="1"/>
      <c r="C1953" s="1"/>
      <c r="D1953" s="1"/>
      <c r="E1953" s="6"/>
      <c r="F1953" s="4"/>
    </row>
    <row r="1954" spans="2:6">
      <c r="B1954" s="1"/>
      <c r="C1954" s="1"/>
      <c r="D1954" s="1"/>
      <c r="E1954" s="6"/>
      <c r="F1954" s="4"/>
    </row>
    <row r="1955" spans="2:6">
      <c r="B1955" s="1"/>
      <c r="C1955" s="1"/>
      <c r="D1955" s="1"/>
      <c r="E1955" s="6"/>
      <c r="F1955" s="4"/>
    </row>
    <row r="1956" spans="2:6">
      <c r="B1956" s="1"/>
      <c r="C1956" s="1"/>
      <c r="D1956" s="1"/>
      <c r="E1956" s="6"/>
      <c r="F1956" s="4"/>
    </row>
    <row r="1957" spans="2:6">
      <c r="B1957" s="1"/>
      <c r="C1957" s="1"/>
      <c r="D1957" s="1"/>
      <c r="E1957" s="6"/>
      <c r="F1957" s="4"/>
    </row>
    <row r="1958" spans="2:6">
      <c r="B1958" s="1"/>
      <c r="C1958" s="1"/>
      <c r="D1958" s="1"/>
      <c r="E1958" s="6"/>
      <c r="F1958" s="4"/>
    </row>
    <row r="1959" spans="2:6">
      <c r="B1959" s="1"/>
      <c r="C1959" s="1"/>
      <c r="D1959" s="1"/>
      <c r="E1959" s="6"/>
      <c r="F1959" s="4"/>
    </row>
    <row r="1960" spans="2:6">
      <c r="B1960" s="1"/>
      <c r="C1960" s="1"/>
      <c r="D1960" s="1"/>
      <c r="E1960" s="6"/>
      <c r="F1960" s="4"/>
    </row>
    <row r="1961" spans="2:6">
      <c r="B1961" s="1"/>
      <c r="C1961" s="1"/>
      <c r="D1961" s="1"/>
      <c r="E1961" s="6"/>
      <c r="F1961" s="4"/>
    </row>
    <row r="1962" spans="2:6">
      <c r="B1962" s="1"/>
      <c r="C1962" s="1"/>
      <c r="D1962" s="1"/>
      <c r="E1962" s="6"/>
      <c r="F1962" s="4"/>
    </row>
    <row r="1963" spans="2:6">
      <c r="B1963" s="1"/>
      <c r="C1963" s="1"/>
      <c r="D1963" s="1"/>
      <c r="E1963" s="6"/>
      <c r="F1963" s="4"/>
    </row>
    <row r="1964" spans="2:6">
      <c r="B1964" s="1"/>
      <c r="C1964" s="1"/>
      <c r="D1964" s="1"/>
      <c r="E1964" s="6"/>
      <c r="F1964" s="4"/>
    </row>
    <row r="1965" spans="2:6">
      <c r="B1965" s="1"/>
      <c r="C1965" s="1"/>
      <c r="D1965" s="1"/>
      <c r="E1965" s="6"/>
      <c r="F1965" s="4"/>
    </row>
    <row r="1966" spans="2:6">
      <c r="B1966" s="1"/>
      <c r="C1966" s="1"/>
      <c r="D1966" s="1"/>
      <c r="E1966" s="6"/>
      <c r="F1966" s="4"/>
    </row>
    <row r="1967" spans="2:6">
      <c r="B1967" s="1"/>
      <c r="C1967" s="1"/>
      <c r="D1967" s="1"/>
      <c r="E1967" s="6"/>
      <c r="F1967" s="4"/>
    </row>
    <row r="1968" spans="2:6">
      <c r="B1968" s="1"/>
      <c r="C1968" s="1"/>
      <c r="D1968" s="1"/>
      <c r="E1968" s="6"/>
      <c r="F1968" s="4"/>
    </row>
    <row r="1969" spans="2:6">
      <c r="B1969" s="1"/>
      <c r="C1969" s="1"/>
      <c r="D1969" s="1"/>
      <c r="E1969" s="6"/>
      <c r="F1969" s="4"/>
    </row>
    <row r="1970" spans="2:6">
      <c r="B1970" s="1"/>
      <c r="C1970" s="1"/>
      <c r="D1970" s="1"/>
      <c r="E1970" s="6"/>
      <c r="F1970" s="4"/>
    </row>
    <row r="1971" spans="2:6">
      <c r="B1971" s="1"/>
      <c r="C1971" s="1"/>
      <c r="D1971" s="1"/>
      <c r="E1971" s="6"/>
      <c r="F1971" s="4"/>
    </row>
    <row r="1972" spans="2:6">
      <c r="B1972" s="1"/>
      <c r="C1972" s="1"/>
      <c r="D1972" s="1"/>
      <c r="E1972" s="6"/>
      <c r="F1972" s="4"/>
    </row>
    <row r="1973" spans="2:6">
      <c r="B1973" s="1"/>
      <c r="C1973" s="1"/>
      <c r="D1973" s="1"/>
      <c r="E1973" s="6"/>
      <c r="F1973" s="4"/>
    </row>
    <row r="1974" spans="2:6">
      <c r="B1974" s="1"/>
      <c r="C1974" s="1"/>
      <c r="D1974" s="1"/>
      <c r="E1974" s="6"/>
      <c r="F1974" s="4"/>
    </row>
    <row r="1975" spans="2:6">
      <c r="B1975" s="1"/>
      <c r="C1975" s="1"/>
      <c r="D1975" s="1"/>
      <c r="E1975" s="6"/>
      <c r="F1975" s="4"/>
    </row>
    <row r="1976" spans="2:6">
      <c r="B1976" s="1"/>
      <c r="C1976" s="1"/>
      <c r="D1976" s="1"/>
      <c r="E1976" s="6"/>
      <c r="F1976" s="4"/>
    </row>
    <row r="1977" spans="2:6">
      <c r="B1977" s="1"/>
      <c r="C1977" s="1"/>
      <c r="D1977" s="1"/>
      <c r="E1977" s="6"/>
      <c r="F1977" s="4"/>
    </row>
    <row r="1978" spans="2:6">
      <c r="B1978" s="1"/>
      <c r="C1978" s="1"/>
      <c r="D1978" s="1"/>
      <c r="E1978" s="6"/>
      <c r="F1978" s="4"/>
    </row>
    <row r="1979" spans="2:6">
      <c r="B1979" s="1"/>
      <c r="C1979" s="1"/>
      <c r="D1979" s="1"/>
      <c r="E1979" s="6"/>
      <c r="F1979" s="4"/>
    </row>
    <row r="1980" spans="2:6">
      <c r="B1980" s="1"/>
      <c r="C1980" s="1"/>
      <c r="D1980" s="1"/>
      <c r="E1980" s="6"/>
      <c r="F1980" s="4"/>
    </row>
    <row r="1981" spans="2:6">
      <c r="B1981" s="1"/>
      <c r="C1981" s="1"/>
      <c r="D1981" s="1"/>
      <c r="E1981" s="6"/>
      <c r="F1981" s="4"/>
    </row>
    <row r="1982" spans="2:6">
      <c r="B1982" s="1"/>
      <c r="C1982" s="1"/>
      <c r="D1982" s="1"/>
      <c r="E1982" s="6"/>
      <c r="F1982" s="4"/>
    </row>
    <row r="1983" spans="2:6">
      <c r="B1983" s="1"/>
      <c r="C1983" s="1"/>
      <c r="D1983" s="1"/>
      <c r="E1983" s="6"/>
      <c r="F1983" s="4"/>
    </row>
    <row r="1984" spans="2:6">
      <c r="B1984" s="1"/>
      <c r="C1984" s="1"/>
      <c r="D1984" s="1"/>
      <c r="E1984" s="6"/>
      <c r="F1984" s="4"/>
    </row>
    <row r="1985" spans="2:6">
      <c r="B1985" s="1"/>
      <c r="C1985" s="1"/>
      <c r="D1985" s="1"/>
      <c r="E1985" s="6"/>
      <c r="F1985" s="4"/>
    </row>
    <row r="1986" spans="2:6">
      <c r="B1986" s="1"/>
      <c r="C1986" s="1"/>
      <c r="D1986" s="1"/>
      <c r="E1986" s="6"/>
      <c r="F1986" s="4"/>
    </row>
    <row r="1987" spans="2:6">
      <c r="B1987" s="1"/>
      <c r="C1987" s="1"/>
      <c r="D1987" s="1"/>
      <c r="E1987" s="6"/>
      <c r="F1987" s="4"/>
    </row>
    <row r="1988" spans="2:6">
      <c r="B1988" s="1"/>
      <c r="C1988" s="1"/>
      <c r="D1988" s="1"/>
      <c r="E1988" s="6"/>
      <c r="F1988" s="4"/>
    </row>
    <row r="1989" spans="2:6">
      <c r="B1989" s="1"/>
      <c r="C1989" s="1"/>
      <c r="D1989" s="1"/>
      <c r="E1989" s="6"/>
      <c r="F1989" s="4"/>
    </row>
    <row r="1990" spans="2:6">
      <c r="B1990" s="1"/>
      <c r="C1990" s="1"/>
      <c r="D1990" s="1"/>
      <c r="E1990" s="6"/>
      <c r="F1990" s="4"/>
    </row>
    <row r="1991" spans="2:6">
      <c r="B1991" s="1"/>
      <c r="C1991" s="1"/>
      <c r="D1991" s="1"/>
      <c r="E1991" s="6"/>
      <c r="F1991" s="4"/>
    </row>
    <row r="1992" spans="2:6">
      <c r="B1992" s="1"/>
      <c r="C1992" s="1"/>
      <c r="D1992" s="1"/>
      <c r="E1992" s="6"/>
      <c r="F1992" s="4"/>
    </row>
    <row r="1993" spans="2:6">
      <c r="B1993" s="1"/>
      <c r="C1993" s="1"/>
      <c r="D1993" s="1"/>
      <c r="E1993" s="6"/>
      <c r="F1993" s="4"/>
    </row>
    <row r="1994" spans="2:6">
      <c r="B1994" s="1"/>
      <c r="C1994" s="1"/>
      <c r="D1994" s="1"/>
      <c r="E1994" s="6"/>
      <c r="F1994" s="4"/>
    </row>
    <row r="1995" spans="2:6">
      <c r="B1995" s="1"/>
      <c r="C1995" s="1"/>
      <c r="D1995" s="1"/>
      <c r="E1995" s="6"/>
      <c r="F1995" s="4"/>
    </row>
    <row r="1996" spans="2:6">
      <c r="B1996" s="1"/>
      <c r="C1996" s="1"/>
      <c r="D1996" s="1"/>
      <c r="E1996" s="6"/>
      <c r="F1996" s="4"/>
    </row>
    <row r="1997" spans="2:6">
      <c r="B1997" s="1"/>
      <c r="C1997" s="1"/>
      <c r="D1997" s="1"/>
      <c r="E1997" s="6"/>
      <c r="F1997" s="4"/>
    </row>
    <row r="1998" spans="2:6">
      <c r="B1998" s="1"/>
      <c r="C1998" s="1"/>
      <c r="D1998" s="1"/>
      <c r="E1998" s="6"/>
      <c r="F1998" s="4"/>
    </row>
    <row r="1999" spans="2:6">
      <c r="B1999" s="1"/>
      <c r="C1999" s="1"/>
      <c r="D1999" s="1"/>
      <c r="E1999" s="6"/>
      <c r="F1999" s="4"/>
    </row>
    <row r="2000" spans="2:6">
      <c r="B2000" s="1"/>
      <c r="C2000" s="1"/>
      <c r="D2000" s="1"/>
      <c r="E2000" s="6"/>
      <c r="F2000" s="4"/>
    </row>
    <row r="2001" spans="2:6">
      <c r="B2001" s="1"/>
      <c r="C2001" s="1"/>
      <c r="D2001" s="1"/>
      <c r="E2001" s="6"/>
      <c r="F2001" s="4"/>
    </row>
    <row r="2002" spans="2:6">
      <c r="B2002" s="1"/>
      <c r="C2002" s="1"/>
      <c r="D2002" s="1"/>
      <c r="E2002" s="6"/>
      <c r="F2002" s="4"/>
    </row>
    <row r="2003" spans="2:6">
      <c r="B2003" s="1"/>
      <c r="C2003" s="1"/>
      <c r="D2003" s="1"/>
      <c r="E2003" s="6"/>
      <c r="F2003" s="4"/>
    </row>
    <row r="2004" spans="2:6">
      <c r="B2004" s="1"/>
      <c r="C2004" s="1"/>
      <c r="D2004" s="1"/>
      <c r="E2004" s="6"/>
      <c r="F2004" s="4"/>
    </row>
    <row r="2005" spans="2:6">
      <c r="B2005" s="1"/>
      <c r="C2005" s="1"/>
      <c r="D2005" s="1"/>
      <c r="E2005" s="6"/>
      <c r="F2005" s="4"/>
    </row>
    <row r="2006" spans="2:6">
      <c r="B2006" s="1"/>
      <c r="C2006" s="1"/>
      <c r="D2006" s="1"/>
      <c r="E2006" s="6"/>
      <c r="F2006" s="4"/>
    </row>
    <row r="2007" spans="2:6">
      <c r="B2007" s="1"/>
      <c r="C2007" s="1"/>
      <c r="D2007" s="1"/>
      <c r="E2007" s="6"/>
      <c r="F2007" s="4"/>
    </row>
    <row r="2008" spans="2:6">
      <c r="B2008" s="1"/>
      <c r="C2008" s="1"/>
      <c r="D2008" s="1"/>
      <c r="E2008" s="6"/>
      <c r="F2008" s="4"/>
    </row>
    <row r="2009" spans="2:6">
      <c r="B2009" s="1"/>
      <c r="C2009" s="1"/>
      <c r="D2009" s="1"/>
      <c r="E2009" s="6"/>
      <c r="F2009" s="4"/>
    </row>
    <row r="2010" spans="2:6">
      <c r="B2010" s="1"/>
      <c r="C2010" s="1"/>
      <c r="D2010" s="1"/>
      <c r="E2010" s="6"/>
      <c r="F2010" s="4"/>
    </row>
    <row r="2011" spans="2:6">
      <c r="B2011" s="1"/>
      <c r="C2011" s="1"/>
      <c r="D2011" s="1"/>
      <c r="E2011" s="6"/>
      <c r="F2011" s="4"/>
    </row>
    <row r="2012" spans="2:6">
      <c r="B2012" s="1"/>
      <c r="C2012" s="1"/>
      <c r="D2012" s="1"/>
      <c r="E2012" s="6"/>
      <c r="F2012" s="4"/>
    </row>
    <row r="2013" spans="2:6">
      <c r="B2013" s="1"/>
      <c r="C2013" s="1"/>
      <c r="D2013" s="1"/>
      <c r="E2013" s="6"/>
      <c r="F2013" s="4"/>
    </row>
    <row r="2014" spans="2:6">
      <c r="B2014" s="1"/>
      <c r="C2014" s="1"/>
      <c r="D2014" s="1"/>
      <c r="E2014" s="6"/>
      <c r="F2014" s="4"/>
    </row>
    <row r="2015" spans="2:6">
      <c r="B2015" s="1"/>
      <c r="C2015" s="1"/>
      <c r="D2015" s="1"/>
      <c r="E2015" s="6"/>
      <c r="F2015" s="4"/>
    </row>
    <row r="2016" spans="2:6">
      <c r="B2016" s="1"/>
      <c r="C2016" s="1"/>
      <c r="D2016" s="1"/>
      <c r="E2016" s="6"/>
      <c r="F2016" s="4"/>
    </row>
    <row r="2017" spans="2:6">
      <c r="B2017" s="1"/>
      <c r="C2017" s="1"/>
      <c r="D2017" s="1"/>
      <c r="E2017" s="6"/>
      <c r="F2017" s="4"/>
    </row>
    <row r="2018" spans="2:6">
      <c r="B2018" s="1"/>
      <c r="C2018" s="1"/>
      <c r="D2018" s="1"/>
      <c r="E2018" s="6"/>
      <c r="F2018" s="4"/>
    </row>
    <row r="2019" spans="2:6">
      <c r="B2019" s="1"/>
      <c r="C2019" s="1"/>
      <c r="D2019" s="1"/>
      <c r="E2019" s="6"/>
      <c r="F2019" s="4"/>
    </row>
    <row r="2020" spans="2:6">
      <c r="B2020" s="1"/>
      <c r="C2020" s="1"/>
      <c r="D2020" s="1"/>
      <c r="E2020" s="6"/>
      <c r="F2020" s="4"/>
    </row>
    <row r="2021" spans="2:6">
      <c r="B2021" s="1"/>
      <c r="C2021" s="1"/>
      <c r="D2021" s="1"/>
      <c r="E2021" s="6"/>
      <c r="F2021" s="4"/>
    </row>
    <row r="2022" spans="2:6">
      <c r="B2022" s="1"/>
      <c r="C2022" s="1"/>
      <c r="D2022" s="1"/>
      <c r="E2022" s="6"/>
      <c r="F2022" s="4"/>
    </row>
    <row r="2023" spans="2:6">
      <c r="B2023" s="1"/>
      <c r="C2023" s="1"/>
      <c r="D2023" s="1"/>
      <c r="E2023" s="6"/>
      <c r="F2023" s="4"/>
    </row>
    <row r="2024" spans="2:6">
      <c r="B2024" s="1"/>
      <c r="C2024" s="1"/>
      <c r="D2024" s="1"/>
      <c r="E2024" s="6"/>
      <c r="F2024" s="4"/>
    </row>
    <row r="2025" spans="2:6">
      <c r="B2025" s="1"/>
      <c r="C2025" s="1"/>
      <c r="D2025" s="1"/>
      <c r="E2025" s="6"/>
      <c r="F2025" s="4"/>
    </row>
    <row r="2026" spans="2:6">
      <c r="B2026" s="1"/>
      <c r="C2026" s="1"/>
      <c r="D2026" s="1"/>
      <c r="E2026" s="6"/>
      <c r="F2026" s="4"/>
    </row>
    <row r="2027" spans="2:6">
      <c r="B2027" s="1"/>
      <c r="C2027" s="1"/>
      <c r="D2027" s="1"/>
      <c r="E2027" s="6"/>
      <c r="F2027" s="4"/>
    </row>
    <row r="2028" spans="2:6">
      <c r="B2028" s="1"/>
      <c r="C2028" s="1"/>
      <c r="D2028" s="1"/>
      <c r="E2028" s="6"/>
      <c r="F2028" s="4"/>
    </row>
    <row r="2029" spans="2:6">
      <c r="B2029" s="1"/>
      <c r="C2029" s="1"/>
      <c r="D2029" s="1"/>
      <c r="E2029" s="6"/>
      <c r="F2029" s="4"/>
    </row>
    <row r="2030" spans="2:6">
      <c r="B2030" s="1"/>
      <c r="C2030" s="1"/>
      <c r="D2030" s="1"/>
      <c r="E2030" s="6"/>
      <c r="F2030" s="4"/>
    </row>
    <row r="2031" spans="2:6">
      <c r="B2031" s="1"/>
      <c r="C2031" s="1"/>
      <c r="D2031" s="1"/>
      <c r="E2031" s="6"/>
      <c r="F2031" s="4"/>
    </row>
    <row r="2032" spans="2:6">
      <c r="B2032" s="1"/>
      <c r="C2032" s="1"/>
      <c r="D2032" s="1"/>
      <c r="E2032" s="6"/>
      <c r="F2032" s="4"/>
    </row>
    <row r="2033" spans="2:6">
      <c r="B2033" s="1"/>
      <c r="C2033" s="1"/>
      <c r="D2033" s="1"/>
      <c r="E2033" s="6"/>
      <c r="F2033" s="4"/>
    </row>
    <row r="2034" spans="2:6">
      <c r="B2034" s="1"/>
      <c r="C2034" s="1"/>
      <c r="D2034" s="1"/>
      <c r="E2034" s="6"/>
      <c r="F2034" s="4"/>
    </row>
    <row r="2035" spans="2:6">
      <c r="B2035" s="1"/>
      <c r="C2035" s="1"/>
      <c r="D2035" s="1"/>
      <c r="E2035" s="6"/>
      <c r="F2035" s="4"/>
    </row>
    <row r="2036" spans="2:6">
      <c r="B2036" s="1"/>
      <c r="C2036" s="1"/>
      <c r="D2036" s="1"/>
      <c r="E2036" s="6"/>
      <c r="F2036" s="4"/>
    </row>
    <row r="2037" spans="2:6">
      <c r="B2037" s="1"/>
      <c r="C2037" s="1"/>
      <c r="D2037" s="1"/>
      <c r="E2037" s="6"/>
      <c r="F2037" s="4"/>
    </row>
    <row r="2038" spans="2:6">
      <c r="B2038" s="1"/>
      <c r="C2038" s="1"/>
      <c r="D2038" s="1"/>
      <c r="E2038" s="6"/>
      <c r="F2038" s="4"/>
    </row>
    <row r="2039" spans="2:6">
      <c r="B2039" s="1"/>
      <c r="C2039" s="1"/>
      <c r="D2039" s="1"/>
      <c r="E2039" s="6"/>
      <c r="F2039" s="4"/>
    </row>
    <row r="2040" spans="2:6">
      <c r="B2040" s="1"/>
      <c r="C2040" s="1"/>
      <c r="D2040" s="1"/>
      <c r="E2040" s="6"/>
      <c r="F2040" s="4"/>
    </row>
    <row r="2041" spans="2:6">
      <c r="B2041" s="1"/>
      <c r="C2041" s="1"/>
      <c r="D2041" s="1"/>
      <c r="E2041" s="6"/>
      <c r="F2041" s="4"/>
    </row>
    <row r="2042" spans="2:6">
      <c r="B2042" s="1"/>
      <c r="C2042" s="1"/>
      <c r="D2042" s="1"/>
      <c r="E2042" s="6"/>
      <c r="F2042" s="4"/>
    </row>
    <row r="2043" spans="2:6">
      <c r="B2043" s="1"/>
      <c r="C2043" s="1"/>
      <c r="D2043" s="1"/>
      <c r="E2043" s="6"/>
      <c r="F2043" s="4"/>
    </row>
    <row r="2044" spans="2:6">
      <c r="B2044" s="1"/>
      <c r="C2044" s="1"/>
      <c r="D2044" s="1"/>
      <c r="E2044" s="6"/>
      <c r="F2044" s="4"/>
    </row>
    <row r="2045" spans="2:6">
      <c r="B2045" s="1"/>
      <c r="C2045" s="1"/>
      <c r="D2045" s="1"/>
      <c r="E2045" s="6"/>
      <c r="F2045" s="4"/>
    </row>
    <row r="2046" spans="2:6">
      <c r="B2046" s="1"/>
      <c r="C2046" s="1"/>
      <c r="D2046" s="1"/>
      <c r="E2046" s="6"/>
      <c r="F2046" s="4"/>
    </row>
    <row r="2047" spans="2:6">
      <c r="B2047" s="1"/>
      <c r="C2047" s="1"/>
      <c r="D2047" s="1"/>
      <c r="E2047" s="6"/>
      <c r="F2047" s="4"/>
    </row>
    <row r="2048" spans="2:6">
      <c r="B2048" s="1"/>
      <c r="C2048" s="1"/>
      <c r="D2048" s="1"/>
      <c r="E2048" s="6"/>
      <c r="F2048" s="4"/>
    </row>
    <row r="2049" spans="2:6">
      <c r="B2049" s="1"/>
      <c r="C2049" s="1"/>
      <c r="D2049" s="1"/>
      <c r="E2049" s="6"/>
      <c r="F2049" s="4"/>
    </row>
    <row r="2050" spans="2:6">
      <c r="B2050" s="1"/>
      <c r="C2050" s="1"/>
      <c r="D2050" s="1"/>
      <c r="E2050" s="6"/>
      <c r="F2050" s="4"/>
    </row>
    <row r="2051" spans="2:6">
      <c r="B2051" s="1"/>
      <c r="C2051" s="1"/>
      <c r="D2051" s="1"/>
      <c r="E2051" s="6"/>
      <c r="F2051" s="4"/>
    </row>
    <row r="2052" spans="2:6">
      <c r="B2052" s="1"/>
      <c r="C2052" s="1"/>
      <c r="D2052" s="1"/>
      <c r="E2052" s="6"/>
      <c r="F2052" s="4"/>
    </row>
    <row r="2053" spans="2:6">
      <c r="B2053" s="1"/>
      <c r="C2053" s="1"/>
      <c r="D2053" s="1"/>
      <c r="E2053" s="6"/>
      <c r="F2053" s="4"/>
    </row>
    <row r="2054" spans="2:6">
      <c r="B2054" s="1"/>
      <c r="C2054" s="1"/>
      <c r="D2054" s="1"/>
      <c r="E2054" s="6"/>
      <c r="F2054" s="4"/>
    </row>
    <row r="2055" spans="2:6">
      <c r="B2055" s="1"/>
      <c r="C2055" s="1"/>
      <c r="D2055" s="1"/>
      <c r="E2055" s="6"/>
      <c r="F2055" s="4"/>
    </row>
    <row r="2056" spans="2:6">
      <c r="B2056" s="1"/>
      <c r="C2056" s="1"/>
      <c r="D2056" s="1"/>
      <c r="E2056" s="6"/>
      <c r="F2056" s="4"/>
    </row>
    <row r="2057" spans="2:6">
      <c r="B2057" s="1"/>
      <c r="C2057" s="1"/>
      <c r="D2057" s="1"/>
      <c r="E2057" s="6"/>
      <c r="F2057" s="4"/>
    </row>
    <row r="2058" spans="2:6">
      <c r="B2058" s="1"/>
      <c r="C2058" s="1"/>
      <c r="D2058" s="1"/>
      <c r="E2058" s="6"/>
      <c r="F2058" s="4"/>
    </row>
    <row r="2059" spans="2:6">
      <c r="B2059" s="1"/>
      <c r="C2059" s="1"/>
      <c r="D2059" s="1"/>
      <c r="E2059" s="6"/>
      <c r="F2059" s="4"/>
    </row>
    <row r="2060" spans="2:6">
      <c r="B2060" s="1"/>
      <c r="C2060" s="1"/>
      <c r="D2060" s="1"/>
      <c r="E2060" s="6"/>
      <c r="F2060" s="4"/>
    </row>
    <row r="2061" spans="2:6">
      <c r="B2061" s="1"/>
      <c r="C2061" s="1"/>
      <c r="D2061" s="1"/>
      <c r="E2061" s="6"/>
      <c r="F2061" s="4"/>
    </row>
    <row r="2062" spans="2:6">
      <c r="B2062" s="1"/>
      <c r="C2062" s="1"/>
      <c r="D2062" s="1"/>
      <c r="E2062" s="6"/>
      <c r="F2062" s="4"/>
    </row>
    <row r="2063" spans="2:6">
      <c r="B2063" s="1"/>
      <c r="C2063" s="1"/>
      <c r="D2063" s="1"/>
      <c r="E2063" s="6"/>
      <c r="F2063" s="4"/>
    </row>
    <row r="2064" spans="2:6">
      <c r="B2064" s="1"/>
      <c r="C2064" s="1"/>
      <c r="D2064" s="1"/>
      <c r="E2064" s="6"/>
      <c r="F2064" s="4"/>
    </row>
    <row r="2065" spans="2:6">
      <c r="B2065" s="1"/>
      <c r="C2065" s="1"/>
      <c r="D2065" s="1"/>
      <c r="E2065" s="6"/>
      <c r="F2065" s="4"/>
    </row>
    <row r="2066" spans="2:6">
      <c r="B2066" s="1"/>
      <c r="C2066" s="1"/>
      <c r="D2066" s="1"/>
      <c r="E2066" s="6"/>
      <c r="F2066" s="4"/>
    </row>
    <row r="2067" spans="2:6">
      <c r="B2067" s="1"/>
      <c r="C2067" s="1"/>
      <c r="D2067" s="1"/>
      <c r="E2067" s="6"/>
      <c r="F2067" s="4"/>
    </row>
    <row r="2068" spans="2:6">
      <c r="B2068" s="1"/>
      <c r="C2068" s="1"/>
      <c r="D2068" s="1"/>
      <c r="E2068" s="6"/>
      <c r="F2068" s="4"/>
    </row>
    <row r="2069" spans="2:6">
      <c r="B2069" s="1"/>
      <c r="C2069" s="1"/>
      <c r="D2069" s="1"/>
      <c r="E2069" s="6"/>
      <c r="F2069" s="4"/>
    </row>
    <row r="2070" spans="2:6">
      <c r="B2070" s="1"/>
      <c r="C2070" s="1"/>
      <c r="D2070" s="1"/>
      <c r="E2070" s="6"/>
      <c r="F2070" s="4"/>
    </row>
    <row r="2071" spans="2:6">
      <c r="B2071" s="1"/>
      <c r="C2071" s="1"/>
      <c r="D2071" s="1"/>
      <c r="E2071" s="6"/>
      <c r="F2071" s="4"/>
    </row>
  </sheetData>
  <mergeCells count="3">
    <mergeCell ref="C255:C256"/>
    <mergeCell ref="D255:N255"/>
    <mergeCell ref="C117:L118"/>
  </mergeCells>
  <phoneticPr fontId="128" type="noConversion"/>
  <pageMargins left="0.75" right="0.75" top="1" bottom="1" header="0.5" footer="0.5"/>
  <pageSetup paperSize="9" orientation="portrait"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Ark2">
    <tabColor rgb="FF92D050"/>
  </sheetPr>
  <dimension ref="A3:AS64"/>
  <sheetViews>
    <sheetView workbookViewId="0">
      <selection activeCell="F8" sqref="F8"/>
    </sheetView>
  </sheetViews>
  <sheetFormatPr defaultColWidth="8.44140625" defaultRowHeight="14.4"/>
  <cols>
    <col min="1" max="1" width="1.44140625" style="393" customWidth="1"/>
    <col min="2" max="2" width="8.44140625" style="393" bestFit="1" customWidth="1"/>
    <col min="3" max="5" width="13.44140625" style="393" bestFit="1" customWidth="1"/>
    <col min="6" max="6" width="8" style="393" bestFit="1" customWidth="1"/>
    <col min="7" max="7" width="6.44140625" style="393" bestFit="1" customWidth="1"/>
    <col min="8" max="46" width="8" style="393" bestFit="1" customWidth="1"/>
    <col min="47" max="256" width="9.21875" style="393"/>
    <col min="257" max="257" width="10.21875" style="393" bestFit="1" customWidth="1"/>
    <col min="258" max="258" width="8.44140625" style="393" bestFit="1" customWidth="1"/>
    <col min="259" max="259" width="13.44140625" style="393" bestFit="1" customWidth="1"/>
    <col min="260" max="260" width="5.21875" style="393" bestFit="1" customWidth="1"/>
    <col min="261" max="262" width="10.44140625" style="393" customWidth="1"/>
    <col min="263" max="302" width="9.44140625" style="393" bestFit="1" customWidth="1"/>
    <col min="303" max="512" width="9.21875" style="393"/>
    <col min="513" max="513" width="10.21875" style="393" bestFit="1" customWidth="1"/>
    <col min="514" max="514" width="8.44140625" style="393" bestFit="1" customWidth="1"/>
    <col min="515" max="515" width="13.44140625" style="393" bestFit="1" customWidth="1"/>
    <col min="516" max="516" width="5.21875" style="393" bestFit="1" customWidth="1"/>
    <col min="517" max="518" width="10.44140625" style="393" customWidth="1"/>
    <col min="519" max="558" width="9.44140625" style="393" bestFit="1" customWidth="1"/>
    <col min="559" max="768" width="9.21875" style="393"/>
    <col min="769" max="769" width="10.21875" style="393" bestFit="1" customWidth="1"/>
    <col min="770" max="770" width="8.44140625" style="393" bestFit="1" customWidth="1"/>
    <col min="771" max="771" width="13.44140625" style="393" bestFit="1" customWidth="1"/>
    <col min="772" max="772" width="5.21875" style="393" bestFit="1" customWidth="1"/>
    <col min="773" max="774" width="10.44140625" style="393" customWidth="1"/>
    <col min="775" max="814" width="9.44140625" style="393" bestFit="1" customWidth="1"/>
    <col min="815" max="1024" width="9.21875" style="393"/>
    <col min="1025" max="1025" width="10.21875" style="393" bestFit="1" customWidth="1"/>
    <col min="1026" max="1026" width="8.44140625" style="393" bestFit="1" customWidth="1"/>
    <col min="1027" max="1027" width="13.44140625" style="393" bestFit="1" customWidth="1"/>
    <col min="1028" max="1028" width="5.21875" style="393" bestFit="1" customWidth="1"/>
    <col min="1029" max="1030" width="10.44140625" style="393" customWidth="1"/>
    <col min="1031" max="1070" width="9.44140625" style="393" bestFit="1" customWidth="1"/>
    <col min="1071" max="1280" width="9.21875" style="393"/>
    <col min="1281" max="1281" width="10.21875" style="393" bestFit="1" customWidth="1"/>
    <col min="1282" max="1282" width="8.44140625" style="393" bestFit="1" customWidth="1"/>
    <col min="1283" max="1283" width="13.44140625" style="393" bestFit="1" customWidth="1"/>
    <col min="1284" max="1284" width="5.21875" style="393" bestFit="1" customWidth="1"/>
    <col min="1285" max="1286" width="10.44140625" style="393" customWidth="1"/>
    <col min="1287" max="1326" width="9.44140625" style="393" bestFit="1" customWidth="1"/>
    <col min="1327" max="1536" width="9.21875" style="393"/>
    <col min="1537" max="1537" width="10.21875" style="393" bestFit="1" customWidth="1"/>
    <col min="1538" max="1538" width="8.44140625" style="393" bestFit="1" customWidth="1"/>
    <col min="1539" max="1539" width="13.44140625" style="393" bestFit="1" customWidth="1"/>
    <col min="1540" max="1540" width="5.21875" style="393" bestFit="1" customWidth="1"/>
    <col min="1541" max="1542" width="10.44140625" style="393" customWidth="1"/>
    <col min="1543" max="1582" width="9.44140625" style="393" bestFit="1" customWidth="1"/>
    <col min="1583" max="1792" width="9.21875" style="393"/>
    <col min="1793" max="1793" width="10.21875" style="393" bestFit="1" customWidth="1"/>
    <col min="1794" max="1794" width="8.44140625" style="393" bestFit="1" customWidth="1"/>
    <col min="1795" max="1795" width="13.44140625" style="393" bestFit="1" customWidth="1"/>
    <col min="1796" max="1796" width="5.21875" style="393" bestFit="1" customWidth="1"/>
    <col min="1797" max="1798" width="10.44140625" style="393" customWidth="1"/>
    <col min="1799" max="1838" width="9.44140625" style="393" bestFit="1" customWidth="1"/>
    <col min="1839" max="2048" width="9.21875" style="393"/>
    <col min="2049" max="2049" width="10.21875" style="393" bestFit="1" customWidth="1"/>
    <col min="2050" max="2050" width="8.44140625" style="393" bestFit="1" customWidth="1"/>
    <col min="2051" max="2051" width="13.44140625" style="393" bestFit="1" customWidth="1"/>
    <col min="2052" max="2052" width="5.21875" style="393" bestFit="1" customWidth="1"/>
    <col min="2053" max="2054" width="10.44140625" style="393" customWidth="1"/>
    <col min="2055" max="2094" width="9.44140625" style="393" bestFit="1" customWidth="1"/>
    <col min="2095" max="2304" width="9.21875" style="393"/>
    <col min="2305" max="2305" width="10.21875" style="393" bestFit="1" customWidth="1"/>
    <col min="2306" max="2306" width="8.44140625" style="393" bestFit="1" customWidth="1"/>
    <col min="2307" max="2307" width="13.44140625" style="393" bestFit="1" customWidth="1"/>
    <col min="2308" max="2308" width="5.21875" style="393" bestFit="1" customWidth="1"/>
    <col min="2309" max="2310" width="10.44140625" style="393" customWidth="1"/>
    <col min="2311" max="2350" width="9.44140625" style="393" bestFit="1" customWidth="1"/>
    <col min="2351" max="2560" width="9.21875" style="393"/>
    <col min="2561" max="2561" width="10.21875" style="393" bestFit="1" customWidth="1"/>
    <col min="2562" max="2562" width="8.44140625" style="393" bestFit="1" customWidth="1"/>
    <col min="2563" max="2563" width="13.44140625" style="393" bestFit="1" customWidth="1"/>
    <col min="2564" max="2564" width="5.21875" style="393" bestFit="1" customWidth="1"/>
    <col min="2565" max="2566" width="10.44140625" style="393" customWidth="1"/>
    <col min="2567" max="2606" width="9.44140625" style="393" bestFit="1" customWidth="1"/>
    <col min="2607" max="2816" width="9.21875" style="393"/>
    <col min="2817" max="2817" width="10.21875" style="393" bestFit="1" customWidth="1"/>
    <col min="2818" max="2818" width="8.44140625" style="393" bestFit="1" customWidth="1"/>
    <col min="2819" max="2819" width="13.44140625" style="393" bestFit="1" customWidth="1"/>
    <col min="2820" max="2820" width="5.21875" style="393" bestFit="1" customWidth="1"/>
    <col min="2821" max="2822" width="10.44140625" style="393" customWidth="1"/>
    <col min="2823" max="2862" width="9.44140625" style="393" bestFit="1" customWidth="1"/>
    <col min="2863" max="3072" width="9.21875" style="393"/>
    <col min="3073" max="3073" width="10.21875" style="393" bestFit="1" customWidth="1"/>
    <col min="3074" max="3074" width="8.44140625" style="393" bestFit="1" customWidth="1"/>
    <col min="3075" max="3075" width="13.44140625" style="393" bestFit="1" customWidth="1"/>
    <col min="3076" max="3076" width="5.21875" style="393" bestFit="1" customWidth="1"/>
    <col min="3077" max="3078" width="10.44140625" style="393" customWidth="1"/>
    <col min="3079" max="3118" width="9.44140625" style="393" bestFit="1" customWidth="1"/>
    <col min="3119" max="3328" width="9.21875" style="393"/>
    <col min="3329" max="3329" width="10.21875" style="393" bestFit="1" customWidth="1"/>
    <col min="3330" max="3330" width="8.44140625" style="393" bestFit="1" customWidth="1"/>
    <col min="3331" max="3331" width="13.44140625" style="393" bestFit="1" customWidth="1"/>
    <col min="3332" max="3332" width="5.21875" style="393" bestFit="1" customWidth="1"/>
    <col min="3333" max="3334" width="10.44140625" style="393" customWidth="1"/>
    <col min="3335" max="3374" width="9.44140625" style="393" bestFit="1" customWidth="1"/>
    <col min="3375" max="3584" width="9.21875" style="393"/>
    <col min="3585" max="3585" width="10.21875" style="393" bestFit="1" customWidth="1"/>
    <col min="3586" max="3586" width="8.44140625" style="393" bestFit="1" customWidth="1"/>
    <col min="3587" max="3587" width="13.44140625" style="393" bestFit="1" customWidth="1"/>
    <col min="3588" max="3588" width="5.21875" style="393" bestFit="1" customWidth="1"/>
    <col min="3589" max="3590" width="10.44140625" style="393" customWidth="1"/>
    <col min="3591" max="3630" width="9.44140625" style="393" bestFit="1" customWidth="1"/>
    <col min="3631" max="3840" width="9.21875" style="393"/>
    <col min="3841" max="3841" width="10.21875" style="393" bestFit="1" customWidth="1"/>
    <col min="3842" max="3842" width="8.44140625" style="393" bestFit="1" customWidth="1"/>
    <col min="3843" max="3843" width="13.44140625" style="393" bestFit="1" customWidth="1"/>
    <col min="3844" max="3844" width="5.21875" style="393" bestFit="1" customWidth="1"/>
    <col min="3845" max="3846" width="10.44140625" style="393" customWidth="1"/>
    <col min="3847" max="3886" width="9.44140625" style="393" bestFit="1" customWidth="1"/>
    <col min="3887" max="4096" width="9.21875" style="393"/>
    <col min="4097" max="4097" width="10.21875" style="393" bestFit="1" customWidth="1"/>
    <col min="4098" max="4098" width="8.44140625" style="393" bestFit="1" customWidth="1"/>
    <col min="4099" max="4099" width="13.44140625" style="393" bestFit="1" customWidth="1"/>
    <col min="4100" max="4100" width="5.21875" style="393" bestFit="1" customWidth="1"/>
    <col min="4101" max="4102" width="10.44140625" style="393" customWidth="1"/>
    <col min="4103" max="4142" width="9.44140625" style="393" bestFit="1" customWidth="1"/>
    <col min="4143" max="4352" width="9.21875" style="393"/>
    <col min="4353" max="4353" width="10.21875" style="393" bestFit="1" customWidth="1"/>
    <col min="4354" max="4354" width="8.44140625" style="393" bestFit="1" customWidth="1"/>
    <col min="4355" max="4355" width="13.44140625" style="393" bestFit="1" customWidth="1"/>
    <col min="4356" max="4356" width="5.21875" style="393" bestFit="1" customWidth="1"/>
    <col min="4357" max="4358" width="10.44140625" style="393" customWidth="1"/>
    <col min="4359" max="4398" width="9.44140625" style="393" bestFit="1" customWidth="1"/>
    <col min="4399" max="4608" width="9.21875" style="393"/>
    <col min="4609" max="4609" width="10.21875" style="393" bestFit="1" customWidth="1"/>
    <col min="4610" max="4610" width="8.44140625" style="393" bestFit="1" customWidth="1"/>
    <col min="4611" max="4611" width="13.44140625" style="393" bestFit="1" customWidth="1"/>
    <col min="4612" max="4612" width="5.21875" style="393" bestFit="1" customWidth="1"/>
    <col min="4613" max="4614" width="10.44140625" style="393" customWidth="1"/>
    <col min="4615" max="4654" width="9.44140625" style="393" bestFit="1" customWidth="1"/>
    <col min="4655" max="4864" width="9.21875" style="393"/>
    <col min="4865" max="4865" width="10.21875" style="393" bestFit="1" customWidth="1"/>
    <col min="4866" max="4866" width="8.44140625" style="393" bestFit="1" customWidth="1"/>
    <col min="4867" max="4867" width="13.44140625" style="393" bestFit="1" customWidth="1"/>
    <col min="4868" max="4868" width="5.21875" style="393" bestFit="1" customWidth="1"/>
    <col min="4869" max="4870" width="10.44140625" style="393" customWidth="1"/>
    <col min="4871" max="4910" width="9.44140625" style="393" bestFit="1" customWidth="1"/>
    <col min="4911" max="5120" width="9.21875" style="393"/>
    <col min="5121" max="5121" width="10.21875" style="393" bestFit="1" customWidth="1"/>
    <col min="5122" max="5122" width="8.44140625" style="393" bestFit="1" customWidth="1"/>
    <col min="5123" max="5123" width="13.44140625" style="393" bestFit="1" customWidth="1"/>
    <col min="5124" max="5124" width="5.21875" style="393" bestFit="1" customWidth="1"/>
    <col min="5125" max="5126" width="10.44140625" style="393" customWidth="1"/>
    <col min="5127" max="5166" width="9.44140625" style="393" bestFit="1" customWidth="1"/>
    <col min="5167" max="5376" width="9.21875" style="393"/>
    <col min="5377" max="5377" width="10.21875" style="393" bestFit="1" customWidth="1"/>
    <col min="5378" max="5378" width="8.44140625" style="393" bestFit="1" customWidth="1"/>
    <col min="5379" max="5379" width="13.44140625" style="393" bestFit="1" customWidth="1"/>
    <col min="5380" max="5380" width="5.21875" style="393" bestFit="1" customWidth="1"/>
    <col min="5381" max="5382" width="10.44140625" style="393" customWidth="1"/>
    <col min="5383" max="5422" width="9.44140625" style="393" bestFit="1" customWidth="1"/>
    <col min="5423" max="5632" width="9.21875" style="393"/>
    <col min="5633" max="5633" width="10.21875" style="393" bestFit="1" customWidth="1"/>
    <col min="5634" max="5634" width="8.44140625" style="393" bestFit="1" customWidth="1"/>
    <col min="5635" max="5635" width="13.44140625" style="393" bestFit="1" customWidth="1"/>
    <col min="5636" max="5636" width="5.21875" style="393" bestFit="1" customWidth="1"/>
    <col min="5637" max="5638" width="10.44140625" style="393" customWidth="1"/>
    <col min="5639" max="5678" width="9.44140625" style="393" bestFit="1" customWidth="1"/>
    <col min="5679" max="5888" width="9.21875" style="393"/>
    <col min="5889" max="5889" width="10.21875" style="393" bestFit="1" customWidth="1"/>
    <col min="5890" max="5890" width="8.44140625" style="393" bestFit="1" customWidth="1"/>
    <col min="5891" max="5891" width="13.44140625" style="393" bestFit="1" customWidth="1"/>
    <col min="5892" max="5892" width="5.21875" style="393" bestFit="1" customWidth="1"/>
    <col min="5893" max="5894" width="10.44140625" style="393" customWidth="1"/>
    <col min="5895" max="5934" width="9.44140625" style="393" bestFit="1" customWidth="1"/>
    <col min="5935" max="6144" width="9.21875" style="393"/>
    <col min="6145" max="6145" width="10.21875" style="393" bestFit="1" customWidth="1"/>
    <col min="6146" max="6146" width="8.44140625" style="393" bestFit="1" customWidth="1"/>
    <col min="6147" max="6147" width="13.44140625" style="393" bestFit="1" customWidth="1"/>
    <col min="6148" max="6148" width="5.21875" style="393" bestFit="1" customWidth="1"/>
    <col min="6149" max="6150" width="10.44140625" style="393" customWidth="1"/>
    <col min="6151" max="6190" width="9.44140625" style="393" bestFit="1" customWidth="1"/>
    <col min="6191" max="6400" width="9.21875" style="393"/>
    <col min="6401" max="6401" width="10.21875" style="393" bestFit="1" customWidth="1"/>
    <col min="6402" max="6402" width="8.44140625" style="393" bestFit="1" customWidth="1"/>
    <col min="6403" max="6403" width="13.44140625" style="393" bestFit="1" customWidth="1"/>
    <col min="6404" max="6404" width="5.21875" style="393" bestFit="1" customWidth="1"/>
    <col min="6405" max="6406" width="10.44140625" style="393" customWidth="1"/>
    <col min="6407" max="6446" width="9.44140625" style="393" bestFit="1" customWidth="1"/>
    <col min="6447" max="6656" width="9.21875" style="393"/>
    <col min="6657" max="6657" width="10.21875" style="393" bestFit="1" customWidth="1"/>
    <col min="6658" max="6658" width="8.44140625" style="393" bestFit="1" customWidth="1"/>
    <col min="6659" max="6659" width="13.44140625" style="393" bestFit="1" customWidth="1"/>
    <col min="6660" max="6660" width="5.21875" style="393" bestFit="1" customWidth="1"/>
    <col min="6661" max="6662" width="10.44140625" style="393" customWidth="1"/>
    <col min="6663" max="6702" width="9.44140625" style="393" bestFit="1" customWidth="1"/>
    <col min="6703" max="6912" width="9.21875" style="393"/>
    <col min="6913" max="6913" width="10.21875" style="393" bestFit="1" customWidth="1"/>
    <col min="6914" max="6914" width="8.44140625" style="393" bestFit="1" customWidth="1"/>
    <col min="6915" max="6915" width="13.44140625" style="393" bestFit="1" customWidth="1"/>
    <col min="6916" max="6916" width="5.21875" style="393" bestFit="1" customWidth="1"/>
    <col min="6917" max="6918" width="10.44140625" style="393" customWidth="1"/>
    <col min="6919" max="6958" width="9.44140625" style="393" bestFit="1" customWidth="1"/>
    <col min="6959" max="7168" width="9.21875" style="393"/>
    <col min="7169" max="7169" width="10.21875" style="393" bestFit="1" customWidth="1"/>
    <col min="7170" max="7170" width="8.44140625" style="393" bestFit="1" customWidth="1"/>
    <col min="7171" max="7171" width="13.44140625" style="393" bestFit="1" customWidth="1"/>
    <col min="7172" max="7172" width="5.21875" style="393" bestFit="1" customWidth="1"/>
    <col min="7173" max="7174" width="10.44140625" style="393" customWidth="1"/>
    <col min="7175" max="7214" width="9.44140625" style="393" bestFit="1" customWidth="1"/>
    <col min="7215" max="7424" width="9.21875" style="393"/>
    <col min="7425" max="7425" width="10.21875" style="393" bestFit="1" customWidth="1"/>
    <col min="7426" max="7426" width="8.44140625" style="393" bestFit="1" customWidth="1"/>
    <col min="7427" max="7427" width="13.44140625" style="393" bestFit="1" customWidth="1"/>
    <col min="7428" max="7428" width="5.21875" style="393" bestFit="1" customWidth="1"/>
    <col min="7429" max="7430" width="10.44140625" style="393" customWidth="1"/>
    <col min="7431" max="7470" width="9.44140625" style="393" bestFit="1" customWidth="1"/>
    <col min="7471" max="7680" width="9.21875" style="393"/>
    <col min="7681" max="7681" width="10.21875" style="393" bestFit="1" customWidth="1"/>
    <col min="7682" max="7682" width="8.44140625" style="393" bestFit="1" customWidth="1"/>
    <col min="7683" max="7683" width="13.44140625" style="393" bestFit="1" customWidth="1"/>
    <col min="7684" max="7684" width="5.21875" style="393" bestFit="1" customWidth="1"/>
    <col min="7685" max="7686" width="10.44140625" style="393" customWidth="1"/>
    <col min="7687" max="7726" width="9.44140625" style="393" bestFit="1" customWidth="1"/>
    <col min="7727" max="7936" width="9.21875" style="393"/>
    <col min="7937" max="7937" width="10.21875" style="393" bestFit="1" customWidth="1"/>
    <col min="7938" max="7938" width="8.44140625" style="393" bestFit="1" customWidth="1"/>
    <col min="7939" max="7939" width="13.44140625" style="393" bestFit="1" customWidth="1"/>
    <col min="7940" max="7940" width="5.21875" style="393" bestFit="1" customWidth="1"/>
    <col min="7941" max="7942" width="10.44140625" style="393" customWidth="1"/>
    <col min="7943" max="7982" width="9.44140625" style="393" bestFit="1" customWidth="1"/>
    <col min="7983" max="8192" width="9.21875" style="393"/>
    <col min="8193" max="8193" width="10.21875" style="393" bestFit="1" customWidth="1"/>
    <col min="8194" max="8194" width="8.44140625" style="393" bestFit="1" customWidth="1"/>
    <col min="8195" max="8195" width="13.44140625" style="393" bestFit="1" customWidth="1"/>
    <col min="8196" max="8196" width="5.21875" style="393" bestFit="1" customWidth="1"/>
    <col min="8197" max="8198" width="10.44140625" style="393" customWidth="1"/>
    <col min="8199" max="8238" width="9.44140625" style="393" bestFit="1" customWidth="1"/>
    <col min="8239" max="8448" width="9.21875" style="393"/>
    <col min="8449" max="8449" width="10.21875" style="393" bestFit="1" customWidth="1"/>
    <col min="8450" max="8450" width="8.44140625" style="393" bestFit="1" customWidth="1"/>
    <col min="8451" max="8451" width="13.44140625" style="393" bestFit="1" customWidth="1"/>
    <col min="8452" max="8452" width="5.21875" style="393" bestFit="1" customWidth="1"/>
    <col min="8453" max="8454" width="10.44140625" style="393" customWidth="1"/>
    <col min="8455" max="8494" width="9.44140625" style="393" bestFit="1" customWidth="1"/>
    <col min="8495" max="8704" width="9.21875" style="393"/>
    <col min="8705" max="8705" width="10.21875" style="393" bestFit="1" customWidth="1"/>
    <col min="8706" max="8706" width="8.44140625" style="393" bestFit="1" customWidth="1"/>
    <col min="8707" max="8707" width="13.44140625" style="393" bestFit="1" customWidth="1"/>
    <col min="8708" max="8708" width="5.21875" style="393" bestFit="1" customWidth="1"/>
    <col min="8709" max="8710" width="10.44140625" style="393" customWidth="1"/>
    <col min="8711" max="8750" width="9.44140625" style="393" bestFit="1" customWidth="1"/>
    <col min="8751" max="8960" width="9.21875" style="393"/>
    <col min="8961" max="8961" width="10.21875" style="393" bestFit="1" customWidth="1"/>
    <col min="8962" max="8962" width="8.44140625" style="393" bestFit="1" customWidth="1"/>
    <col min="8963" max="8963" width="13.44140625" style="393" bestFit="1" customWidth="1"/>
    <col min="8964" max="8964" width="5.21875" style="393" bestFit="1" customWidth="1"/>
    <col min="8965" max="8966" width="10.44140625" style="393" customWidth="1"/>
    <col min="8967" max="9006" width="9.44140625" style="393" bestFit="1" customWidth="1"/>
    <col min="9007" max="9216" width="9.21875" style="393"/>
    <col min="9217" max="9217" width="10.21875" style="393" bestFit="1" customWidth="1"/>
    <col min="9218" max="9218" width="8.44140625" style="393" bestFit="1" customWidth="1"/>
    <col min="9219" max="9219" width="13.44140625" style="393" bestFit="1" customWidth="1"/>
    <col min="9220" max="9220" width="5.21875" style="393" bestFit="1" customWidth="1"/>
    <col min="9221" max="9222" width="10.44140625" style="393" customWidth="1"/>
    <col min="9223" max="9262" width="9.44140625" style="393" bestFit="1" customWidth="1"/>
    <col min="9263" max="9472" width="9.21875" style="393"/>
    <col min="9473" max="9473" width="10.21875" style="393" bestFit="1" customWidth="1"/>
    <col min="9474" max="9474" width="8.44140625" style="393" bestFit="1" customWidth="1"/>
    <col min="9475" max="9475" width="13.44140625" style="393" bestFit="1" customWidth="1"/>
    <col min="9476" max="9476" width="5.21875" style="393" bestFit="1" customWidth="1"/>
    <col min="9477" max="9478" width="10.44140625" style="393" customWidth="1"/>
    <col min="9479" max="9518" width="9.44140625" style="393" bestFit="1" customWidth="1"/>
    <col min="9519" max="9728" width="9.21875" style="393"/>
    <col min="9729" max="9729" width="10.21875" style="393" bestFit="1" customWidth="1"/>
    <col min="9730" max="9730" width="8.44140625" style="393" bestFit="1" customWidth="1"/>
    <col min="9731" max="9731" width="13.44140625" style="393" bestFit="1" customWidth="1"/>
    <col min="9732" max="9732" width="5.21875" style="393" bestFit="1" customWidth="1"/>
    <col min="9733" max="9734" width="10.44140625" style="393" customWidth="1"/>
    <col min="9735" max="9774" width="9.44140625" style="393" bestFit="1" customWidth="1"/>
    <col min="9775" max="9984" width="9.21875" style="393"/>
    <col min="9985" max="9985" width="10.21875" style="393" bestFit="1" customWidth="1"/>
    <col min="9986" max="9986" width="8.44140625" style="393" bestFit="1" customWidth="1"/>
    <col min="9987" max="9987" width="13.44140625" style="393" bestFit="1" customWidth="1"/>
    <col min="9988" max="9988" width="5.21875" style="393" bestFit="1" customWidth="1"/>
    <col min="9989" max="9990" width="10.44140625" style="393" customWidth="1"/>
    <col min="9991" max="10030" width="9.44140625" style="393" bestFit="1" customWidth="1"/>
    <col min="10031" max="10240" width="9.21875" style="393"/>
    <col min="10241" max="10241" width="10.21875" style="393" bestFit="1" customWidth="1"/>
    <col min="10242" max="10242" width="8.44140625" style="393" bestFit="1" customWidth="1"/>
    <col min="10243" max="10243" width="13.44140625" style="393" bestFit="1" customWidth="1"/>
    <col min="10244" max="10244" width="5.21875" style="393" bestFit="1" customWidth="1"/>
    <col min="10245" max="10246" width="10.44140625" style="393" customWidth="1"/>
    <col min="10247" max="10286" width="9.44140625" style="393" bestFit="1" customWidth="1"/>
    <col min="10287" max="10496" width="9.21875" style="393"/>
    <col min="10497" max="10497" width="10.21875" style="393" bestFit="1" customWidth="1"/>
    <col min="10498" max="10498" width="8.44140625" style="393" bestFit="1" customWidth="1"/>
    <col min="10499" max="10499" width="13.44140625" style="393" bestFit="1" customWidth="1"/>
    <col min="10500" max="10500" width="5.21875" style="393" bestFit="1" customWidth="1"/>
    <col min="10501" max="10502" width="10.44140625" style="393" customWidth="1"/>
    <col min="10503" max="10542" width="9.44140625" style="393" bestFit="1" customWidth="1"/>
    <col min="10543" max="10752" width="9.21875" style="393"/>
    <col min="10753" max="10753" width="10.21875" style="393" bestFit="1" customWidth="1"/>
    <col min="10754" max="10754" width="8.44140625" style="393" bestFit="1" customWidth="1"/>
    <col min="10755" max="10755" width="13.44140625" style="393" bestFit="1" customWidth="1"/>
    <col min="10756" max="10756" width="5.21875" style="393" bestFit="1" customWidth="1"/>
    <col min="10757" max="10758" width="10.44140625" style="393" customWidth="1"/>
    <col min="10759" max="10798" width="9.44140625" style="393" bestFit="1" customWidth="1"/>
    <col min="10799" max="11008" width="9.21875" style="393"/>
    <col min="11009" max="11009" width="10.21875" style="393" bestFit="1" customWidth="1"/>
    <col min="11010" max="11010" width="8.44140625" style="393" bestFit="1" customWidth="1"/>
    <col min="11011" max="11011" width="13.44140625" style="393" bestFit="1" customWidth="1"/>
    <col min="11012" max="11012" width="5.21875" style="393" bestFit="1" customWidth="1"/>
    <col min="11013" max="11014" width="10.44140625" style="393" customWidth="1"/>
    <col min="11015" max="11054" width="9.44140625" style="393" bestFit="1" customWidth="1"/>
    <col min="11055" max="11264" width="9.21875" style="393"/>
    <col min="11265" max="11265" width="10.21875" style="393" bestFit="1" customWidth="1"/>
    <col min="11266" max="11266" width="8.44140625" style="393" bestFit="1" customWidth="1"/>
    <col min="11267" max="11267" width="13.44140625" style="393" bestFit="1" customWidth="1"/>
    <col min="11268" max="11268" width="5.21875" style="393" bestFit="1" customWidth="1"/>
    <col min="11269" max="11270" width="10.44140625" style="393" customWidth="1"/>
    <col min="11271" max="11310" width="9.44140625" style="393" bestFit="1" customWidth="1"/>
    <col min="11311" max="11520" width="9.21875" style="393"/>
    <col min="11521" max="11521" width="10.21875" style="393" bestFit="1" customWidth="1"/>
    <col min="11522" max="11522" width="8.44140625" style="393" bestFit="1" customWidth="1"/>
    <col min="11523" max="11523" width="13.44140625" style="393" bestFit="1" customWidth="1"/>
    <col min="11524" max="11524" width="5.21875" style="393" bestFit="1" customWidth="1"/>
    <col min="11525" max="11526" width="10.44140625" style="393" customWidth="1"/>
    <col min="11527" max="11566" width="9.44140625" style="393" bestFit="1" customWidth="1"/>
    <col min="11567" max="11776" width="9.21875" style="393"/>
    <col min="11777" max="11777" width="10.21875" style="393" bestFit="1" customWidth="1"/>
    <col min="11778" max="11778" width="8.44140625" style="393" bestFit="1" customWidth="1"/>
    <col min="11779" max="11779" width="13.44140625" style="393" bestFit="1" customWidth="1"/>
    <col min="11780" max="11780" width="5.21875" style="393" bestFit="1" customWidth="1"/>
    <col min="11781" max="11782" width="10.44140625" style="393" customWidth="1"/>
    <col min="11783" max="11822" width="9.44140625" style="393" bestFit="1" customWidth="1"/>
    <col min="11823" max="12032" width="9.21875" style="393"/>
    <col min="12033" max="12033" width="10.21875" style="393" bestFit="1" customWidth="1"/>
    <col min="12034" max="12034" width="8.44140625" style="393" bestFit="1" customWidth="1"/>
    <col min="12035" max="12035" width="13.44140625" style="393" bestFit="1" customWidth="1"/>
    <col min="12036" max="12036" width="5.21875" style="393" bestFit="1" customWidth="1"/>
    <col min="12037" max="12038" width="10.44140625" style="393" customWidth="1"/>
    <col min="12039" max="12078" width="9.44140625" style="393" bestFit="1" customWidth="1"/>
    <col min="12079" max="12288" width="9.21875" style="393"/>
    <col min="12289" max="12289" width="10.21875" style="393" bestFit="1" customWidth="1"/>
    <col min="12290" max="12290" width="8.44140625" style="393" bestFit="1" customWidth="1"/>
    <col min="12291" max="12291" width="13.44140625" style="393" bestFit="1" customWidth="1"/>
    <col min="12292" max="12292" width="5.21875" style="393" bestFit="1" customWidth="1"/>
    <col min="12293" max="12294" width="10.44140625" style="393" customWidth="1"/>
    <col min="12295" max="12334" width="9.44140625" style="393" bestFit="1" customWidth="1"/>
    <col min="12335" max="12544" width="9.21875" style="393"/>
    <col min="12545" max="12545" width="10.21875" style="393" bestFit="1" customWidth="1"/>
    <col min="12546" max="12546" width="8.44140625" style="393" bestFit="1" customWidth="1"/>
    <col min="12547" max="12547" width="13.44140625" style="393" bestFit="1" customWidth="1"/>
    <col min="12548" max="12548" width="5.21875" style="393" bestFit="1" customWidth="1"/>
    <col min="12549" max="12550" width="10.44140625" style="393" customWidth="1"/>
    <col min="12551" max="12590" width="9.44140625" style="393" bestFit="1" customWidth="1"/>
    <col min="12591" max="12800" width="9.21875" style="393"/>
    <col min="12801" max="12801" width="10.21875" style="393" bestFit="1" customWidth="1"/>
    <col min="12802" max="12802" width="8.44140625" style="393" bestFit="1" customWidth="1"/>
    <col min="12803" max="12803" width="13.44140625" style="393" bestFit="1" customWidth="1"/>
    <col min="12804" max="12804" width="5.21875" style="393" bestFit="1" customWidth="1"/>
    <col min="12805" max="12806" width="10.44140625" style="393" customWidth="1"/>
    <col min="12807" max="12846" width="9.44140625" style="393" bestFit="1" customWidth="1"/>
    <col min="12847" max="13056" width="9.21875" style="393"/>
    <col min="13057" max="13057" width="10.21875" style="393" bestFit="1" customWidth="1"/>
    <col min="13058" max="13058" width="8.44140625" style="393" bestFit="1" customWidth="1"/>
    <col min="13059" max="13059" width="13.44140625" style="393" bestFit="1" customWidth="1"/>
    <col min="13060" max="13060" width="5.21875" style="393" bestFit="1" customWidth="1"/>
    <col min="13061" max="13062" width="10.44140625" style="393" customWidth="1"/>
    <col min="13063" max="13102" width="9.44140625" style="393" bestFit="1" customWidth="1"/>
    <col min="13103" max="13312" width="9.21875" style="393"/>
    <col min="13313" max="13313" width="10.21875" style="393" bestFit="1" customWidth="1"/>
    <col min="13314" max="13314" width="8.44140625" style="393" bestFit="1" customWidth="1"/>
    <col min="13315" max="13315" width="13.44140625" style="393" bestFit="1" customWidth="1"/>
    <col min="13316" max="13316" width="5.21875" style="393" bestFit="1" customWidth="1"/>
    <col min="13317" max="13318" width="10.44140625" style="393" customWidth="1"/>
    <col min="13319" max="13358" width="9.44140625" style="393" bestFit="1" customWidth="1"/>
    <col min="13359" max="13568" width="9.21875" style="393"/>
    <col min="13569" max="13569" width="10.21875" style="393" bestFit="1" customWidth="1"/>
    <col min="13570" max="13570" width="8.44140625" style="393" bestFit="1" customWidth="1"/>
    <col min="13571" max="13571" width="13.44140625" style="393" bestFit="1" customWidth="1"/>
    <col min="13572" max="13572" width="5.21875" style="393" bestFit="1" customWidth="1"/>
    <col min="13573" max="13574" width="10.44140625" style="393" customWidth="1"/>
    <col min="13575" max="13614" width="9.44140625" style="393" bestFit="1" customWidth="1"/>
    <col min="13615" max="13824" width="9.21875" style="393"/>
    <col min="13825" max="13825" width="10.21875" style="393" bestFit="1" customWidth="1"/>
    <col min="13826" max="13826" width="8.44140625" style="393" bestFit="1" customWidth="1"/>
    <col min="13827" max="13827" width="13.44140625" style="393" bestFit="1" customWidth="1"/>
    <col min="13828" max="13828" width="5.21875" style="393" bestFit="1" customWidth="1"/>
    <col min="13829" max="13830" width="10.44140625" style="393" customWidth="1"/>
    <col min="13831" max="13870" width="9.44140625" style="393" bestFit="1" customWidth="1"/>
    <col min="13871" max="14080" width="9.21875" style="393"/>
    <col min="14081" max="14081" width="10.21875" style="393" bestFit="1" customWidth="1"/>
    <col min="14082" max="14082" width="8.44140625" style="393" bestFit="1" customWidth="1"/>
    <col min="14083" max="14083" width="13.44140625" style="393" bestFit="1" customWidth="1"/>
    <col min="14084" max="14084" width="5.21875" style="393" bestFit="1" customWidth="1"/>
    <col min="14085" max="14086" width="10.44140625" style="393" customWidth="1"/>
    <col min="14087" max="14126" width="9.44140625" style="393" bestFit="1" customWidth="1"/>
    <col min="14127" max="14336" width="9.21875" style="393"/>
    <col min="14337" max="14337" width="10.21875" style="393" bestFit="1" customWidth="1"/>
    <col min="14338" max="14338" width="8.44140625" style="393" bestFit="1" customWidth="1"/>
    <col min="14339" max="14339" width="13.44140625" style="393" bestFit="1" customWidth="1"/>
    <col min="14340" max="14340" width="5.21875" style="393" bestFit="1" customWidth="1"/>
    <col min="14341" max="14342" width="10.44140625" style="393" customWidth="1"/>
    <col min="14343" max="14382" width="9.44140625" style="393" bestFit="1" customWidth="1"/>
    <col min="14383" max="14592" width="9.21875" style="393"/>
    <col min="14593" max="14593" width="10.21875" style="393" bestFit="1" customWidth="1"/>
    <col min="14594" max="14594" width="8.44140625" style="393" bestFit="1" customWidth="1"/>
    <col min="14595" max="14595" width="13.44140625" style="393" bestFit="1" customWidth="1"/>
    <col min="14596" max="14596" width="5.21875" style="393" bestFit="1" customWidth="1"/>
    <col min="14597" max="14598" width="10.44140625" style="393" customWidth="1"/>
    <col min="14599" max="14638" width="9.44140625" style="393" bestFit="1" customWidth="1"/>
    <col min="14639" max="14848" width="9.21875" style="393"/>
    <col min="14849" max="14849" width="10.21875" style="393" bestFit="1" customWidth="1"/>
    <col min="14850" max="14850" width="8.44140625" style="393" bestFit="1" customWidth="1"/>
    <col min="14851" max="14851" width="13.44140625" style="393" bestFit="1" customWidth="1"/>
    <col min="14852" max="14852" width="5.21875" style="393" bestFit="1" customWidth="1"/>
    <col min="14853" max="14854" width="10.44140625" style="393" customWidth="1"/>
    <col min="14855" max="14894" width="9.44140625" style="393" bestFit="1" customWidth="1"/>
    <col min="14895" max="15104" width="9.21875" style="393"/>
    <col min="15105" max="15105" width="10.21875" style="393" bestFit="1" customWidth="1"/>
    <col min="15106" max="15106" width="8.44140625" style="393" bestFit="1" customWidth="1"/>
    <col min="15107" max="15107" width="13.44140625" style="393" bestFit="1" customWidth="1"/>
    <col min="15108" max="15108" width="5.21875" style="393" bestFit="1" customWidth="1"/>
    <col min="15109" max="15110" width="10.44140625" style="393" customWidth="1"/>
    <col min="15111" max="15150" width="9.44140625" style="393" bestFit="1" customWidth="1"/>
    <col min="15151" max="15360" width="9.21875" style="393"/>
    <col min="15361" max="15361" width="10.21875" style="393" bestFit="1" customWidth="1"/>
    <col min="15362" max="15362" width="8.44140625" style="393" bestFit="1" customWidth="1"/>
    <col min="15363" max="15363" width="13.44140625" style="393" bestFit="1" customWidth="1"/>
    <col min="15364" max="15364" width="5.21875" style="393" bestFit="1" customWidth="1"/>
    <col min="15365" max="15366" width="10.44140625" style="393" customWidth="1"/>
    <col min="15367" max="15406" width="9.44140625" style="393" bestFit="1" customWidth="1"/>
    <col min="15407" max="15616" width="9.21875" style="393"/>
    <col min="15617" max="15617" width="10.21875" style="393" bestFit="1" customWidth="1"/>
    <col min="15618" max="15618" width="8.44140625" style="393" bestFit="1" customWidth="1"/>
    <col min="15619" max="15619" width="13.44140625" style="393" bestFit="1" customWidth="1"/>
    <col min="15620" max="15620" width="5.21875" style="393" bestFit="1" customWidth="1"/>
    <col min="15621" max="15622" width="10.44140625" style="393" customWidth="1"/>
    <col min="15623" max="15662" width="9.44140625" style="393" bestFit="1" customWidth="1"/>
    <col min="15663" max="15872" width="9.21875" style="393"/>
    <col min="15873" max="15873" width="10.21875" style="393" bestFit="1" customWidth="1"/>
    <col min="15874" max="15874" width="8.44140625" style="393" bestFit="1" customWidth="1"/>
    <col min="15875" max="15875" width="13.44140625" style="393" bestFit="1" customWidth="1"/>
    <col min="15876" max="15876" width="5.21875" style="393" bestFit="1" customWidth="1"/>
    <col min="15877" max="15878" width="10.44140625" style="393" customWidth="1"/>
    <col min="15879" max="15918" width="9.44140625" style="393" bestFit="1" customWidth="1"/>
    <col min="15919" max="16128" width="9.21875" style="393"/>
    <col min="16129" max="16129" width="10.21875" style="393" bestFit="1" customWidth="1"/>
    <col min="16130" max="16130" width="8.44140625" style="393" bestFit="1" customWidth="1"/>
    <col min="16131" max="16131" width="13.44140625" style="393" bestFit="1" customWidth="1"/>
    <col min="16132" max="16132" width="5.21875" style="393" bestFit="1" customWidth="1"/>
    <col min="16133" max="16134" width="10.44140625" style="393" customWidth="1"/>
    <col min="16135" max="16174" width="9.44140625" style="393" bestFit="1" customWidth="1"/>
    <col min="16175" max="16384" width="9.21875" style="393"/>
  </cols>
  <sheetData>
    <row r="3" spans="1:45">
      <c r="A3" s="394"/>
      <c r="B3" s="412"/>
      <c r="C3" s="415"/>
      <c r="D3" s="414" t="s">
        <v>573</v>
      </c>
      <c r="E3" s="413"/>
      <c r="F3" s="413"/>
      <c r="G3" s="412"/>
      <c r="H3" s="412"/>
      <c r="I3" s="412"/>
      <c r="J3" s="412"/>
      <c r="K3" s="412"/>
      <c r="L3" s="412"/>
      <c r="M3" s="412"/>
      <c r="N3" s="412"/>
      <c r="O3" s="412"/>
      <c r="P3" s="412"/>
      <c r="Q3" s="412"/>
      <c r="R3" s="412"/>
      <c r="S3" s="412"/>
      <c r="T3" s="412"/>
      <c r="U3" s="412"/>
      <c r="V3" s="412"/>
      <c r="W3" s="412"/>
      <c r="X3" s="412"/>
      <c r="Y3" s="412"/>
      <c r="Z3" s="412"/>
      <c r="AA3" s="412"/>
      <c r="AB3" s="412"/>
      <c r="AC3" s="412"/>
      <c r="AD3" s="412"/>
      <c r="AE3" s="412"/>
      <c r="AF3" s="412"/>
      <c r="AG3" s="412"/>
      <c r="AH3" s="412"/>
      <c r="AI3" s="412"/>
      <c r="AJ3" s="412"/>
      <c r="AK3" s="412"/>
      <c r="AL3" s="412"/>
      <c r="AM3" s="412"/>
      <c r="AN3" s="412"/>
      <c r="AO3" s="412"/>
      <c r="AP3" s="412"/>
      <c r="AQ3" s="412"/>
      <c r="AR3" s="412"/>
      <c r="AS3" s="412"/>
    </row>
    <row r="4" spans="1:45" ht="27.6">
      <c r="B4" s="411" t="s">
        <v>3</v>
      </c>
      <c r="C4" s="411" t="s">
        <v>205</v>
      </c>
      <c r="D4" s="411" t="s">
        <v>572</v>
      </c>
      <c r="E4" s="410">
        <v>2010</v>
      </c>
      <c r="F4" s="410">
        <v>2011</v>
      </c>
      <c r="G4" s="410">
        <v>2012</v>
      </c>
      <c r="H4" s="410">
        <v>2013</v>
      </c>
      <c r="I4" s="410">
        <v>2014</v>
      </c>
      <c r="J4" s="410">
        <v>2015</v>
      </c>
      <c r="K4" s="410">
        <v>2016</v>
      </c>
      <c r="L4" s="410">
        <v>2017</v>
      </c>
      <c r="M4" s="410">
        <v>2018</v>
      </c>
      <c r="N4" s="410">
        <v>2019</v>
      </c>
      <c r="O4" s="410">
        <v>2020</v>
      </c>
      <c r="P4" s="410">
        <v>2021</v>
      </c>
      <c r="Q4" s="410">
        <v>2022</v>
      </c>
      <c r="R4" s="410">
        <v>2023</v>
      </c>
      <c r="S4" s="410">
        <v>2024</v>
      </c>
      <c r="T4" s="410">
        <v>2025</v>
      </c>
      <c r="U4" s="410">
        <v>2026</v>
      </c>
      <c r="V4" s="410">
        <v>2027</v>
      </c>
      <c r="W4" s="410">
        <v>2028</v>
      </c>
      <c r="X4" s="410">
        <v>2029</v>
      </c>
      <c r="Y4" s="410">
        <v>2030</v>
      </c>
      <c r="Z4" s="410">
        <v>2031</v>
      </c>
      <c r="AA4" s="410">
        <v>2032</v>
      </c>
      <c r="AB4" s="410">
        <v>2033</v>
      </c>
      <c r="AC4" s="410">
        <v>2034</v>
      </c>
      <c r="AD4" s="410">
        <v>2035</v>
      </c>
      <c r="AE4" s="410">
        <v>2036</v>
      </c>
      <c r="AF4" s="410">
        <v>2037</v>
      </c>
      <c r="AG4" s="410">
        <v>2038</v>
      </c>
      <c r="AH4" s="410">
        <v>2039</v>
      </c>
      <c r="AI4" s="410">
        <v>2040</v>
      </c>
      <c r="AJ4" s="410">
        <v>2041</v>
      </c>
      <c r="AK4" s="410">
        <v>2042</v>
      </c>
      <c r="AL4" s="410">
        <v>2043</v>
      </c>
      <c r="AM4" s="410">
        <v>2044</v>
      </c>
      <c r="AN4" s="410">
        <v>2045</v>
      </c>
      <c r="AO4" s="410">
        <v>2046</v>
      </c>
      <c r="AP4" s="410">
        <v>2047</v>
      </c>
      <c r="AQ4" s="410">
        <v>2048</v>
      </c>
      <c r="AR4" s="410">
        <v>2049</v>
      </c>
      <c r="AS4" s="410">
        <v>2050</v>
      </c>
    </row>
    <row r="5" spans="1:45" ht="21" thickBot="1">
      <c r="B5" s="421" t="s">
        <v>571</v>
      </c>
      <c r="C5" s="420" t="s">
        <v>207</v>
      </c>
      <c r="D5" s="420"/>
      <c r="E5" s="419" t="s">
        <v>594</v>
      </c>
      <c r="F5" s="419" t="s">
        <v>594</v>
      </c>
      <c r="G5" s="419" t="s">
        <v>594</v>
      </c>
      <c r="H5" s="419" t="s">
        <v>594</v>
      </c>
      <c r="I5" s="419" t="s">
        <v>594</v>
      </c>
      <c r="J5" s="419" t="s">
        <v>594</v>
      </c>
      <c r="K5" s="419" t="s">
        <v>594</v>
      </c>
      <c r="L5" s="419" t="s">
        <v>594</v>
      </c>
      <c r="M5" s="419" t="s">
        <v>594</v>
      </c>
      <c r="N5" s="419" t="s">
        <v>594</v>
      </c>
      <c r="O5" s="419" t="s">
        <v>594</v>
      </c>
      <c r="P5" s="419" t="s">
        <v>594</v>
      </c>
      <c r="Q5" s="419" t="s">
        <v>594</v>
      </c>
      <c r="R5" s="419" t="s">
        <v>594</v>
      </c>
      <c r="S5" s="419" t="s">
        <v>594</v>
      </c>
      <c r="T5" s="419" t="s">
        <v>594</v>
      </c>
      <c r="U5" s="419" t="s">
        <v>594</v>
      </c>
      <c r="V5" s="419" t="s">
        <v>594</v>
      </c>
      <c r="W5" s="419" t="s">
        <v>594</v>
      </c>
      <c r="X5" s="419" t="s">
        <v>594</v>
      </c>
      <c r="Y5" s="419" t="s">
        <v>594</v>
      </c>
      <c r="Z5" s="419" t="s">
        <v>594</v>
      </c>
      <c r="AA5" s="419" t="s">
        <v>594</v>
      </c>
      <c r="AB5" s="419" t="s">
        <v>594</v>
      </c>
      <c r="AC5" s="419" t="s">
        <v>594</v>
      </c>
      <c r="AD5" s="419" t="s">
        <v>594</v>
      </c>
      <c r="AE5" s="419" t="s">
        <v>594</v>
      </c>
      <c r="AF5" s="419" t="s">
        <v>594</v>
      </c>
      <c r="AG5" s="419" t="s">
        <v>594</v>
      </c>
      <c r="AH5" s="419" t="s">
        <v>594</v>
      </c>
      <c r="AI5" s="419" t="s">
        <v>594</v>
      </c>
      <c r="AJ5" s="419" t="s">
        <v>594</v>
      </c>
      <c r="AK5" s="419" t="s">
        <v>594</v>
      </c>
      <c r="AL5" s="419" t="s">
        <v>594</v>
      </c>
      <c r="AM5" s="419" t="s">
        <v>594</v>
      </c>
      <c r="AN5" s="419" t="s">
        <v>594</v>
      </c>
      <c r="AO5" s="419" t="s">
        <v>594</v>
      </c>
      <c r="AP5" s="419" t="s">
        <v>594</v>
      </c>
      <c r="AQ5" s="419" t="s">
        <v>594</v>
      </c>
      <c r="AR5" s="419" t="s">
        <v>594</v>
      </c>
      <c r="AS5" s="419" t="s">
        <v>594</v>
      </c>
    </row>
    <row r="6" spans="1:45">
      <c r="B6" s="416" t="s">
        <v>340</v>
      </c>
      <c r="C6" s="418" t="s">
        <v>206</v>
      </c>
      <c r="D6" s="416" t="s">
        <v>570</v>
      </c>
      <c r="E6" s="417">
        <f>E11/1000</f>
        <v>0.12956999999999999</v>
      </c>
      <c r="F6" s="417">
        <f t="shared" ref="F6:AS6" si="0">F11/1000</f>
        <v>0.11647</v>
      </c>
      <c r="G6" s="417">
        <f t="shared" si="0"/>
        <v>6.2899999999999998E-2</v>
      </c>
      <c r="H6" s="417">
        <f t="shared" si="0"/>
        <v>3.49E-2</v>
      </c>
      <c r="I6" s="417">
        <f t="shared" si="0"/>
        <v>4.4400000000000002E-2</v>
      </c>
      <c r="J6" s="417">
        <f t="shared" si="0"/>
        <v>5.5600000000000004E-2</v>
      </c>
      <c r="K6" s="417">
        <f t="shared" si="0"/>
        <v>3.9340524000000002E-2</v>
      </c>
      <c r="L6" s="417">
        <f t="shared" si="0"/>
        <v>4.0423484119345515E-2</v>
      </c>
      <c r="M6" s="417">
        <f t="shared" si="0"/>
        <v>4.1385948026948984E-2</v>
      </c>
      <c r="N6" s="417">
        <f t="shared" si="0"/>
        <v>0.19574638834999999</v>
      </c>
      <c r="O6" s="417">
        <f t="shared" si="0"/>
        <v>0.21442575100000003</v>
      </c>
      <c r="P6" s="417">
        <f t="shared" si="0"/>
        <v>0.25416623663429561</v>
      </c>
      <c r="Q6" s="417">
        <f t="shared" si="0"/>
        <v>0.26172203669931476</v>
      </c>
      <c r="R6" s="417">
        <f t="shared" si="0"/>
        <v>0.26950235137821066</v>
      </c>
      <c r="S6" s="417">
        <f t="shared" si="0"/>
        <v>0.27751395555810943</v>
      </c>
      <c r="T6" s="417">
        <f t="shared" si="0"/>
        <v>0.28576379564226695</v>
      </c>
      <c r="U6" s="417">
        <f t="shared" si="0"/>
        <v>0.29425881803393916</v>
      </c>
      <c r="V6" s="417">
        <f t="shared" si="0"/>
        <v>0.30300639792670647</v>
      </c>
      <c r="W6" s="417">
        <f t="shared" si="0"/>
        <v>0.31201399627221399</v>
      </c>
      <c r="X6" s="417">
        <f t="shared" si="0"/>
        <v>0.3212894170543667</v>
      </c>
      <c r="Y6" s="417">
        <f t="shared" si="0"/>
        <v>0.33084055001513429</v>
      </c>
      <c r="Z6" s="417">
        <f t="shared" si="0"/>
        <v>0.33084055001513429</v>
      </c>
      <c r="AA6" s="417">
        <f t="shared" si="0"/>
        <v>0.33084055001513429</v>
      </c>
      <c r="AB6" s="417">
        <f t="shared" si="0"/>
        <v>0.33084055001513429</v>
      </c>
      <c r="AC6" s="417">
        <f t="shared" si="0"/>
        <v>0.33084055001513429</v>
      </c>
      <c r="AD6" s="417">
        <f t="shared" si="0"/>
        <v>0.33274508650000001</v>
      </c>
      <c r="AE6" s="417">
        <f t="shared" si="0"/>
        <v>0.3426367495</v>
      </c>
      <c r="AF6" s="417">
        <f t="shared" si="0"/>
        <v>0.35282246399999995</v>
      </c>
      <c r="AG6" s="417">
        <f t="shared" si="0"/>
        <v>0.36331102099999996</v>
      </c>
      <c r="AH6" s="417">
        <f t="shared" si="0"/>
        <v>0.37411136049999999</v>
      </c>
      <c r="AI6" s="417">
        <f t="shared" si="0"/>
        <v>0.38523279500000002</v>
      </c>
      <c r="AJ6" s="417">
        <f t="shared" si="0"/>
        <v>0.39416080050000002</v>
      </c>
      <c r="AK6" s="417">
        <f t="shared" si="0"/>
        <v>0.40308880599999997</v>
      </c>
      <c r="AL6" s="417">
        <f t="shared" si="0"/>
        <v>0.41201681149999997</v>
      </c>
      <c r="AM6" s="417">
        <f t="shared" si="0"/>
        <v>0.42094481699999997</v>
      </c>
      <c r="AN6" s="417">
        <f t="shared" si="0"/>
        <v>0.42987282249999992</v>
      </c>
      <c r="AO6" s="417">
        <f t="shared" si="0"/>
        <v>0.43880082799999992</v>
      </c>
      <c r="AP6" s="417">
        <f t="shared" si="0"/>
        <v>0.44772883349999987</v>
      </c>
      <c r="AQ6" s="417">
        <f t="shared" si="0"/>
        <v>0.45665683899999987</v>
      </c>
      <c r="AR6" s="417">
        <f t="shared" si="0"/>
        <v>0.46558484449999987</v>
      </c>
      <c r="AS6" s="417">
        <f t="shared" si="0"/>
        <v>0.47451284999999982</v>
      </c>
    </row>
    <row r="7" spans="1:45">
      <c r="B7" s="416" t="s">
        <v>338</v>
      </c>
      <c r="C7" s="418" t="s">
        <v>206</v>
      </c>
      <c r="D7" s="416" t="s">
        <v>570</v>
      </c>
      <c r="E7" s="417">
        <f>E24/1000</f>
        <v>0.16369999999999998</v>
      </c>
      <c r="F7" s="417">
        <f t="shared" ref="F7:AS7" si="1">F24/1000</f>
        <v>0.16569999999999999</v>
      </c>
      <c r="G7" s="417">
        <f t="shared" si="1"/>
        <v>0.1648</v>
      </c>
      <c r="H7" s="417">
        <f t="shared" si="1"/>
        <v>0.16500000000000001</v>
      </c>
      <c r="I7" s="417">
        <f t="shared" si="1"/>
        <v>0.16689999999999999</v>
      </c>
      <c r="J7" s="417">
        <f t="shared" si="1"/>
        <v>0.16819999999999999</v>
      </c>
      <c r="K7" s="417">
        <f t="shared" si="1"/>
        <v>0.1677346232179226</v>
      </c>
      <c r="L7" s="417">
        <f t="shared" si="1"/>
        <v>0.1677346232179226</v>
      </c>
      <c r="M7" s="417">
        <f t="shared" si="1"/>
        <v>0.1677346232179226</v>
      </c>
      <c r="N7" s="417">
        <f t="shared" si="1"/>
        <v>0.19574638834999999</v>
      </c>
      <c r="O7" s="417">
        <f t="shared" si="1"/>
        <v>0.21442575100000003</v>
      </c>
      <c r="P7" s="417">
        <f t="shared" si="1"/>
        <v>0.22080004550000001</v>
      </c>
      <c r="Q7" s="417">
        <f t="shared" si="1"/>
        <v>0.2273639425</v>
      </c>
      <c r="R7" s="417">
        <f t="shared" si="1"/>
        <v>0.23412288050000002</v>
      </c>
      <c r="S7" s="417">
        <f t="shared" si="1"/>
        <v>0.24108274500000001</v>
      </c>
      <c r="T7" s="417">
        <f t="shared" si="1"/>
        <v>0.24824957050000004</v>
      </c>
      <c r="U7" s="417">
        <f t="shared" si="1"/>
        <v>0.25562939149999997</v>
      </c>
      <c r="V7" s="417">
        <f t="shared" si="1"/>
        <v>0.26322861500000005</v>
      </c>
      <c r="W7" s="417">
        <f t="shared" si="1"/>
        <v>0.27105372249999998</v>
      </c>
      <c r="X7" s="417">
        <f t="shared" si="1"/>
        <v>0.27911149349999997</v>
      </c>
      <c r="Y7" s="417">
        <f t="shared" si="1"/>
        <v>0.28740878200000003</v>
      </c>
      <c r="Z7" s="417">
        <f t="shared" si="1"/>
        <v>0.29595273999999999</v>
      </c>
      <c r="AA7" s="417">
        <f t="shared" si="1"/>
        <v>0.30475066849999999</v>
      </c>
      <c r="AB7" s="417">
        <f t="shared" si="1"/>
        <v>0.31381016649999999</v>
      </c>
      <c r="AC7" s="417">
        <f t="shared" si="1"/>
        <v>0.32313898200000007</v>
      </c>
      <c r="AD7" s="417">
        <f t="shared" si="1"/>
        <v>0.33274508650000001</v>
      </c>
      <c r="AE7" s="417">
        <f t="shared" si="1"/>
        <v>0.3426367495</v>
      </c>
      <c r="AF7" s="417">
        <f t="shared" si="1"/>
        <v>0.35282246399999995</v>
      </c>
      <c r="AG7" s="417">
        <f t="shared" si="1"/>
        <v>0.36331102099999996</v>
      </c>
      <c r="AH7" s="417">
        <f t="shared" si="1"/>
        <v>0.37411136049999999</v>
      </c>
      <c r="AI7" s="417">
        <f t="shared" si="1"/>
        <v>0.38523279500000002</v>
      </c>
      <c r="AJ7" s="417">
        <f t="shared" si="1"/>
        <v>0.39416080050000002</v>
      </c>
      <c r="AK7" s="417">
        <f t="shared" si="1"/>
        <v>0.40308880599999997</v>
      </c>
      <c r="AL7" s="417">
        <f t="shared" si="1"/>
        <v>0.41201681149999997</v>
      </c>
      <c r="AM7" s="417">
        <f t="shared" si="1"/>
        <v>0.42094481699999997</v>
      </c>
      <c r="AN7" s="417">
        <f t="shared" si="1"/>
        <v>0.42987282249999992</v>
      </c>
      <c r="AO7" s="417">
        <f t="shared" si="1"/>
        <v>0.43880082799999992</v>
      </c>
      <c r="AP7" s="417">
        <f t="shared" si="1"/>
        <v>0.44772883349999987</v>
      </c>
      <c r="AQ7" s="417">
        <f t="shared" si="1"/>
        <v>0.45665683899999987</v>
      </c>
      <c r="AR7" s="417">
        <f t="shared" si="1"/>
        <v>0.46558484449999987</v>
      </c>
      <c r="AS7" s="417">
        <f t="shared" si="1"/>
        <v>0.47451284999999982</v>
      </c>
    </row>
    <row r="8" spans="1:45">
      <c r="B8" s="404"/>
      <c r="C8" s="404"/>
      <c r="D8" s="404"/>
      <c r="E8" s="404"/>
      <c r="F8" s="404"/>
      <c r="G8" s="404"/>
      <c r="H8" s="404"/>
      <c r="I8" s="404"/>
      <c r="J8" s="404"/>
      <c r="K8" s="404"/>
      <c r="L8" s="404"/>
      <c r="M8" s="404"/>
      <c r="N8" s="404"/>
      <c r="O8" s="404"/>
      <c r="P8" s="404"/>
      <c r="Q8" s="404"/>
      <c r="R8" s="404"/>
      <c r="S8" s="404"/>
      <c r="T8" s="404"/>
      <c r="U8" s="404"/>
      <c r="V8" s="404"/>
      <c r="W8" s="404"/>
      <c r="X8" s="404"/>
      <c r="Y8" s="404"/>
      <c r="Z8" s="404"/>
      <c r="AA8" s="404"/>
      <c r="AB8" s="404"/>
      <c r="AC8" s="404"/>
      <c r="AD8" s="404"/>
      <c r="AE8" s="404"/>
      <c r="AF8" s="404"/>
      <c r="AG8" s="404"/>
      <c r="AH8" s="404"/>
      <c r="AI8" s="404"/>
      <c r="AJ8" s="404"/>
      <c r="AK8" s="404"/>
      <c r="AL8" s="404"/>
      <c r="AM8" s="404"/>
      <c r="AN8" s="404"/>
      <c r="AO8" s="404"/>
      <c r="AP8" s="404"/>
      <c r="AQ8" s="404"/>
      <c r="AR8" s="404"/>
      <c r="AS8" s="404"/>
    </row>
    <row r="9" spans="1:45" ht="15" thickBot="1">
      <c r="B9" s="404"/>
      <c r="C9" s="404"/>
      <c r="D9" s="404"/>
      <c r="E9" s="404"/>
      <c r="F9" s="404"/>
      <c r="G9" s="404"/>
      <c r="H9" s="404"/>
      <c r="I9" s="404"/>
      <c r="J9" s="404"/>
      <c r="K9" s="404"/>
      <c r="L9" s="404"/>
      <c r="M9" s="404"/>
      <c r="N9" s="404"/>
      <c r="O9" s="404"/>
      <c r="P9" s="404"/>
      <c r="Q9" s="404"/>
      <c r="R9" s="404"/>
      <c r="S9" s="404"/>
      <c r="T9" s="404"/>
      <c r="U9" s="404"/>
      <c r="V9" s="404"/>
      <c r="W9" s="404"/>
      <c r="X9" s="404"/>
      <c r="Y9" s="404"/>
      <c r="Z9" s="404"/>
      <c r="AA9" s="404"/>
      <c r="AB9" s="404"/>
      <c r="AC9" s="404"/>
      <c r="AD9" s="404"/>
      <c r="AE9" s="404"/>
      <c r="AF9" s="404"/>
      <c r="AG9" s="404"/>
      <c r="AH9" s="404"/>
      <c r="AI9" s="404"/>
      <c r="AJ9" s="404"/>
      <c r="AK9" s="404"/>
      <c r="AL9" s="404"/>
      <c r="AM9" s="404"/>
      <c r="AN9" s="404"/>
      <c r="AO9" s="404"/>
      <c r="AP9" s="404"/>
      <c r="AQ9" s="404"/>
      <c r="AR9" s="404"/>
      <c r="AS9" s="404"/>
    </row>
    <row r="10" spans="1:45">
      <c r="B10" s="492" t="s">
        <v>609</v>
      </c>
      <c r="C10" s="493"/>
      <c r="D10" s="494"/>
      <c r="E10" s="495">
        <v>2010</v>
      </c>
      <c r="F10" s="495">
        <v>2011</v>
      </c>
      <c r="G10" s="495">
        <v>2012</v>
      </c>
      <c r="H10" s="495">
        <v>2013</v>
      </c>
      <c r="I10" s="495">
        <v>2014</v>
      </c>
      <c r="J10" s="495">
        <v>2015</v>
      </c>
      <c r="K10" s="495">
        <v>2016</v>
      </c>
      <c r="L10" s="495">
        <v>2017</v>
      </c>
      <c r="M10" s="495">
        <v>2018</v>
      </c>
      <c r="N10" s="495">
        <v>2019</v>
      </c>
      <c r="O10" s="495">
        <v>2020</v>
      </c>
      <c r="P10" s="495">
        <v>2021</v>
      </c>
      <c r="Q10" s="495">
        <v>2022</v>
      </c>
      <c r="R10" s="495">
        <v>2023</v>
      </c>
      <c r="S10" s="495">
        <v>2024</v>
      </c>
      <c r="T10" s="495">
        <v>2025</v>
      </c>
      <c r="U10" s="495">
        <v>2026</v>
      </c>
      <c r="V10" s="495">
        <v>2027</v>
      </c>
      <c r="W10" s="495">
        <v>2028</v>
      </c>
      <c r="X10" s="495">
        <v>2029</v>
      </c>
      <c r="Y10" s="495">
        <v>2030</v>
      </c>
      <c r="Z10" s="495">
        <v>2031</v>
      </c>
      <c r="AA10" s="495">
        <v>2032</v>
      </c>
      <c r="AB10" s="495">
        <v>2033</v>
      </c>
      <c r="AC10" s="495">
        <v>2034</v>
      </c>
      <c r="AD10" s="495">
        <v>2035</v>
      </c>
      <c r="AE10" s="495">
        <v>2036</v>
      </c>
      <c r="AF10" s="495">
        <v>2037</v>
      </c>
      <c r="AG10" s="495">
        <v>2038</v>
      </c>
      <c r="AH10" s="495">
        <v>2039</v>
      </c>
      <c r="AI10" s="495">
        <v>2040</v>
      </c>
      <c r="AJ10" s="495">
        <v>2041</v>
      </c>
      <c r="AK10" s="495">
        <v>2042</v>
      </c>
      <c r="AL10" s="495">
        <v>2043</v>
      </c>
      <c r="AM10" s="495">
        <v>2044</v>
      </c>
      <c r="AN10" s="495">
        <v>2045</v>
      </c>
      <c r="AO10" s="495">
        <v>2046</v>
      </c>
      <c r="AP10" s="495">
        <v>2047</v>
      </c>
      <c r="AQ10" s="495">
        <v>2048</v>
      </c>
      <c r="AR10" s="495">
        <v>2049</v>
      </c>
      <c r="AS10" s="496">
        <v>2050</v>
      </c>
    </row>
    <row r="11" spans="1:45">
      <c r="B11" s="497" t="s">
        <v>610</v>
      </c>
      <c r="C11" s="498"/>
      <c r="D11" s="498"/>
      <c r="E11" s="498">
        <v>129.57</v>
      </c>
      <c r="F11" s="498">
        <v>116.47</v>
      </c>
      <c r="G11" s="498">
        <v>62.9</v>
      </c>
      <c r="H11" s="498">
        <v>34.9</v>
      </c>
      <c r="I11" s="498">
        <v>44.4</v>
      </c>
      <c r="J11" s="498">
        <v>55.6</v>
      </c>
      <c r="K11" s="498">
        <v>39.340524000000002</v>
      </c>
      <c r="L11" s="499">
        <f>L32</f>
        <v>40.423484119345517</v>
      </c>
      <c r="M11" s="499">
        <f t="shared" ref="M11" si="2">M32</f>
        <v>41.385948026948981</v>
      </c>
      <c r="N11" s="584">
        <v>195.74638834999999</v>
      </c>
      <c r="O11" s="584">
        <v>214.42575100000002</v>
      </c>
      <c r="P11" s="584">
        <v>254.16623663429559</v>
      </c>
      <c r="Q11" s="584">
        <v>261.72203669931474</v>
      </c>
      <c r="R11" s="584">
        <v>269.50235137821068</v>
      </c>
      <c r="S11" s="584">
        <v>277.51395555810944</v>
      </c>
      <c r="T11" s="584">
        <v>285.76379564226693</v>
      </c>
      <c r="U11" s="584">
        <v>294.25881803393918</v>
      </c>
      <c r="V11" s="584">
        <v>303.00639792670648</v>
      </c>
      <c r="W11" s="584">
        <v>312.013996272214</v>
      </c>
      <c r="X11" s="584">
        <v>321.28941705436671</v>
      </c>
      <c r="Y11" s="584">
        <v>330.84055001513428</v>
      </c>
      <c r="Z11" s="584">
        <v>330.84055001513428</v>
      </c>
      <c r="AA11" s="584">
        <v>330.84055001513428</v>
      </c>
      <c r="AB11" s="584">
        <v>330.84055001513428</v>
      </c>
      <c r="AC11" s="584">
        <v>330.84055001513428</v>
      </c>
      <c r="AD11" s="584">
        <v>332.74508650000001</v>
      </c>
      <c r="AE11" s="584">
        <v>342.63674950000001</v>
      </c>
      <c r="AF11" s="584">
        <v>352.82246399999997</v>
      </c>
      <c r="AG11" s="584">
        <v>363.31102099999998</v>
      </c>
      <c r="AH11" s="584">
        <v>374.11136049999999</v>
      </c>
      <c r="AI11" s="583">
        <v>385.23279500000001</v>
      </c>
      <c r="AJ11" s="583">
        <f>($AI$24-$Z$24)/10+AI11</f>
        <v>394.16080049999999</v>
      </c>
      <c r="AK11" s="583">
        <f t="shared" ref="AK11:AS11" si="3">($AI$24-$Z$24)/10+AJ11</f>
        <v>403.08880599999998</v>
      </c>
      <c r="AL11" s="583">
        <f t="shared" si="3"/>
        <v>412.01681149999996</v>
      </c>
      <c r="AM11" s="583">
        <f t="shared" si="3"/>
        <v>420.94481699999994</v>
      </c>
      <c r="AN11" s="583">
        <f t="shared" si="3"/>
        <v>429.87282249999993</v>
      </c>
      <c r="AO11" s="583">
        <f t="shared" si="3"/>
        <v>438.80082799999991</v>
      </c>
      <c r="AP11" s="583">
        <f t="shared" si="3"/>
        <v>447.72883349999989</v>
      </c>
      <c r="AQ11" s="583">
        <f t="shared" si="3"/>
        <v>456.65683899999988</v>
      </c>
      <c r="AR11" s="583">
        <f t="shared" si="3"/>
        <v>465.58484449999986</v>
      </c>
      <c r="AS11" s="583">
        <f t="shared" si="3"/>
        <v>474.51284999999984</v>
      </c>
    </row>
    <row r="12" spans="1:45">
      <c r="B12" s="500" t="s">
        <v>711</v>
      </c>
      <c r="C12" s="501"/>
      <c r="D12" s="501"/>
      <c r="E12" s="501"/>
      <c r="F12" s="501"/>
      <c r="G12" s="501"/>
      <c r="H12" s="501"/>
      <c r="I12" s="501"/>
      <c r="J12" s="501"/>
      <c r="K12" s="501"/>
      <c r="L12" s="501"/>
      <c r="M12" s="501"/>
      <c r="N12" s="501"/>
      <c r="O12" s="501"/>
      <c r="P12" s="501"/>
      <c r="Q12" s="501"/>
      <c r="R12" s="501"/>
      <c r="S12" s="501"/>
      <c r="T12" s="501"/>
      <c r="U12" s="501"/>
      <c r="V12" s="501"/>
      <c r="W12" s="501"/>
      <c r="X12" s="501"/>
      <c r="Y12" s="501"/>
      <c r="Z12" s="501"/>
      <c r="AA12" s="501"/>
      <c r="AB12" s="501"/>
      <c r="AC12" s="501"/>
      <c r="AD12" s="501"/>
      <c r="AE12" s="501"/>
      <c r="AF12" s="501"/>
      <c r="AG12" s="501"/>
      <c r="AH12" s="501"/>
      <c r="AI12" s="501"/>
      <c r="AJ12" s="501"/>
      <c r="AK12" s="501"/>
      <c r="AL12" s="501"/>
      <c r="AM12" s="501"/>
      <c r="AN12" s="501"/>
      <c r="AO12" s="501"/>
      <c r="AP12" s="501"/>
      <c r="AQ12" s="501"/>
      <c r="AR12" s="501"/>
      <c r="AS12" s="501"/>
    </row>
    <row r="13" spans="1:45">
      <c r="B13" s="502" t="s">
        <v>712</v>
      </c>
      <c r="C13" s="501"/>
      <c r="D13" s="501"/>
      <c r="E13" s="501"/>
      <c r="F13" s="501"/>
      <c r="G13" s="501"/>
      <c r="H13" s="501"/>
      <c r="I13" s="501"/>
      <c r="J13" s="501"/>
      <c r="K13" s="501"/>
      <c r="L13" s="501"/>
      <c r="M13" s="501"/>
      <c r="N13" s="501"/>
      <c r="O13" s="503"/>
      <c r="P13" s="501"/>
      <c r="Q13" s="501"/>
      <c r="R13" s="501"/>
      <c r="S13" s="501"/>
      <c r="T13" s="501"/>
      <c r="U13" s="501"/>
      <c r="V13" s="501"/>
      <c r="W13" s="501"/>
      <c r="X13" s="501"/>
      <c r="Y13" s="501"/>
      <c r="Z13" s="501"/>
      <c r="AA13" s="501"/>
      <c r="AB13" s="501"/>
      <c r="AC13" s="501"/>
      <c r="AD13" s="501"/>
      <c r="AE13" s="501"/>
      <c r="AF13" s="501"/>
      <c r="AG13" s="501"/>
      <c r="AH13" s="501"/>
      <c r="AI13" s="501"/>
      <c r="AJ13" s="501"/>
      <c r="AK13" s="501"/>
      <c r="AL13" s="501"/>
      <c r="AM13" s="501"/>
      <c r="AN13" s="501"/>
      <c r="AO13" s="501"/>
      <c r="AP13" s="501"/>
      <c r="AQ13" s="501"/>
      <c r="AR13" s="501"/>
      <c r="AS13" s="501"/>
    </row>
    <row r="14" spans="1:45">
      <c r="B14" s="502"/>
      <c r="C14" s="501"/>
      <c r="D14" s="501"/>
      <c r="E14" s="501"/>
      <c r="F14" s="501"/>
      <c r="G14" s="501"/>
      <c r="H14" s="501"/>
      <c r="I14" s="501"/>
      <c r="J14" s="501"/>
      <c r="K14" s="501"/>
      <c r="L14" s="501"/>
      <c r="M14" s="501"/>
      <c r="N14" s="501"/>
      <c r="O14" s="501"/>
      <c r="P14" s="501"/>
      <c r="Q14" s="501"/>
      <c r="R14" s="501"/>
      <c r="S14" s="501"/>
      <c r="T14" s="501"/>
      <c r="U14" s="501"/>
      <c r="V14" s="501"/>
      <c r="W14" s="501"/>
      <c r="X14" s="501"/>
      <c r="Y14" s="501"/>
      <c r="Z14" s="501"/>
      <c r="AA14" s="501"/>
      <c r="AB14" s="501"/>
      <c r="AC14" s="501"/>
      <c r="AD14" s="501"/>
      <c r="AE14" s="501"/>
      <c r="AF14" s="501"/>
      <c r="AG14" s="501"/>
      <c r="AH14" s="501"/>
      <c r="AI14" s="501"/>
      <c r="AJ14" s="501"/>
      <c r="AK14" s="501"/>
      <c r="AL14" s="501"/>
      <c r="AM14" s="501"/>
      <c r="AN14" s="501"/>
      <c r="AO14" s="501"/>
      <c r="AP14" s="501"/>
      <c r="AQ14" s="501"/>
      <c r="AR14" s="501"/>
      <c r="AS14" s="504"/>
    </row>
    <row r="15" spans="1:45" ht="15" thickBot="1">
      <c r="B15" s="505"/>
      <c r="C15" s="506"/>
      <c r="D15" s="506"/>
      <c r="E15" s="506"/>
      <c r="F15" s="506"/>
      <c r="G15" s="506"/>
      <c r="H15" s="506"/>
      <c r="I15" s="506"/>
      <c r="J15" s="506"/>
      <c r="K15" s="506"/>
      <c r="L15" s="506"/>
      <c r="M15" s="506"/>
      <c r="N15" s="506"/>
      <c r="O15" s="506"/>
      <c r="P15" s="506"/>
      <c r="Q15" s="506"/>
      <c r="R15" s="506"/>
      <c r="S15" s="506"/>
      <c r="T15" s="506"/>
      <c r="U15" s="506"/>
      <c r="V15" s="506"/>
      <c r="W15" s="506"/>
      <c r="X15" s="506"/>
      <c r="Y15" s="506"/>
      <c r="Z15" s="506"/>
      <c r="AA15" s="506"/>
      <c r="AB15" s="506"/>
      <c r="AC15" s="506"/>
      <c r="AD15" s="506"/>
      <c r="AE15" s="506"/>
      <c r="AF15" s="506"/>
      <c r="AG15" s="506"/>
      <c r="AH15" s="506"/>
      <c r="AI15" s="506"/>
      <c r="AJ15" s="506"/>
      <c r="AK15" s="506"/>
      <c r="AL15" s="506"/>
      <c r="AM15" s="506"/>
      <c r="AN15" s="506"/>
      <c r="AO15" s="506"/>
      <c r="AP15" s="506"/>
      <c r="AQ15" s="506"/>
      <c r="AR15" s="506"/>
      <c r="AS15" s="507"/>
    </row>
    <row r="16" spans="1:45" ht="15" thickBot="1">
      <c r="B16" s="404"/>
      <c r="C16" s="404"/>
      <c r="D16" s="404"/>
      <c r="E16" s="404"/>
      <c r="F16" s="404"/>
      <c r="G16" s="404"/>
      <c r="H16" s="404"/>
      <c r="I16" s="404"/>
      <c r="J16" s="404"/>
      <c r="K16" s="404"/>
      <c r="L16" s="404"/>
      <c r="M16" s="404"/>
      <c r="N16" s="404"/>
      <c r="O16" s="404"/>
      <c r="P16" s="404"/>
      <c r="Q16" s="404"/>
      <c r="R16" s="404"/>
      <c r="S16" s="404"/>
      <c r="T16" s="404"/>
      <c r="U16" s="404"/>
      <c r="V16" s="404"/>
      <c r="W16" s="404"/>
      <c r="X16" s="404"/>
      <c r="Y16" s="404"/>
      <c r="Z16" s="404"/>
      <c r="AA16" s="404"/>
      <c r="AB16" s="404"/>
      <c r="AC16" s="404"/>
      <c r="AD16" s="404"/>
      <c r="AE16" s="404"/>
      <c r="AF16" s="404"/>
      <c r="AG16" s="404"/>
      <c r="AH16" s="404"/>
      <c r="AI16" s="404"/>
      <c r="AJ16" s="404"/>
      <c r="AK16" s="404"/>
      <c r="AL16" s="404"/>
      <c r="AM16" s="404"/>
      <c r="AN16" s="404"/>
      <c r="AO16" s="404"/>
      <c r="AP16" s="404"/>
      <c r="AQ16" s="404"/>
      <c r="AR16" s="404"/>
      <c r="AS16" s="404"/>
    </row>
    <row r="17" spans="2:45">
      <c r="B17" s="435" t="s">
        <v>611</v>
      </c>
      <c r="C17" s="423" t="s">
        <v>612</v>
      </c>
      <c r="D17" s="423"/>
      <c r="E17" s="423"/>
      <c r="F17" s="423"/>
      <c r="G17" s="434"/>
      <c r="H17" s="434"/>
      <c r="I17" s="434"/>
      <c r="J17" s="434"/>
      <c r="K17" s="434"/>
      <c r="L17" s="434"/>
      <c r="M17" s="434"/>
      <c r="N17" s="434"/>
      <c r="O17" s="434"/>
      <c r="P17" s="434"/>
      <c r="Q17" s="434"/>
      <c r="R17" s="434"/>
      <c r="S17" s="434"/>
      <c r="T17" s="434"/>
      <c r="U17" s="434"/>
      <c r="V17" s="434"/>
      <c r="W17" s="434"/>
      <c r="X17" s="434"/>
      <c r="Y17" s="434"/>
      <c r="Z17" s="434"/>
      <c r="AA17" s="434"/>
      <c r="AB17" s="434"/>
      <c r="AC17" s="434"/>
      <c r="AD17" s="434"/>
      <c r="AE17" s="434"/>
      <c r="AF17" s="434"/>
      <c r="AG17" s="434"/>
      <c r="AH17" s="434"/>
      <c r="AI17" s="434"/>
      <c r="AJ17" s="434"/>
      <c r="AK17" s="434"/>
      <c r="AL17" s="434"/>
      <c r="AM17" s="434"/>
      <c r="AN17" s="434"/>
      <c r="AO17" s="434"/>
      <c r="AP17" s="434"/>
      <c r="AQ17" s="434"/>
      <c r="AR17" s="433"/>
      <c r="AS17" s="409"/>
    </row>
    <row r="18" spans="2:45">
      <c r="B18" s="432" t="s">
        <v>613</v>
      </c>
      <c r="C18" s="438" t="s">
        <v>614</v>
      </c>
      <c r="D18" s="438"/>
      <c r="E18" s="438"/>
      <c r="F18" s="438"/>
      <c r="G18" s="431"/>
      <c r="H18" s="431"/>
      <c r="I18" s="431"/>
      <c r="J18" s="431"/>
      <c r="K18" s="431"/>
      <c r="L18" s="431"/>
      <c r="M18" s="431"/>
      <c r="N18" s="431"/>
      <c r="O18" s="431"/>
      <c r="P18" s="431"/>
      <c r="Q18" s="431"/>
      <c r="R18" s="431"/>
      <c r="S18" s="431"/>
      <c r="T18" s="431"/>
      <c r="U18" s="431"/>
      <c r="V18" s="431"/>
      <c r="W18" s="431"/>
      <c r="X18" s="431"/>
      <c r="Y18" s="431"/>
      <c r="Z18" s="431"/>
      <c r="AA18" s="431"/>
      <c r="AB18" s="431"/>
      <c r="AC18" s="431"/>
      <c r="AD18" s="431"/>
      <c r="AE18" s="431"/>
      <c r="AF18" s="431"/>
      <c r="AG18" s="431"/>
      <c r="AH18" s="431"/>
      <c r="AI18" s="431"/>
      <c r="AJ18" s="431"/>
      <c r="AK18" s="431"/>
      <c r="AL18" s="431"/>
      <c r="AM18" s="431"/>
      <c r="AN18" s="431"/>
      <c r="AO18" s="431"/>
      <c r="AP18" s="431"/>
      <c r="AQ18" s="431"/>
      <c r="AR18" s="422"/>
      <c r="AS18" s="408"/>
    </row>
    <row r="19" spans="2:45">
      <c r="B19" s="432" t="s">
        <v>615</v>
      </c>
      <c r="C19" s="438" t="s">
        <v>616</v>
      </c>
      <c r="D19" s="438"/>
      <c r="E19" s="438"/>
      <c r="F19" s="438"/>
      <c r="G19" s="431"/>
      <c r="H19" s="431"/>
      <c r="I19" s="431"/>
      <c r="J19" s="431"/>
      <c r="K19" s="431"/>
      <c r="L19" s="431"/>
      <c r="M19" s="431"/>
      <c r="N19" s="431"/>
      <c r="O19" s="431"/>
      <c r="P19" s="431"/>
      <c r="Q19" s="431"/>
      <c r="R19" s="431"/>
      <c r="S19" s="431"/>
      <c r="T19" s="431"/>
      <c r="U19" s="431"/>
      <c r="V19" s="431"/>
      <c r="W19" s="431"/>
      <c r="X19" s="431"/>
      <c r="Y19" s="431"/>
      <c r="Z19" s="431"/>
      <c r="AA19" s="431"/>
      <c r="AB19" s="431"/>
      <c r="AC19" s="431"/>
      <c r="AD19" s="431"/>
      <c r="AE19" s="431"/>
      <c r="AF19" s="431"/>
      <c r="AG19" s="431"/>
      <c r="AH19" s="431"/>
      <c r="AI19" s="431"/>
      <c r="AJ19" s="431"/>
      <c r="AK19" s="431"/>
      <c r="AL19" s="431"/>
      <c r="AM19" s="431"/>
      <c r="AN19" s="431"/>
      <c r="AO19" s="431"/>
      <c r="AP19" s="431"/>
      <c r="AQ19" s="431"/>
      <c r="AR19" s="422"/>
      <c r="AS19" s="408"/>
    </row>
    <row r="20" spans="2:45">
      <c r="B20" s="432" t="s">
        <v>617</v>
      </c>
      <c r="C20" s="438" t="s">
        <v>618</v>
      </c>
      <c r="D20" s="431"/>
      <c r="E20" s="431"/>
      <c r="F20" s="431"/>
      <c r="G20" s="431"/>
      <c r="H20" s="431"/>
      <c r="I20" s="431"/>
      <c r="J20" s="431"/>
      <c r="K20" s="431"/>
      <c r="L20" s="431"/>
      <c r="M20" s="431"/>
      <c r="N20" s="431"/>
      <c r="O20" s="431"/>
      <c r="P20" s="431"/>
      <c r="Q20" s="431"/>
      <c r="R20" s="431"/>
      <c r="S20" s="431"/>
      <c r="T20" s="431"/>
      <c r="U20" s="431"/>
      <c r="V20" s="431"/>
      <c r="W20" s="431"/>
      <c r="X20" s="431"/>
      <c r="Y20" s="431"/>
      <c r="Z20" s="431"/>
      <c r="AA20" s="431"/>
      <c r="AB20" s="431"/>
      <c r="AC20" s="431"/>
      <c r="AD20" s="431"/>
      <c r="AE20" s="431"/>
      <c r="AF20" s="431"/>
      <c r="AG20" s="431"/>
      <c r="AH20" s="431"/>
      <c r="AI20" s="431"/>
      <c r="AJ20" s="431"/>
      <c r="AK20" s="431"/>
      <c r="AL20" s="431"/>
      <c r="AM20" s="431"/>
      <c r="AN20" s="431"/>
      <c r="AO20" s="431"/>
      <c r="AP20" s="431"/>
      <c r="AQ20" s="431"/>
      <c r="AR20" s="422"/>
      <c r="AS20" s="408"/>
    </row>
    <row r="21" spans="2:45">
      <c r="B21" s="432" t="s">
        <v>619</v>
      </c>
      <c r="C21" s="430">
        <v>42430</v>
      </c>
      <c r="D21" s="438"/>
      <c r="E21" s="438"/>
      <c r="F21" s="438"/>
      <c r="G21" s="431"/>
      <c r="H21" s="431"/>
      <c r="I21" s="431"/>
      <c r="J21" s="431"/>
      <c r="K21" s="431"/>
      <c r="L21" s="431"/>
      <c r="M21" s="431"/>
      <c r="N21" s="431"/>
      <c r="O21" s="431"/>
      <c r="P21" s="431"/>
      <c r="Q21" s="431"/>
      <c r="R21" s="431"/>
      <c r="S21" s="431"/>
      <c r="T21" s="431"/>
      <c r="U21" s="431"/>
      <c r="V21" s="431"/>
      <c r="W21" s="431"/>
      <c r="X21" s="431"/>
      <c r="Y21" s="431"/>
      <c r="Z21" s="431"/>
      <c r="AA21" s="431"/>
      <c r="AB21" s="431"/>
      <c r="AC21" s="431"/>
      <c r="AD21" s="431"/>
      <c r="AE21" s="431"/>
      <c r="AF21" s="431"/>
      <c r="AG21" s="431"/>
      <c r="AH21" s="431"/>
      <c r="AI21" s="431"/>
      <c r="AJ21" s="431"/>
      <c r="AK21" s="431"/>
      <c r="AL21" s="431"/>
      <c r="AM21" s="431"/>
      <c r="AN21" s="431"/>
      <c r="AO21" s="431"/>
      <c r="AP21" s="431"/>
      <c r="AQ21" s="431"/>
      <c r="AR21" s="431"/>
      <c r="AS21" s="429"/>
    </row>
    <row r="22" spans="2:45">
      <c r="B22" s="432" t="s">
        <v>620</v>
      </c>
      <c r="C22" s="430" t="s">
        <v>621</v>
      </c>
      <c r="D22" s="431"/>
      <c r="E22" s="431"/>
      <c r="F22" s="431"/>
      <c r="G22" s="431"/>
      <c r="H22" s="431"/>
      <c r="I22" s="431"/>
      <c r="J22" s="431"/>
      <c r="K22" s="431"/>
      <c r="L22" s="431"/>
      <c r="M22" s="431"/>
      <c r="N22" s="431"/>
      <c r="O22" s="431"/>
      <c r="P22" s="431"/>
      <c r="Q22" s="431"/>
      <c r="R22" s="431"/>
      <c r="S22" s="431"/>
      <c r="T22" s="431"/>
      <c r="U22" s="431"/>
      <c r="V22" s="431"/>
      <c r="W22" s="431"/>
      <c r="X22" s="431"/>
      <c r="Y22" s="431"/>
      <c r="Z22" s="431"/>
      <c r="AA22" s="431"/>
      <c r="AB22" s="431"/>
      <c r="AC22" s="431"/>
      <c r="AD22" s="431"/>
      <c r="AE22" s="431"/>
      <c r="AF22" s="431"/>
      <c r="AG22" s="431"/>
      <c r="AH22" s="431"/>
      <c r="AI22" s="431"/>
      <c r="AJ22" s="431"/>
      <c r="AK22" s="431"/>
      <c r="AL22" s="431"/>
      <c r="AM22" s="431"/>
      <c r="AN22" s="431"/>
      <c r="AO22" s="431"/>
      <c r="AP22" s="431"/>
      <c r="AQ22" s="431"/>
      <c r="AR22" s="431"/>
      <c r="AS22" s="429"/>
    </row>
    <row r="23" spans="2:45">
      <c r="B23" s="427" t="s">
        <v>609</v>
      </c>
      <c r="C23" s="426"/>
      <c r="D23" s="426"/>
      <c r="E23" s="425">
        <v>2010</v>
      </c>
      <c r="F23" s="425">
        <v>2011</v>
      </c>
      <c r="G23" s="425">
        <v>2012</v>
      </c>
      <c r="H23" s="425">
        <v>2013</v>
      </c>
      <c r="I23" s="425">
        <v>2014</v>
      </c>
      <c r="J23" s="425">
        <v>2015</v>
      </c>
      <c r="K23" s="425">
        <v>2016</v>
      </c>
      <c r="L23" s="425">
        <v>2017</v>
      </c>
      <c r="M23" s="425">
        <v>2018</v>
      </c>
      <c r="N23" s="425">
        <v>2019</v>
      </c>
      <c r="O23" s="425">
        <v>2020</v>
      </c>
      <c r="P23" s="425">
        <v>2021</v>
      </c>
      <c r="Q23" s="425">
        <v>2022</v>
      </c>
      <c r="R23" s="425">
        <v>2023</v>
      </c>
      <c r="S23" s="425">
        <v>2024</v>
      </c>
      <c r="T23" s="425">
        <v>2025</v>
      </c>
      <c r="U23" s="425">
        <v>2026</v>
      </c>
      <c r="V23" s="425">
        <v>2027</v>
      </c>
      <c r="W23" s="425">
        <v>2028</v>
      </c>
      <c r="X23" s="425">
        <v>2029</v>
      </c>
      <c r="Y23" s="425">
        <v>2030</v>
      </c>
      <c r="Z23" s="425">
        <v>2031</v>
      </c>
      <c r="AA23" s="425">
        <v>2032</v>
      </c>
      <c r="AB23" s="425">
        <v>2033</v>
      </c>
      <c r="AC23" s="425">
        <v>2034</v>
      </c>
      <c r="AD23" s="425">
        <v>2035</v>
      </c>
      <c r="AE23" s="425">
        <v>2036</v>
      </c>
      <c r="AF23" s="425">
        <v>2037</v>
      </c>
      <c r="AG23" s="425">
        <v>2038</v>
      </c>
      <c r="AH23" s="425">
        <v>2039</v>
      </c>
      <c r="AI23" s="425">
        <v>2040</v>
      </c>
      <c r="AJ23" s="425">
        <v>2041</v>
      </c>
      <c r="AK23" s="425">
        <v>2042</v>
      </c>
      <c r="AL23" s="425">
        <v>2043</v>
      </c>
      <c r="AM23" s="425">
        <v>2044</v>
      </c>
      <c r="AN23" s="425">
        <v>2045</v>
      </c>
      <c r="AO23" s="425">
        <v>2046</v>
      </c>
      <c r="AP23" s="425">
        <v>2047</v>
      </c>
      <c r="AQ23" s="425">
        <v>2048</v>
      </c>
      <c r="AR23" s="425">
        <v>2049</v>
      </c>
      <c r="AS23" s="424">
        <v>2050</v>
      </c>
    </row>
    <row r="24" spans="2:45" ht="15" thickBot="1">
      <c r="B24" s="437" t="s">
        <v>622</v>
      </c>
      <c r="C24" s="436"/>
      <c r="D24" s="436"/>
      <c r="E24" s="428">
        <v>163.69999999999999</v>
      </c>
      <c r="F24" s="428">
        <v>165.7</v>
      </c>
      <c r="G24" s="428">
        <v>164.8</v>
      </c>
      <c r="H24" s="428">
        <v>165</v>
      </c>
      <c r="I24" s="490">
        <v>166.9</v>
      </c>
      <c r="J24" s="490">
        <v>168.2</v>
      </c>
      <c r="K24" s="491">
        <f>K26*I31/K31</f>
        <v>167.7346232179226</v>
      </c>
      <c r="L24" s="491">
        <f>K24</f>
        <v>167.7346232179226</v>
      </c>
      <c r="M24" s="491">
        <f t="shared" ref="M24" si="4">L24</f>
        <v>167.7346232179226</v>
      </c>
      <c r="N24" s="585">
        <v>195.74638834999999</v>
      </c>
      <c r="O24" s="585">
        <v>214.42575100000002</v>
      </c>
      <c r="P24" s="585">
        <v>220.80004550000001</v>
      </c>
      <c r="Q24" s="585">
        <v>227.36394250000001</v>
      </c>
      <c r="R24" s="585">
        <v>234.12288050000001</v>
      </c>
      <c r="S24" s="585">
        <v>241.08274500000002</v>
      </c>
      <c r="T24" s="585">
        <v>248.24957050000003</v>
      </c>
      <c r="U24" s="585">
        <v>255.6293915</v>
      </c>
      <c r="V24" s="585">
        <v>263.22861500000005</v>
      </c>
      <c r="W24" s="585">
        <v>271.05372249999999</v>
      </c>
      <c r="X24" s="585">
        <v>279.11149349999999</v>
      </c>
      <c r="Y24" s="585">
        <v>287.40878200000003</v>
      </c>
      <c r="Z24" s="585">
        <v>295.95274000000001</v>
      </c>
      <c r="AA24" s="585">
        <v>304.75066849999996</v>
      </c>
      <c r="AB24" s="585">
        <v>313.81016649999998</v>
      </c>
      <c r="AC24" s="585">
        <v>323.13898200000006</v>
      </c>
      <c r="AD24" s="585">
        <v>332.74508650000001</v>
      </c>
      <c r="AE24" s="585">
        <v>342.63674950000001</v>
      </c>
      <c r="AF24" s="585">
        <v>352.82246399999997</v>
      </c>
      <c r="AG24" s="585">
        <v>363.31102099999998</v>
      </c>
      <c r="AH24" s="585">
        <v>374.11136049999999</v>
      </c>
      <c r="AI24" s="585">
        <v>385.23279500000001</v>
      </c>
      <c r="AJ24" s="586">
        <f>($AI$24-$Z$24)/10+AI24</f>
        <v>394.16080049999999</v>
      </c>
      <c r="AK24" s="586">
        <f t="shared" ref="AK24:AR24" si="5">($AI$24-$Z$24)/10+AJ24</f>
        <v>403.08880599999998</v>
      </c>
      <c r="AL24" s="586">
        <f t="shared" si="5"/>
        <v>412.01681149999996</v>
      </c>
      <c r="AM24" s="586">
        <f t="shared" si="5"/>
        <v>420.94481699999994</v>
      </c>
      <c r="AN24" s="586">
        <f t="shared" si="5"/>
        <v>429.87282249999993</v>
      </c>
      <c r="AO24" s="586">
        <f t="shared" si="5"/>
        <v>438.80082799999991</v>
      </c>
      <c r="AP24" s="586">
        <f t="shared" si="5"/>
        <v>447.72883349999989</v>
      </c>
      <c r="AQ24" s="586">
        <f t="shared" si="5"/>
        <v>456.65683899999988</v>
      </c>
      <c r="AR24" s="586">
        <f t="shared" si="5"/>
        <v>465.58484449999986</v>
      </c>
      <c r="AS24" s="586">
        <f>($AI$24-$Z$24)/10+AR24</f>
        <v>474.51284999999984</v>
      </c>
    </row>
    <row r="25" spans="2:45">
      <c r="I25" s="488"/>
      <c r="J25" s="488"/>
      <c r="K25" s="488"/>
      <c r="L25" s="488"/>
      <c r="M25" s="488"/>
      <c r="N25" s="488"/>
      <c r="O25" s="488"/>
      <c r="P25" s="488"/>
      <c r="Q25" s="488"/>
      <c r="R25" s="488"/>
      <c r="S25" s="488"/>
      <c r="T25" s="488"/>
      <c r="U25" s="488"/>
      <c r="V25" s="488"/>
      <c r="W25" s="488"/>
      <c r="X25" s="488"/>
      <c r="Y25" s="488"/>
      <c r="Z25" s="488"/>
      <c r="AA25" s="488"/>
      <c r="AB25" s="488"/>
      <c r="AC25" s="488"/>
      <c r="AD25" s="488"/>
      <c r="AE25" s="488"/>
      <c r="AF25" s="488"/>
      <c r="AG25" s="488"/>
      <c r="AH25" s="488"/>
      <c r="AI25" s="488"/>
      <c r="AJ25" s="488"/>
      <c r="AK25" s="488"/>
      <c r="AL25" s="488"/>
      <c r="AM25" s="488"/>
      <c r="AN25" s="488"/>
      <c r="AO25" s="488"/>
      <c r="AP25" s="488"/>
      <c r="AQ25" s="488"/>
      <c r="AR25" s="488"/>
      <c r="AS25" s="488"/>
    </row>
    <row r="26" spans="2:45">
      <c r="I26" s="489" t="s">
        <v>338</v>
      </c>
      <c r="J26" s="489"/>
      <c r="K26" s="488">
        <v>171.4</v>
      </c>
      <c r="L26" s="489" t="s">
        <v>710</v>
      </c>
      <c r="M26" s="488">
        <v>2016</v>
      </c>
      <c r="N26" s="488"/>
      <c r="O26" s="488"/>
      <c r="P26" s="488"/>
      <c r="Q26" s="488"/>
      <c r="R26" s="488"/>
      <c r="S26" s="488"/>
      <c r="T26" s="488"/>
      <c r="U26" s="488"/>
      <c r="V26" s="488"/>
      <c r="W26" s="488"/>
      <c r="X26" s="488"/>
      <c r="Y26" s="488"/>
      <c r="Z26" s="488"/>
      <c r="AA26" s="488"/>
      <c r="AB26" s="488"/>
      <c r="AC26" s="488"/>
      <c r="AD26" s="488"/>
      <c r="AE26" s="488"/>
      <c r="AF26" s="488"/>
      <c r="AG26" s="488"/>
      <c r="AH26" s="488"/>
      <c r="AI26" s="488"/>
      <c r="AJ26" s="488"/>
      <c r="AK26" s="488"/>
      <c r="AL26" s="488"/>
      <c r="AM26" s="488"/>
      <c r="AN26" s="488"/>
      <c r="AO26" s="488"/>
      <c r="AP26" s="488"/>
      <c r="AQ26" s="488"/>
      <c r="AR26" s="488"/>
      <c r="AS26" s="488"/>
    </row>
    <row r="27" spans="2:45">
      <c r="I27" s="488"/>
      <c r="J27" s="488"/>
      <c r="K27" s="488"/>
      <c r="L27" s="488"/>
      <c r="M27" s="488"/>
      <c r="N27" s="488"/>
      <c r="O27" s="488"/>
      <c r="P27" s="488"/>
      <c r="Q27" s="488"/>
      <c r="R27" s="488"/>
      <c r="S27" s="488"/>
      <c r="T27" s="488"/>
      <c r="U27" s="488"/>
      <c r="V27" s="488"/>
      <c r="W27" s="488"/>
      <c r="X27" s="488"/>
      <c r="Y27" s="488"/>
      <c r="Z27" s="488"/>
      <c r="AA27" s="488"/>
      <c r="AB27" s="488"/>
      <c r="AC27" s="488"/>
      <c r="AD27" s="488"/>
      <c r="AE27" s="488"/>
      <c r="AF27" s="488"/>
      <c r="AG27" s="488"/>
      <c r="AH27" s="488"/>
      <c r="AI27" s="488"/>
      <c r="AJ27" s="488"/>
      <c r="AK27" s="488"/>
      <c r="AL27" s="488"/>
      <c r="AM27" s="488"/>
      <c r="AN27" s="488"/>
      <c r="AO27" s="488"/>
      <c r="AP27" s="488"/>
      <c r="AQ27" s="488"/>
      <c r="AR27" s="488"/>
      <c r="AS27" s="488"/>
    </row>
    <row r="28" spans="2:45">
      <c r="D28" s="487" t="s">
        <v>705</v>
      </c>
      <c r="E28" s="488"/>
      <c r="F28" s="488"/>
      <c r="G28" s="488"/>
      <c r="H28" s="488"/>
      <c r="I28" s="488"/>
      <c r="J28" s="488"/>
      <c r="K28" s="488"/>
      <c r="L28" s="488"/>
      <c r="M28" s="488"/>
      <c r="N28" s="488"/>
      <c r="O28" s="488"/>
      <c r="P28" s="488"/>
      <c r="Q28" s="488"/>
      <c r="R28" s="488"/>
      <c r="S28" s="488"/>
      <c r="T28" s="488"/>
      <c r="U28" s="488"/>
      <c r="V28" s="488"/>
      <c r="W28" s="488"/>
      <c r="X28" s="488"/>
      <c r="Y28" s="488"/>
      <c r="Z28" s="488"/>
      <c r="AA28" s="488"/>
      <c r="AB28" s="488"/>
      <c r="AC28" s="488"/>
      <c r="AD28" s="488"/>
      <c r="AE28" s="488"/>
      <c r="AF28" s="488"/>
      <c r="AG28" s="488"/>
      <c r="AH28" s="488"/>
      <c r="AI28" s="488"/>
      <c r="AJ28" s="488"/>
      <c r="AK28" s="488"/>
      <c r="AL28" s="488"/>
      <c r="AM28" s="488"/>
      <c r="AN28" s="488"/>
      <c r="AO28" s="488"/>
      <c r="AP28" s="488"/>
      <c r="AQ28" s="488"/>
      <c r="AR28" s="488"/>
      <c r="AS28" s="488"/>
    </row>
    <row r="29" spans="2:45">
      <c r="D29" s="488" t="s">
        <v>706</v>
      </c>
      <c r="E29" s="487">
        <v>2010</v>
      </c>
      <c r="F29" s="487">
        <v>2011</v>
      </c>
      <c r="G29" s="487">
        <v>2012</v>
      </c>
      <c r="H29" s="487">
        <v>2013</v>
      </c>
      <c r="I29" s="487">
        <v>2014</v>
      </c>
      <c r="J29" s="487">
        <v>2015</v>
      </c>
      <c r="K29" s="487">
        <v>2016</v>
      </c>
      <c r="L29" s="487">
        <v>2017</v>
      </c>
      <c r="M29" s="487">
        <v>2018</v>
      </c>
      <c r="N29" s="487">
        <v>2019</v>
      </c>
      <c r="O29" s="487">
        <v>2020</v>
      </c>
      <c r="P29" s="487">
        <v>2021</v>
      </c>
      <c r="Q29" s="487">
        <v>2022</v>
      </c>
      <c r="R29" s="487">
        <v>2023</v>
      </c>
      <c r="S29" s="487">
        <v>2024</v>
      </c>
      <c r="T29" s="487">
        <v>2025</v>
      </c>
      <c r="U29" s="487">
        <v>2026</v>
      </c>
      <c r="V29" s="487">
        <v>2027</v>
      </c>
      <c r="W29" s="487">
        <v>2028</v>
      </c>
      <c r="X29" s="487">
        <v>2029</v>
      </c>
      <c r="Y29" s="487">
        <v>2030</v>
      </c>
      <c r="Z29" s="487">
        <v>2031</v>
      </c>
      <c r="AA29" s="487">
        <v>2032</v>
      </c>
      <c r="AB29" s="487">
        <v>2033</v>
      </c>
      <c r="AC29" s="487">
        <v>2034</v>
      </c>
      <c r="AD29" s="487">
        <v>2035</v>
      </c>
      <c r="AE29" s="487">
        <v>2036</v>
      </c>
      <c r="AF29" s="487">
        <v>2037</v>
      </c>
      <c r="AG29" s="487">
        <v>2038</v>
      </c>
      <c r="AH29" s="487">
        <v>2039</v>
      </c>
      <c r="AI29" s="487">
        <v>2040</v>
      </c>
      <c r="AJ29" s="488"/>
      <c r="AK29" s="488"/>
      <c r="AL29" s="488"/>
      <c r="AM29" s="488"/>
      <c r="AN29" s="488"/>
      <c r="AO29" s="488"/>
      <c r="AP29" s="488"/>
      <c r="AQ29" s="488"/>
      <c r="AR29" s="488"/>
      <c r="AS29" s="488"/>
    </row>
    <row r="30" spans="2:45">
      <c r="D30" s="489" t="s">
        <v>707</v>
      </c>
      <c r="E30" s="488"/>
      <c r="F30" s="488"/>
      <c r="G30" s="488"/>
      <c r="H30" s="488"/>
      <c r="I30" s="488"/>
      <c r="J30" s="488"/>
      <c r="K30" s="488"/>
      <c r="L30" s="488">
        <v>42</v>
      </c>
      <c r="M30" s="488">
        <v>43</v>
      </c>
      <c r="N30" s="488">
        <v>44</v>
      </c>
      <c r="O30" s="488">
        <v>46</v>
      </c>
      <c r="P30" s="488">
        <v>47</v>
      </c>
      <c r="Q30" s="488">
        <v>50</v>
      </c>
      <c r="R30" s="488">
        <v>52</v>
      </c>
      <c r="S30" s="488">
        <v>55</v>
      </c>
      <c r="T30" s="488">
        <v>58</v>
      </c>
      <c r="U30" s="488">
        <v>61</v>
      </c>
      <c r="V30" s="488">
        <v>65</v>
      </c>
      <c r="W30" s="488">
        <v>69</v>
      </c>
      <c r="X30" s="488">
        <v>73</v>
      </c>
      <c r="Y30" s="488">
        <v>77</v>
      </c>
      <c r="Z30" s="488">
        <v>81</v>
      </c>
      <c r="AA30" s="488">
        <v>86</v>
      </c>
      <c r="AB30" s="488">
        <v>91</v>
      </c>
      <c r="AC30" s="488">
        <v>97</v>
      </c>
      <c r="AD30" s="488">
        <v>103</v>
      </c>
      <c r="AE30" s="488">
        <v>109</v>
      </c>
      <c r="AF30" s="488">
        <v>115</v>
      </c>
      <c r="AG30" s="488">
        <v>122</v>
      </c>
      <c r="AH30" s="488">
        <v>129</v>
      </c>
      <c r="AI30" s="488">
        <v>137</v>
      </c>
      <c r="AJ30" s="488"/>
      <c r="AK30" s="488"/>
      <c r="AL30" s="488"/>
      <c r="AM30" s="488"/>
      <c r="AN30" s="488"/>
      <c r="AO30" s="488"/>
      <c r="AP30" s="488"/>
      <c r="AQ30" s="488"/>
      <c r="AR30" s="488"/>
      <c r="AS30" s="488"/>
    </row>
    <row r="31" spans="2:45">
      <c r="D31" s="488" t="s">
        <v>708</v>
      </c>
      <c r="E31" s="488">
        <v>0.90500000000000003</v>
      </c>
      <c r="F31" s="488">
        <v>0.91</v>
      </c>
      <c r="G31" s="488">
        <v>0.93600000000000005</v>
      </c>
      <c r="H31" s="488">
        <v>0.95199999999999996</v>
      </c>
      <c r="I31" s="488">
        <v>0.96099999999999997</v>
      </c>
      <c r="J31" s="488">
        <v>0.97599999999999998</v>
      </c>
      <c r="K31" s="488">
        <v>0.98199999999999998</v>
      </c>
      <c r="L31" s="488">
        <v>1</v>
      </c>
      <c r="M31" s="488">
        <v>1.02</v>
      </c>
      <c r="N31" s="488">
        <v>1.042</v>
      </c>
      <c r="O31" s="488">
        <v>1.0649999999999999</v>
      </c>
      <c r="P31" s="488">
        <v>1.087</v>
      </c>
      <c r="Q31" s="488">
        <v>1.107</v>
      </c>
      <c r="R31" s="488">
        <v>1.1299999999999999</v>
      </c>
      <c r="S31" s="488">
        <v>1.153</v>
      </c>
      <c r="T31" s="488">
        <v>1.1779999999999999</v>
      </c>
      <c r="U31" s="488">
        <v>1.2010000000000001</v>
      </c>
      <c r="V31" s="488">
        <v>1.2250000000000001</v>
      </c>
      <c r="W31" s="488">
        <v>1.25</v>
      </c>
      <c r="X31" s="488">
        <v>1.274</v>
      </c>
      <c r="Y31" s="488">
        <v>1.2989999999999999</v>
      </c>
      <c r="Z31" s="488">
        <v>1.325</v>
      </c>
      <c r="AA31" s="488">
        <v>1.351</v>
      </c>
      <c r="AB31" s="488">
        <v>1.377</v>
      </c>
      <c r="AC31" s="488">
        <v>1.4039999999999999</v>
      </c>
      <c r="AD31" s="488">
        <v>1.4319999999999999</v>
      </c>
      <c r="AE31" s="488">
        <v>1.46</v>
      </c>
      <c r="AF31" s="488">
        <v>1.488</v>
      </c>
      <c r="AG31" s="488">
        <v>1.5169999999999999</v>
      </c>
      <c r="AH31" s="488">
        <v>1.546</v>
      </c>
      <c r="AI31" s="488">
        <v>1.5760000000000001</v>
      </c>
      <c r="AJ31" s="488">
        <v>1.6065744000000002</v>
      </c>
      <c r="AK31" s="488">
        <v>1.6377419433600002</v>
      </c>
      <c r="AL31" s="488">
        <v>1.6695141370611843</v>
      </c>
      <c r="AM31" s="488">
        <v>1.7019027113201715</v>
      </c>
      <c r="AN31" s="488">
        <v>1.7349196239197828</v>
      </c>
      <c r="AO31" s="488">
        <v>1.7685770646238268</v>
      </c>
      <c r="AP31" s="488">
        <v>1.8028874596775293</v>
      </c>
      <c r="AQ31" s="488">
        <v>1.8378634763952735</v>
      </c>
      <c r="AR31" s="488">
        <v>1.873518027837342</v>
      </c>
      <c r="AS31" s="488">
        <v>1.9098642775773866</v>
      </c>
    </row>
    <row r="32" spans="2:45">
      <c r="D32" s="489" t="s">
        <v>709</v>
      </c>
      <c r="E32" s="488"/>
      <c r="F32" s="488"/>
      <c r="G32" s="488"/>
      <c r="H32" s="488"/>
      <c r="I32" s="488"/>
      <c r="J32" s="488"/>
      <c r="K32" s="488"/>
      <c r="L32" s="488">
        <f>L30/(1+($L$31-$I$31)/$L$31)</f>
        <v>40.423484119345517</v>
      </c>
      <c r="M32" s="488">
        <f t="shared" ref="M32:AI32" si="6">M30/(1+($L$31-$I$31)/$L$31)</f>
        <v>41.385948026948981</v>
      </c>
      <c r="N32" s="488">
        <f t="shared" si="6"/>
        <v>42.348411934552452</v>
      </c>
      <c r="O32" s="488">
        <f t="shared" si="6"/>
        <v>44.27333974975938</v>
      </c>
      <c r="P32" s="488">
        <f t="shared" si="6"/>
        <v>45.235803657362844</v>
      </c>
      <c r="Q32" s="488">
        <f t="shared" si="6"/>
        <v>48.123195380173236</v>
      </c>
      <c r="R32" s="488">
        <f t="shared" si="6"/>
        <v>50.048123195380164</v>
      </c>
      <c r="S32" s="488">
        <f t="shared" si="6"/>
        <v>52.935514918190563</v>
      </c>
      <c r="T32" s="488">
        <f t="shared" si="6"/>
        <v>55.822906641000955</v>
      </c>
      <c r="U32" s="488">
        <f t="shared" si="6"/>
        <v>58.710298363811347</v>
      </c>
      <c r="V32" s="488">
        <f t="shared" si="6"/>
        <v>62.56015399422521</v>
      </c>
      <c r="W32" s="488">
        <f t="shared" si="6"/>
        <v>66.410009624639073</v>
      </c>
      <c r="X32" s="488">
        <f t="shared" si="6"/>
        <v>70.259865255052929</v>
      </c>
      <c r="Y32" s="488">
        <f t="shared" si="6"/>
        <v>74.109720885466785</v>
      </c>
      <c r="Z32" s="488">
        <f t="shared" si="6"/>
        <v>77.959576515880642</v>
      </c>
      <c r="AA32" s="488">
        <f t="shared" si="6"/>
        <v>82.771896053897962</v>
      </c>
      <c r="AB32" s="488">
        <f t="shared" si="6"/>
        <v>87.584215591915296</v>
      </c>
      <c r="AC32" s="488">
        <f t="shared" si="6"/>
        <v>93.35899903753608</v>
      </c>
      <c r="AD32" s="488">
        <f t="shared" si="6"/>
        <v>99.133782483156864</v>
      </c>
      <c r="AE32" s="488">
        <f t="shared" si="6"/>
        <v>104.90856592877766</v>
      </c>
      <c r="AF32" s="488">
        <f t="shared" si="6"/>
        <v>110.68334937439845</v>
      </c>
      <c r="AG32" s="488">
        <f t="shared" si="6"/>
        <v>117.42059672762269</v>
      </c>
      <c r="AH32" s="488">
        <f t="shared" si="6"/>
        <v>124.15784408084696</v>
      </c>
      <c r="AI32" s="488">
        <f t="shared" si="6"/>
        <v>131.85755534167467</v>
      </c>
      <c r="AJ32" s="488"/>
      <c r="AK32" s="488"/>
      <c r="AL32" s="488"/>
      <c r="AM32" s="488"/>
      <c r="AN32" s="488"/>
      <c r="AO32" s="488"/>
      <c r="AP32" s="488"/>
      <c r="AQ32" s="488"/>
      <c r="AR32" s="488"/>
      <c r="AS32" s="488"/>
    </row>
    <row r="37" spans="3:5" ht="23.4">
      <c r="C37" s="566" t="s">
        <v>851</v>
      </c>
      <c r="D37" s="567"/>
      <c r="E37" s="567"/>
    </row>
    <row r="38" spans="3:5">
      <c r="C38" s="482"/>
      <c r="D38" s="485"/>
      <c r="E38" s="485"/>
    </row>
    <row r="39" spans="3:5" ht="24.6">
      <c r="C39" s="579" t="s">
        <v>852</v>
      </c>
      <c r="D39" s="580" t="s">
        <v>853</v>
      </c>
      <c r="E39" s="580" t="s">
        <v>854</v>
      </c>
    </row>
    <row r="40" spans="3:5">
      <c r="C40" s="568">
        <v>2019</v>
      </c>
      <c r="D40" s="581">
        <v>195.74638834999999</v>
      </c>
      <c r="E40" s="581">
        <v>195.74638834999999</v>
      </c>
    </row>
    <row r="41" spans="3:5">
      <c r="C41" s="568">
        <v>2020</v>
      </c>
      <c r="D41" s="581">
        <v>214.42575100000002</v>
      </c>
      <c r="E41" s="581">
        <v>214.42575100000002</v>
      </c>
    </row>
    <row r="42" spans="3:5">
      <c r="C42" s="568">
        <v>2021</v>
      </c>
      <c r="D42" s="581">
        <v>220.80004550000001</v>
      </c>
      <c r="E42" s="581">
        <v>254.16623663429559</v>
      </c>
    </row>
    <row r="43" spans="3:5">
      <c r="C43" s="568">
        <v>2022</v>
      </c>
      <c r="D43" s="581">
        <v>227.36394250000001</v>
      </c>
      <c r="E43" s="581">
        <v>261.72203669931474</v>
      </c>
    </row>
    <row r="44" spans="3:5">
      <c r="C44" s="568">
        <v>2023</v>
      </c>
      <c r="D44" s="581">
        <v>234.12288050000001</v>
      </c>
      <c r="E44" s="581">
        <v>269.50235137821068</v>
      </c>
    </row>
    <row r="45" spans="3:5">
      <c r="C45" s="568">
        <v>2024</v>
      </c>
      <c r="D45" s="581">
        <v>241.08274500000002</v>
      </c>
      <c r="E45" s="581">
        <v>277.51395555810944</v>
      </c>
    </row>
    <row r="46" spans="3:5">
      <c r="C46" s="568">
        <v>2025</v>
      </c>
      <c r="D46" s="581">
        <v>248.24957050000003</v>
      </c>
      <c r="E46" s="581">
        <v>285.76379564226693</v>
      </c>
    </row>
    <row r="47" spans="3:5">
      <c r="C47" s="568">
        <v>2026</v>
      </c>
      <c r="D47" s="581">
        <v>255.6293915</v>
      </c>
      <c r="E47" s="581">
        <v>294.25881803393918</v>
      </c>
    </row>
    <row r="48" spans="3:5">
      <c r="C48" s="568">
        <v>2027</v>
      </c>
      <c r="D48" s="581">
        <v>263.22861500000005</v>
      </c>
      <c r="E48" s="581">
        <v>303.00639792670648</v>
      </c>
    </row>
    <row r="49" spans="3:5">
      <c r="C49" s="568">
        <v>2028</v>
      </c>
      <c r="D49" s="581">
        <v>271.05372249999999</v>
      </c>
      <c r="E49" s="581">
        <v>312.013996272214</v>
      </c>
    </row>
    <row r="50" spans="3:5">
      <c r="C50" s="568">
        <v>2029</v>
      </c>
      <c r="D50" s="581">
        <v>279.11149349999999</v>
      </c>
      <c r="E50" s="581">
        <v>321.28941705436671</v>
      </c>
    </row>
    <row r="51" spans="3:5">
      <c r="C51" s="568">
        <v>2030</v>
      </c>
      <c r="D51" s="581">
        <v>287.40878200000003</v>
      </c>
      <c r="E51" s="581">
        <v>330.84055001513428</v>
      </c>
    </row>
    <row r="52" spans="3:5">
      <c r="C52" s="568">
        <v>2031</v>
      </c>
      <c r="D52" s="581">
        <v>295.95274000000001</v>
      </c>
      <c r="E52" s="581">
        <v>330.84055001513428</v>
      </c>
    </row>
    <row r="53" spans="3:5">
      <c r="C53" s="568">
        <v>2032</v>
      </c>
      <c r="D53" s="581">
        <v>304.75066849999996</v>
      </c>
      <c r="E53" s="581">
        <v>330.84055001513428</v>
      </c>
    </row>
    <row r="54" spans="3:5">
      <c r="C54" s="568">
        <v>2033</v>
      </c>
      <c r="D54" s="581">
        <v>313.81016649999998</v>
      </c>
      <c r="E54" s="581">
        <v>330.84055001513428</v>
      </c>
    </row>
    <row r="55" spans="3:5">
      <c r="C55" s="568">
        <v>2034</v>
      </c>
      <c r="D55" s="581">
        <v>323.13898200000006</v>
      </c>
      <c r="E55" s="581">
        <v>330.84055001513428</v>
      </c>
    </row>
    <row r="56" spans="3:5">
      <c r="C56" s="568">
        <v>2035</v>
      </c>
      <c r="D56" s="581">
        <v>332.74508650000001</v>
      </c>
      <c r="E56" s="581">
        <v>332.74508650000001</v>
      </c>
    </row>
    <row r="57" spans="3:5">
      <c r="C57" s="568">
        <v>2036</v>
      </c>
      <c r="D57" s="581">
        <v>342.63674950000001</v>
      </c>
      <c r="E57" s="581">
        <v>342.63674950000001</v>
      </c>
    </row>
    <row r="58" spans="3:5">
      <c r="C58" s="568">
        <v>2037</v>
      </c>
      <c r="D58" s="581">
        <v>352.82246399999997</v>
      </c>
      <c r="E58" s="581">
        <v>352.82246399999997</v>
      </c>
    </row>
    <row r="59" spans="3:5">
      <c r="C59" s="568">
        <v>2038</v>
      </c>
      <c r="D59" s="581">
        <v>363.31102099999998</v>
      </c>
      <c r="E59" s="581">
        <v>363.31102099999998</v>
      </c>
    </row>
    <row r="60" spans="3:5">
      <c r="C60" s="568">
        <v>2039</v>
      </c>
      <c r="D60" s="581">
        <v>374.11136049999999</v>
      </c>
      <c r="E60" s="581">
        <v>374.11136049999999</v>
      </c>
    </row>
    <row r="61" spans="3:5">
      <c r="C61" s="568">
        <v>2040</v>
      </c>
      <c r="D61" s="581">
        <v>385.23279500000001</v>
      </c>
      <c r="E61" s="581">
        <v>385.23279500000001</v>
      </c>
    </row>
    <row r="62" spans="3:5">
      <c r="C62" s="582" t="s">
        <v>855</v>
      </c>
      <c r="D62" s="582" t="s">
        <v>856</v>
      </c>
      <c r="E62" s="485"/>
    </row>
    <row r="63" spans="3:5" ht="15">
      <c r="C63" s="582"/>
      <c r="D63" s="582" t="s">
        <v>857</v>
      </c>
      <c r="E63" s="485"/>
    </row>
    <row r="64" spans="3:5">
      <c r="C64" s="582" t="s">
        <v>858</v>
      </c>
      <c r="D64" s="485"/>
      <c r="E64" s="485"/>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1:AW107"/>
  <sheetViews>
    <sheetView topLeftCell="A4" zoomScale="80" zoomScaleNormal="80" workbookViewId="0">
      <selection activeCell="J19" sqref="J19"/>
    </sheetView>
  </sheetViews>
  <sheetFormatPr defaultColWidth="9.21875" defaultRowHeight="13.2"/>
  <cols>
    <col min="1" max="1" width="2" style="606" bestFit="1" customWidth="1"/>
    <col min="2" max="2" width="9.44140625" style="606" bestFit="1" customWidth="1"/>
    <col min="3" max="3" width="18.21875" style="606" customWidth="1"/>
    <col min="4" max="4" width="17.44140625" style="606" bestFit="1" customWidth="1"/>
    <col min="5" max="5" width="14" style="606" bestFit="1" customWidth="1"/>
    <col min="6" max="6" width="16.44140625" style="606" bestFit="1" customWidth="1"/>
    <col min="7" max="7" width="14.44140625" style="606" bestFit="1" customWidth="1"/>
    <col min="8" max="9" width="11.44140625" style="606" customWidth="1"/>
    <col min="10" max="10" width="10.44140625" style="606" customWidth="1"/>
    <col min="11" max="11" width="10.21875" style="606" customWidth="1"/>
    <col min="12" max="12" width="10" style="606" customWidth="1"/>
    <col min="13" max="13" width="10.44140625" style="606" customWidth="1"/>
    <col min="14" max="14" width="11.44140625" style="606" customWidth="1"/>
    <col min="15" max="15" width="8.21875" style="606" customWidth="1"/>
    <col min="16" max="16" width="8.44140625" style="606" customWidth="1"/>
    <col min="17" max="18" width="8.44140625" style="606" bestFit="1" customWidth="1"/>
    <col min="19" max="20" width="10.44140625" style="606" customWidth="1"/>
    <col min="21" max="21" width="10" style="606" customWidth="1"/>
    <col min="22" max="22" width="10.44140625" style="606" customWidth="1"/>
    <col min="23" max="23" width="11.44140625" style="606" customWidth="1"/>
    <col min="24" max="24" width="10.21875" style="606" customWidth="1"/>
    <col min="25" max="28" width="10" style="606" customWidth="1"/>
    <col min="29" max="29" width="12" style="606" customWidth="1"/>
    <col min="30" max="30" width="8.44140625" style="606" customWidth="1"/>
    <col min="31" max="31" width="17.44140625" style="606" customWidth="1"/>
    <col min="32" max="32" width="10" style="606" customWidth="1"/>
    <col min="33" max="34" width="13.44140625" style="606" customWidth="1"/>
    <col min="35" max="35" width="5.44140625" style="606" customWidth="1"/>
    <col min="36" max="36" width="6.21875" style="606" customWidth="1"/>
    <col min="37" max="37" width="16.21875" style="606" customWidth="1"/>
    <col min="38" max="38" width="16.44140625" style="606" customWidth="1"/>
    <col min="39" max="40" width="7.44140625" style="606" customWidth="1"/>
    <col min="41" max="41" width="3.44140625" style="606" customWidth="1"/>
    <col min="42" max="42" width="17.44140625" style="606" customWidth="1"/>
    <col min="43" max="43" width="9.21875" style="606"/>
    <col min="44" max="45" width="13.44140625" style="606" customWidth="1"/>
    <col min="46" max="16384" width="9.21875" style="606"/>
  </cols>
  <sheetData>
    <row r="1" spans="2:34" ht="13.8">
      <c r="I1" s="607" t="s">
        <v>871</v>
      </c>
      <c r="J1" s="607" t="s">
        <v>872</v>
      </c>
      <c r="K1" s="607"/>
      <c r="X1" s="608"/>
      <c r="Y1" s="608"/>
      <c r="Z1" s="608"/>
      <c r="AA1" s="608"/>
      <c r="AB1" s="608"/>
    </row>
    <row r="2" spans="2:34">
      <c r="B2" s="606" t="s">
        <v>1597</v>
      </c>
      <c r="AG2" s="608"/>
      <c r="AH2" s="608"/>
    </row>
    <row r="3" spans="2:34">
      <c r="AG3" s="608"/>
      <c r="AH3" s="608"/>
    </row>
    <row r="4" spans="2:34">
      <c r="AG4" s="608"/>
      <c r="AH4" s="608"/>
    </row>
    <row r="5" spans="2:34" ht="14.4">
      <c r="H5" s="609" t="s">
        <v>1885</v>
      </c>
      <c r="Z5" s="1057"/>
      <c r="AA5" s="1057"/>
      <c r="AB5" s="1057"/>
      <c r="AC5" s="1058"/>
      <c r="AD5" s="1058"/>
      <c r="AG5" s="608"/>
      <c r="AH5" s="608"/>
    </row>
    <row r="6" spans="2:34" ht="41.4">
      <c r="B6" s="1059" t="s">
        <v>1</v>
      </c>
      <c r="C6" s="1059" t="s">
        <v>0</v>
      </c>
      <c r="D6" s="1059" t="s">
        <v>2</v>
      </c>
      <c r="E6" s="1059" t="s">
        <v>80</v>
      </c>
      <c r="F6" s="1059" t="s">
        <v>81</v>
      </c>
      <c r="G6" s="1059" t="s">
        <v>13</v>
      </c>
      <c r="H6" s="1059" t="s">
        <v>205</v>
      </c>
      <c r="I6" s="1059" t="s">
        <v>296</v>
      </c>
      <c r="J6" s="1059" t="s">
        <v>297</v>
      </c>
      <c r="K6" s="1060" t="s">
        <v>147</v>
      </c>
      <c r="L6" s="1060" t="s">
        <v>1598</v>
      </c>
      <c r="M6" s="1060" t="s">
        <v>725</v>
      </c>
      <c r="N6" s="1059" t="s">
        <v>92</v>
      </c>
      <c r="O6" s="1059" t="s">
        <v>1592</v>
      </c>
      <c r="P6" s="1059" t="s">
        <v>1599</v>
      </c>
      <c r="Q6" s="1059" t="s">
        <v>1600</v>
      </c>
      <c r="R6" s="1059" t="s">
        <v>1614</v>
      </c>
      <c r="S6" s="1059" t="s">
        <v>82</v>
      </c>
      <c r="T6" s="1059" t="s">
        <v>144</v>
      </c>
      <c r="U6" s="1059" t="s">
        <v>145</v>
      </c>
      <c r="V6" s="1059" t="s">
        <v>1601</v>
      </c>
      <c r="W6" s="1059" t="s">
        <v>83</v>
      </c>
      <c r="X6" s="1059" t="s">
        <v>278</v>
      </c>
      <c r="Y6" s="1059" t="s">
        <v>258</v>
      </c>
      <c r="Z6" s="1061" t="s">
        <v>1886</v>
      </c>
      <c r="AA6" s="1062" t="s">
        <v>1887</v>
      </c>
      <c r="AB6" s="1063" t="s">
        <v>1888</v>
      </c>
      <c r="AC6" s="1062" t="s">
        <v>1889</v>
      </c>
      <c r="AD6" s="1063" t="s">
        <v>1890</v>
      </c>
      <c r="AE6" s="1063" t="s">
        <v>1891</v>
      </c>
      <c r="AF6" s="1063" t="s">
        <v>1892</v>
      </c>
      <c r="AG6" s="1061"/>
    </row>
    <row r="7" spans="2:34" ht="31.2" thickBot="1">
      <c r="B7" s="1053" t="s">
        <v>1503</v>
      </c>
      <c r="C7" s="1053" t="s">
        <v>1615</v>
      </c>
      <c r="D7" s="1053" t="s">
        <v>91</v>
      </c>
      <c r="E7" s="1053" t="s">
        <v>85</v>
      </c>
      <c r="F7" s="1053" t="s">
        <v>86</v>
      </c>
      <c r="G7" s="1053" t="s">
        <v>87</v>
      </c>
      <c r="H7" s="1053" t="s">
        <v>283</v>
      </c>
      <c r="I7" s="1053" t="s">
        <v>1602</v>
      </c>
      <c r="J7" s="1053" t="s">
        <v>1603</v>
      </c>
      <c r="K7" s="1053" t="s">
        <v>1604</v>
      </c>
      <c r="L7" s="1053"/>
      <c r="M7" s="1053"/>
      <c r="N7" s="1053" t="s">
        <v>88</v>
      </c>
      <c r="O7" s="1053" t="s">
        <v>88</v>
      </c>
      <c r="P7" s="1053" t="s">
        <v>88</v>
      </c>
      <c r="Q7" s="1053" t="s">
        <v>88</v>
      </c>
      <c r="R7" s="1053"/>
      <c r="S7" s="1053" t="s">
        <v>160</v>
      </c>
      <c r="T7" s="1053" t="s">
        <v>89</v>
      </c>
      <c r="U7" s="1053" t="s">
        <v>89</v>
      </c>
      <c r="V7" s="1053" t="s">
        <v>89</v>
      </c>
      <c r="W7" s="1053" t="s">
        <v>255</v>
      </c>
      <c r="X7" s="1053" t="s">
        <v>279</v>
      </c>
      <c r="Y7" s="1053" t="s">
        <v>146</v>
      </c>
      <c r="Z7" s="1064" t="s">
        <v>1605</v>
      </c>
      <c r="AA7" s="1064" t="s">
        <v>1606</v>
      </c>
      <c r="AB7" s="1064" t="s">
        <v>1606</v>
      </c>
      <c r="AC7" s="1064" t="s">
        <v>1606</v>
      </c>
      <c r="AD7" s="1064" t="s">
        <v>1606</v>
      </c>
      <c r="AE7" s="1064" t="s">
        <v>1606</v>
      </c>
      <c r="AF7" s="1064" t="s">
        <v>1606</v>
      </c>
      <c r="AG7" s="1064"/>
    </row>
    <row r="8" spans="2:34">
      <c r="B8" s="618" t="s">
        <v>1893</v>
      </c>
      <c r="C8" s="606" t="s">
        <v>1894</v>
      </c>
      <c r="D8" s="618" t="s">
        <v>1647</v>
      </c>
      <c r="E8" s="618"/>
      <c r="F8" s="606" t="s">
        <v>93</v>
      </c>
      <c r="I8" s="619"/>
      <c r="J8" s="619"/>
      <c r="K8" s="619"/>
      <c r="L8" s="619"/>
      <c r="M8" s="619"/>
      <c r="N8" s="619"/>
      <c r="O8" s="619"/>
      <c r="P8" s="619"/>
      <c r="Q8" s="619"/>
      <c r="R8" s="619"/>
      <c r="S8" s="602">
        <v>1</v>
      </c>
      <c r="T8" s="602">
        <v>1</v>
      </c>
      <c r="U8" s="602">
        <v>1</v>
      </c>
      <c r="V8" s="602">
        <v>1</v>
      </c>
      <c r="W8" s="622"/>
      <c r="X8" s="620"/>
      <c r="Y8" s="608"/>
      <c r="Z8" s="1210">
        <f>'2010'!D16/-1000</f>
        <v>265.87270000000001</v>
      </c>
      <c r="AA8" s="1065">
        <f>'2015'!D16/-1000</f>
        <v>279.45600000000002</v>
      </c>
      <c r="AB8" s="1065">
        <f>'2019'!D16/-1000</f>
        <v>266.94150000000002</v>
      </c>
      <c r="AC8" s="1065">
        <f>AB8</f>
        <v>266.94150000000002</v>
      </c>
      <c r="AD8" s="1065">
        <f>AC8</f>
        <v>266.94150000000002</v>
      </c>
      <c r="AE8" s="1065">
        <f>AD8/2</f>
        <v>133.47075000000001</v>
      </c>
      <c r="AF8" s="1065">
        <f>AE8/2</f>
        <v>66.735375000000005</v>
      </c>
      <c r="AG8" s="1065"/>
    </row>
    <row r="9" spans="2:34">
      <c r="D9" s="618"/>
      <c r="G9" s="602" t="s">
        <v>79</v>
      </c>
      <c r="H9" s="588" t="s">
        <v>604</v>
      </c>
      <c r="I9" s="619" t="e">
        <f>IF([25]Refineries!M48&gt;0,[25]Refineries!M48/SUM([25]Refineries!M$48:M$55)*1.01,0)</f>
        <v>#REF!</v>
      </c>
      <c r="J9" s="619" t="e">
        <f>IF([25]Refineries!N48&gt;0,[25]Refineries!N48/SUM([25]Refineries!N$48:N$55)*1.01,0)</f>
        <v>#REF!</v>
      </c>
      <c r="K9" s="619" t="e">
        <f>IF([25]Refineries!O48&gt;0,[25]Refineries!O48/SUM([25]Refineries!O$48:O$55)*1.01,0)</f>
        <v>#REF!</v>
      </c>
      <c r="L9" s="619" t="e">
        <f>IF([25]Refineries!P48&gt;0,[25]Refineries!P48/SUM([25]Refineries!P$48:P$55)*1.01,0)</f>
        <v>#REF!</v>
      </c>
      <c r="M9" s="619">
        <v>5</v>
      </c>
      <c r="S9" s="626"/>
      <c r="T9" s="626"/>
      <c r="U9" s="626"/>
      <c r="V9" s="626"/>
      <c r="W9" s="620"/>
      <c r="X9" s="1066">
        <v>13.7</v>
      </c>
      <c r="Y9" s="619"/>
      <c r="Z9" s="1067"/>
      <c r="AA9" s="1067"/>
      <c r="AB9" s="1067"/>
      <c r="AC9" s="1067"/>
      <c r="AD9" s="1067"/>
      <c r="AE9" s="1067"/>
      <c r="AF9" s="1067"/>
      <c r="AG9" s="608"/>
      <c r="AH9" s="608"/>
    </row>
    <row r="10" spans="2:34">
      <c r="B10" s="618"/>
      <c r="D10" s="618"/>
      <c r="G10" s="602" t="s">
        <v>1607</v>
      </c>
      <c r="H10" s="588" t="s">
        <v>604</v>
      </c>
      <c r="I10" s="619" t="e">
        <f>IF([25]Refineries!M49&gt;0,[25]Refineries!M49/SUM([25]Refineries!M$48:M$55)*1.01,0)</f>
        <v>#REF!</v>
      </c>
      <c r="J10" s="619" t="e">
        <f>IF([25]Refineries!N49&gt;0,[25]Refineries!N49/SUM([25]Refineries!N$48:N$55)*1.01,0)</f>
        <v>#REF!</v>
      </c>
      <c r="K10" s="619" t="e">
        <f>IF([25]Refineries!O49&gt;0,[25]Refineries!O49/SUM([25]Refineries!O$48:O$55)*1.01,0)</f>
        <v>#REF!</v>
      </c>
      <c r="L10" s="619" t="e">
        <f>IF([25]Refineries!P49&gt;0,[25]Refineries!P49/SUM([25]Refineries!P$48:P$55)*1.01,0)</f>
        <v>#REF!</v>
      </c>
      <c r="M10" s="619">
        <v>5</v>
      </c>
      <c r="S10" s="619"/>
      <c r="T10" s="619"/>
      <c r="U10" s="619"/>
      <c r="V10" s="619"/>
      <c r="W10" s="628"/>
      <c r="X10" s="1066">
        <v>3.8999999999999986</v>
      </c>
      <c r="Z10" s="1068"/>
      <c r="AA10" s="1068"/>
      <c r="AB10" s="1068"/>
      <c r="AC10" s="1068"/>
      <c r="AD10" s="1068"/>
      <c r="AE10" s="1068"/>
      <c r="AF10" s="1068"/>
      <c r="AG10" s="608"/>
      <c r="AH10" s="608"/>
    </row>
    <row r="11" spans="2:34">
      <c r="B11" s="618"/>
      <c r="D11" s="618"/>
      <c r="E11" s="618"/>
      <c r="G11" s="602" t="s">
        <v>41</v>
      </c>
      <c r="H11" s="588" t="s">
        <v>604</v>
      </c>
      <c r="I11" s="619" t="e">
        <f>IF([25]Refineries!M50&gt;0,[25]Refineries!M50/SUM([25]Refineries!M$48:M$55)*1.01,0)</f>
        <v>#REF!</v>
      </c>
      <c r="J11" s="619" t="e">
        <f>IF([25]Refineries!N50&gt;0,[25]Refineries!N50/SUM([25]Refineries!N$48:N$55)*1.01,0)</f>
        <v>#REF!</v>
      </c>
      <c r="K11" s="619" t="e">
        <f>IF([25]Refineries!O50&gt;0,[25]Refineries!O50/SUM([25]Refineries!O$48:O$55)*1.01,0)</f>
        <v>#REF!</v>
      </c>
      <c r="L11" s="619" t="e">
        <f>IF([25]Refineries!P50&gt;0,[25]Refineries!P50/SUM([25]Refineries!P$48:P$55)*1.01,0)</f>
        <v>#REF!</v>
      </c>
      <c r="M11" s="619">
        <v>5</v>
      </c>
      <c r="N11" s="629"/>
      <c r="O11" s="629"/>
      <c r="P11" s="629"/>
      <c r="Q11" s="629"/>
      <c r="R11" s="629"/>
      <c r="S11" s="619"/>
      <c r="T11" s="619"/>
      <c r="U11" s="619"/>
      <c r="V11" s="619"/>
      <c r="W11" s="628"/>
      <c r="X11" s="1066">
        <v>3.8999999999999986</v>
      </c>
      <c r="Z11" s="1068"/>
      <c r="AA11" s="1068"/>
      <c r="AB11" s="1068"/>
      <c r="AC11" s="1068"/>
      <c r="AD11" s="1068"/>
      <c r="AE11" s="1068"/>
      <c r="AF11" s="1068"/>
      <c r="AG11" s="608"/>
      <c r="AH11" s="608"/>
    </row>
    <row r="12" spans="2:34">
      <c r="B12" s="618"/>
      <c r="D12" s="618"/>
      <c r="E12" s="618"/>
      <c r="G12" s="602" t="s">
        <v>75</v>
      </c>
      <c r="H12" s="588" t="s">
        <v>604</v>
      </c>
      <c r="I12" s="619" t="e">
        <f>IF([25]Refineries!M51&gt;0,[25]Refineries!M51/SUM([25]Refineries!M$48:M$55)*1.01,0)</f>
        <v>#REF!</v>
      </c>
      <c r="J12" s="619" t="e">
        <f>IF([25]Refineries!N51&gt;0,[25]Refineries!N51/SUM([25]Refineries!N$48:N$55)*1.01,0)</f>
        <v>#REF!</v>
      </c>
      <c r="K12" s="619" t="e">
        <f>IF([25]Refineries!O51&gt;0,[25]Refineries!O51/SUM([25]Refineries!O$48:O$55)*1.01,0)</f>
        <v>#REF!</v>
      </c>
      <c r="L12" s="619" t="e">
        <f>IF([25]Refineries!P51&gt;0,[25]Refineries!P51/SUM([25]Refineries!P$48:P$55)*1.01,0)</f>
        <v>#REF!</v>
      </c>
      <c r="M12" s="619">
        <v>5</v>
      </c>
      <c r="N12" s="629"/>
      <c r="O12" s="629"/>
      <c r="P12" s="629"/>
      <c r="Q12" s="629"/>
      <c r="R12" s="629"/>
      <c r="S12" s="619"/>
      <c r="T12" s="619"/>
      <c r="U12" s="619"/>
      <c r="V12" s="619"/>
      <c r="W12" s="628"/>
      <c r="X12" s="1066">
        <v>3.8999999999999986</v>
      </c>
      <c r="Z12" s="1068"/>
      <c r="AA12" s="1068"/>
      <c r="AB12" s="1068"/>
      <c r="AC12" s="1068"/>
      <c r="AD12" s="1068"/>
      <c r="AE12" s="1068"/>
      <c r="AF12" s="1068"/>
      <c r="AG12" s="608"/>
      <c r="AH12" s="608"/>
    </row>
    <row r="13" spans="2:34">
      <c r="B13" s="618"/>
      <c r="D13" s="618"/>
      <c r="E13" s="618"/>
      <c r="G13" s="602" t="s">
        <v>100</v>
      </c>
      <c r="H13" s="588" t="s">
        <v>604</v>
      </c>
      <c r="I13" s="619" t="e">
        <f>IF([25]Refineries!M52&gt;0,[25]Refineries!M52/SUM([25]Refineries!M$48:M$55)*1.01,0)</f>
        <v>#REF!</v>
      </c>
      <c r="J13" s="619" t="e">
        <f>IF([25]Refineries!N52&gt;0,[25]Refineries!N52/SUM([25]Refineries!N$48:N$55)*1.01,0)</f>
        <v>#REF!</v>
      </c>
      <c r="K13" s="619" t="e">
        <f>IF([25]Refineries!O52&gt;0,[25]Refineries!O52/SUM([25]Refineries!O$48:O$55)*1.01,0)</f>
        <v>#REF!</v>
      </c>
      <c r="L13" s="619" t="e">
        <f>IF([25]Refineries!P52&gt;0,[25]Refineries!P52/SUM([25]Refineries!P$48:P$55)*1.01,0)</f>
        <v>#REF!</v>
      </c>
      <c r="M13" s="619">
        <v>5</v>
      </c>
      <c r="N13" s="629"/>
      <c r="O13" s="629"/>
      <c r="P13" s="629"/>
      <c r="Q13" s="629"/>
      <c r="R13" s="629"/>
      <c r="S13" s="619"/>
      <c r="T13" s="619"/>
      <c r="U13" s="619"/>
      <c r="V13" s="619"/>
      <c r="W13" s="628"/>
      <c r="X13" s="1066">
        <v>3.8999999999999986</v>
      </c>
      <c r="Z13" s="1068"/>
      <c r="AA13" s="1068"/>
      <c r="AB13" s="1068"/>
      <c r="AC13" s="1068"/>
      <c r="AD13" s="1068"/>
      <c r="AE13" s="1068"/>
      <c r="AF13" s="1068"/>
      <c r="AG13" s="608"/>
      <c r="AH13" s="608"/>
    </row>
    <row r="14" spans="2:34">
      <c r="B14" s="618"/>
      <c r="D14" s="618"/>
      <c r="E14" s="618"/>
      <c r="G14" s="602" t="s">
        <v>76</v>
      </c>
      <c r="H14" s="588" t="s">
        <v>604</v>
      </c>
      <c r="I14" s="619" t="e">
        <f>IF([25]Refineries!M53&gt;0,[25]Refineries!M53/SUM([25]Refineries!M$48:M$55)*1.01,0)</f>
        <v>#REF!</v>
      </c>
      <c r="J14" s="619" t="e">
        <f>IF([25]Refineries!N53&gt;0,[25]Refineries!N53/SUM([25]Refineries!N$48:N$55)*1.01,0)</f>
        <v>#REF!</v>
      </c>
      <c r="K14" s="619" t="e">
        <f>IF([25]Refineries!O53&gt;0,[25]Refineries!O53/SUM([25]Refineries!O$48:O$55)*1.01,0)</f>
        <v>#REF!</v>
      </c>
      <c r="L14" s="619" t="e">
        <f>IF([25]Refineries!P53&gt;0,[25]Refineries!P53/SUM([25]Refineries!P$48:P$55)*1.01,0)</f>
        <v>#REF!</v>
      </c>
      <c r="M14" s="619">
        <v>5</v>
      </c>
      <c r="N14" s="629"/>
      <c r="O14" s="629"/>
      <c r="P14" s="629"/>
      <c r="Q14" s="629"/>
      <c r="R14" s="629"/>
      <c r="S14" s="619"/>
      <c r="T14" s="619"/>
      <c r="U14" s="619"/>
      <c r="V14" s="619"/>
      <c r="W14" s="628"/>
      <c r="X14" s="1066">
        <v>17.599999999999998</v>
      </c>
      <c r="Z14" s="1068"/>
      <c r="AA14" s="1068"/>
      <c r="AB14" s="1068"/>
      <c r="AC14" s="1068"/>
      <c r="AD14" s="1068"/>
      <c r="AE14" s="1068"/>
      <c r="AF14" s="1068"/>
      <c r="AG14" s="608"/>
      <c r="AH14" s="608"/>
    </row>
    <row r="15" spans="2:34">
      <c r="B15" s="618"/>
      <c r="D15" s="618"/>
      <c r="E15" s="618"/>
      <c r="G15" s="602" t="s">
        <v>45</v>
      </c>
      <c r="H15" s="588" t="s">
        <v>604</v>
      </c>
      <c r="I15" s="619" t="e">
        <f>IF([25]Refineries!M54&gt;0,[25]Refineries!M54/SUM([25]Refineries!M$48:M$55)*1.01,0)</f>
        <v>#REF!</v>
      </c>
      <c r="J15" s="619" t="e">
        <f>IF([25]Refineries!N54&gt;0,[25]Refineries!N54/SUM([25]Refineries!N$48:N$55)*1.01,0)</f>
        <v>#REF!</v>
      </c>
      <c r="K15" s="619" t="e">
        <f>IF([25]Refineries!O54&gt;0,[25]Refineries!O54/SUM([25]Refineries!O$48:O$55)*1.01,0)</f>
        <v>#REF!</v>
      </c>
      <c r="L15" s="619" t="e">
        <f>IF([25]Refineries!P54&gt;0,[25]Refineries!P54/SUM([25]Refineries!P$48:P$55)*1.01,0)</f>
        <v>#REF!</v>
      </c>
      <c r="M15" s="619">
        <v>5</v>
      </c>
      <c r="N15" s="629"/>
      <c r="O15" s="629"/>
      <c r="P15" s="629"/>
      <c r="Q15" s="629"/>
      <c r="R15" s="629"/>
      <c r="S15" s="619"/>
      <c r="T15" s="619"/>
      <c r="U15" s="619"/>
      <c r="V15" s="619"/>
      <c r="W15" s="628"/>
      <c r="X15" s="1066">
        <v>16.5</v>
      </c>
      <c r="Z15" s="1068"/>
      <c r="AA15" s="1068"/>
      <c r="AB15" s="1068"/>
      <c r="AC15" s="1068"/>
      <c r="AD15" s="1068"/>
      <c r="AE15" s="1068"/>
      <c r="AF15" s="1068"/>
      <c r="AG15" s="608"/>
      <c r="AH15" s="608"/>
    </row>
    <row r="16" spans="2:34">
      <c r="B16" s="618"/>
      <c r="D16" s="618"/>
      <c r="E16" s="618"/>
      <c r="G16" s="602" t="s">
        <v>44</v>
      </c>
      <c r="H16" s="588" t="s">
        <v>604</v>
      </c>
      <c r="I16" s="619" t="e">
        <f>IF([25]Refineries!M55&gt;0,[25]Refineries!M55/SUM([25]Refineries!M$48:M$55)*1.01,0)</f>
        <v>#REF!</v>
      </c>
      <c r="J16" s="619" t="e">
        <f>IF([25]Refineries!N55&gt;0,[25]Refineries!N55/SUM([25]Refineries!N$48:N$55)*1.01,0)</f>
        <v>#REF!</v>
      </c>
      <c r="K16" s="619" t="e">
        <f>IF([25]Refineries!O55&gt;0,[25]Refineries!O55/SUM([25]Refineries!O$48:O$55)*1.01,0)</f>
        <v>#REF!</v>
      </c>
      <c r="L16" s="619" t="e">
        <f>IF([25]Refineries!P55&gt;0,[25]Refineries!P55/SUM([25]Refineries!P$48:P$55)*1.01,0)</f>
        <v>#REF!</v>
      </c>
      <c r="M16" s="619">
        <v>5</v>
      </c>
      <c r="N16" s="629"/>
      <c r="O16" s="629"/>
      <c r="P16" s="629"/>
      <c r="Q16" s="629"/>
      <c r="R16" s="629"/>
      <c r="S16" s="619"/>
      <c r="T16" s="619"/>
      <c r="U16" s="619"/>
      <c r="V16" s="619"/>
      <c r="W16" s="628"/>
      <c r="X16" s="1066">
        <v>-11.8</v>
      </c>
      <c r="Z16" s="1068"/>
      <c r="AA16" s="1068"/>
      <c r="AB16" s="1068"/>
      <c r="AC16" s="1068"/>
      <c r="AD16" s="1068"/>
      <c r="AE16" s="1068"/>
      <c r="AF16" s="1068"/>
      <c r="AG16" s="608"/>
      <c r="AH16" s="608"/>
    </row>
    <row r="17" spans="2:49">
      <c r="B17" s="618"/>
      <c r="D17" s="618"/>
      <c r="E17" s="618" t="s">
        <v>1590</v>
      </c>
      <c r="G17" s="602"/>
      <c r="H17" s="588"/>
      <c r="I17" s="619"/>
      <c r="J17" s="619"/>
      <c r="K17" s="619"/>
      <c r="L17" s="619"/>
      <c r="M17" s="619"/>
      <c r="N17" s="1069" t="e">
        <f>IF(-[25]Refineries!M47/SUM([25]Refineries!M48:M56)-S8&lt;0,0,-[25]Refineries!M47/SUM([25]Refineries!M48:M56)-S8)+0.06</f>
        <v>#REF!</v>
      </c>
      <c r="O17" s="1069" t="e">
        <f>IF(-[25]Refineries!N47/SUM([25]Refineries!N48:N56)-T8&lt;0,0,-[25]Refineries!N47/SUM([25]Refineries!N48:N56)-T8)+0.06</f>
        <v>#REF!</v>
      </c>
      <c r="P17" s="1069" t="e">
        <f>IF(-[25]Refineries!O47/SUM([25]Refineries!O48:O56)-U8&lt;0,0,-[25]Refineries!O47/SUM([25]Refineries!O48:O56)-U8)+0.06</f>
        <v>#REF!</v>
      </c>
      <c r="Q17" s="1069" t="e">
        <f>IF(-[25]Refineries!P47/SUM([25]Refineries!P48:P56)-V8&lt;0,0,-[25]Refineries!P47/SUM([25]Refineries!P48:P56)-V8)+0.06</f>
        <v>#REF!</v>
      </c>
      <c r="R17" s="1069" t="e">
        <f>AVERAGE(N17:Q17)</f>
        <v>#REF!</v>
      </c>
      <c r="S17" s="619"/>
      <c r="T17" s="619"/>
      <c r="U17" s="619"/>
      <c r="V17" s="619"/>
      <c r="W17" s="628"/>
      <c r="X17" s="1066"/>
      <c r="Z17" s="1068"/>
      <c r="AA17" s="1068"/>
      <c r="AB17" s="1068"/>
      <c r="AC17" s="1068"/>
      <c r="AD17" s="1068"/>
      <c r="AE17" s="1068"/>
      <c r="AF17" s="1068"/>
      <c r="AG17" s="608"/>
      <c r="AH17" s="608"/>
    </row>
    <row r="18" spans="2:49">
      <c r="B18" s="618"/>
      <c r="D18" s="618"/>
      <c r="E18" s="618" t="s">
        <v>212</v>
      </c>
      <c r="G18" s="602"/>
      <c r="H18" s="588"/>
      <c r="I18" s="619"/>
      <c r="J18" s="619"/>
      <c r="K18" s="619"/>
      <c r="L18" s="619"/>
      <c r="M18" s="619"/>
      <c r="N18" s="1069">
        <v>4.1972380217775156E-2</v>
      </c>
      <c r="O18" s="1069">
        <v>2.8338206379318595E-2</v>
      </c>
      <c r="P18" s="1069">
        <v>4.1972380217775156E-2</v>
      </c>
      <c r="Q18" s="1069">
        <v>4.1972380217775156E-2</v>
      </c>
      <c r="R18" s="1069">
        <v>3.8563836758161017E-2</v>
      </c>
      <c r="S18" s="619"/>
      <c r="T18" s="619"/>
      <c r="U18" s="619"/>
      <c r="V18" s="619"/>
      <c r="W18" s="628"/>
      <c r="X18" s="1066"/>
      <c r="Z18" s="619"/>
      <c r="AA18" s="619"/>
      <c r="AB18" s="619"/>
      <c r="AC18" s="619"/>
      <c r="AD18" s="619"/>
      <c r="AE18" s="619"/>
      <c r="AF18" s="619"/>
      <c r="AG18" s="608"/>
      <c r="AH18" s="608"/>
    </row>
    <row r="19" spans="2:49">
      <c r="B19" s="618"/>
      <c r="D19" s="618"/>
      <c r="E19" s="618" t="s">
        <v>342</v>
      </c>
      <c r="G19" s="602"/>
      <c r="H19" s="588"/>
      <c r="I19" s="619"/>
      <c r="J19" s="619"/>
      <c r="K19" s="619"/>
      <c r="L19" s="619"/>
      <c r="M19" s="619"/>
      <c r="S19" s="619"/>
      <c r="T19" s="619"/>
      <c r="U19" s="619"/>
      <c r="V19" s="619"/>
      <c r="W19" s="628"/>
      <c r="X19" s="1066"/>
      <c r="Z19" s="619"/>
      <c r="AA19" s="619"/>
      <c r="AB19" s="619"/>
      <c r="AC19" s="619"/>
      <c r="AD19" s="619"/>
      <c r="AE19" s="619"/>
      <c r="AF19" s="619"/>
      <c r="AG19" s="608"/>
      <c r="AH19" s="608"/>
    </row>
    <row r="20" spans="2:49">
      <c r="B20" s="618"/>
      <c r="D20" s="618"/>
      <c r="E20" s="606" t="s">
        <v>1608</v>
      </c>
      <c r="I20" s="619"/>
      <c r="J20" s="619"/>
      <c r="K20" s="619"/>
      <c r="L20" s="619"/>
      <c r="M20" s="619"/>
      <c r="N20" s="620" t="e">
        <f>IF([25]Refineries!M$52&lt;0,[25]Refineries!M$52/[25]Refineries!M$47,0)</f>
        <v>#REF!</v>
      </c>
      <c r="O20" s="620" t="e">
        <f>IF([25]Refineries!N$52&lt;0,[25]Refineries!N$52/[25]Refineries!N$47,0)</f>
        <v>#REF!</v>
      </c>
      <c r="P20" s="620" t="e">
        <f>IF([25]Refineries!O$52&lt;0,[25]Refineries!O$52/[25]Refineries!O$47,0)</f>
        <v>#REF!</v>
      </c>
      <c r="Q20" s="620" t="e">
        <f>IF([25]Refineries!P$52&lt;0,[25]Refineries!P$52/[25]Refineries!P$47,0)</f>
        <v>#REF!</v>
      </c>
      <c r="R20" s="1069" t="e">
        <f>AVERAGE(N20:Q20)</f>
        <v>#REF!</v>
      </c>
      <c r="S20" s="619"/>
      <c r="T20" s="619"/>
      <c r="U20" s="619"/>
      <c r="V20" s="619"/>
      <c r="W20" s="628"/>
      <c r="X20" s="628"/>
      <c r="Z20" s="1068"/>
      <c r="AA20" s="1068"/>
      <c r="AB20" s="1068"/>
      <c r="AC20" s="1068"/>
      <c r="AD20" s="1068"/>
      <c r="AE20" s="1068"/>
      <c r="AF20" s="1068"/>
      <c r="AG20" s="608"/>
      <c r="AH20" s="608"/>
    </row>
    <row r="21" spans="2:49">
      <c r="B21" s="1070"/>
      <c r="C21" s="1055"/>
      <c r="D21" s="1070"/>
      <c r="E21" s="1070" t="s">
        <v>729</v>
      </c>
      <c r="F21" s="1055"/>
      <c r="G21" s="1055"/>
      <c r="H21" s="1055"/>
      <c r="I21" s="1071"/>
      <c r="J21" s="1071"/>
      <c r="K21" s="1071"/>
      <c r="L21" s="1071"/>
      <c r="M21" s="1071"/>
      <c r="N21" s="1069">
        <v>1.8451031110872766E-2</v>
      </c>
      <c r="O21" s="1069">
        <v>1.245745713772285E-2</v>
      </c>
      <c r="P21" s="1069">
        <v>1.8451031110872766E-2</v>
      </c>
      <c r="Q21" s="1069">
        <v>1.8451031110872766E-2</v>
      </c>
      <c r="R21" s="1069">
        <v>1.6952637617585285E-2</v>
      </c>
      <c r="S21" s="1071"/>
      <c r="T21" s="1071"/>
      <c r="U21" s="1071"/>
      <c r="V21" s="1071"/>
      <c r="W21" s="1072"/>
      <c r="X21" s="1072"/>
      <c r="Y21" s="1055"/>
      <c r="Z21" s="1073"/>
      <c r="AA21" s="1073"/>
      <c r="AB21" s="1073"/>
      <c r="AC21" s="1073"/>
      <c r="AD21" s="1073"/>
      <c r="AE21" s="1073"/>
      <c r="AF21" s="1073"/>
      <c r="AG21" s="608"/>
      <c r="AH21" s="608"/>
    </row>
    <row r="22" spans="2:49">
      <c r="AG22" s="608"/>
      <c r="AH22" s="608"/>
    </row>
    <row r="23" spans="2:49">
      <c r="AG23" s="608"/>
      <c r="AH23" s="608"/>
    </row>
    <row r="24" spans="2:49">
      <c r="AG24" s="608"/>
      <c r="AH24" s="608"/>
    </row>
    <row r="25" spans="2:49" s="1055" customFormat="1" ht="27" customHeight="1">
      <c r="AG25" s="1056"/>
      <c r="AH25" s="1056"/>
    </row>
    <row r="26" spans="2:49">
      <c r="B26" s="606" t="s">
        <v>1596</v>
      </c>
      <c r="AG26" s="608"/>
      <c r="AH26" s="608"/>
    </row>
    <row r="27" spans="2:49">
      <c r="AG27" s="608"/>
      <c r="AH27" s="608"/>
    </row>
    <row r="28" spans="2:49">
      <c r="G28" s="609" t="s">
        <v>1595</v>
      </c>
      <c r="AR28" s="1304" t="s">
        <v>1895</v>
      </c>
      <c r="AS28" s="1304"/>
    </row>
    <row r="29" spans="2:49" ht="43.5" customHeight="1">
      <c r="B29" s="610" t="s">
        <v>1</v>
      </c>
      <c r="C29" s="610" t="s">
        <v>2</v>
      </c>
      <c r="D29" s="610" t="s">
        <v>80</v>
      </c>
      <c r="E29" s="610" t="s">
        <v>81</v>
      </c>
      <c r="F29" s="610" t="s">
        <v>13</v>
      </c>
      <c r="G29" s="610" t="s">
        <v>205</v>
      </c>
      <c r="H29" s="610" t="s">
        <v>296</v>
      </c>
      <c r="I29" s="610" t="s">
        <v>873</v>
      </c>
      <c r="J29" s="610" t="s">
        <v>297</v>
      </c>
      <c r="K29" s="610" t="s">
        <v>874</v>
      </c>
      <c r="L29" s="610" t="s">
        <v>875</v>
      </c>
      <c r="M29" s="610" t="s">
        <v>92</v>
      </c>
      <c r="N29" s="610" t="s">
        <v>1591</v>
      </c>
      <c r="O29" s="610" t="s">
        <v>1592</v>
      </c>
      <c r="P29" s="610" t="s">
        <v>1593</v>
      </c>
      <c r="Q29" s="610" t="s">
        <v>1594</v>
      </c>
      <c r="R29" s="610" t="s">
        <v>82</v>
      </c>
      <c r="S29" s="610" t="s">
        <v>876</v>
      </c>
      <c r="T29" s="610" t="s">
        <v>144</v>
      </c>
      <c r="U29" s="610" t="s">
        <v>877</v>
      </c>
      <c r="V29" s="610" t="s">
        <v>878</v>
      </c>
      <c r="W29" s="610" t="s">
        <v>1896</v>
      </c>
      <c r="X29" s="610" t="s">
        <v>1897</v>
      </c>
      <c r="Y29" s="610" t="s">
        <v>1898</v>
      </c>
      <c r="Z29" s="610" t="s">
        <v>1899</v>
      </c>
      <c r="AA29" s="610" t="s">
        <v>1900</v>
      </c>
      <c r="AB29" s="611" t="s">
        <v>879</v>
      </c>
      <c r="AC29" s="611" t="s">
        <v>880</v>
      </c>
      <c r="AD29" s="611" t="s">
        <v>881</v>
      </c>
      <c r="AE29" s="611" t="s">
        <v>882</v>
      </c>
      <c r="AF29" s="611" t="s">
        <v>883</v>
      </c>
      <c r="AG29" s="610" t="s">
        <v>83</v>
      </c>
      <c r="AH29" s="610" t="s">
        <v>278</v>
      </c>
      <c r="AI29" s="610" t="s">
        <v>258</v>
      </c>
      <c r="AJ29" s="612" t="s">
        <v>145</v>
      </c>
      <c r="AK29" s="612" t="s">
        <v>147</v>
      </c>
      <c r="AL29" s="612" t="s">
        <v>156</v>
      </c>
      <c r="AM29" s="612" t="s">
        <v>724</v>
      </c>
      <c r="AN29" s="612" t="s">
        <v>725</v>
      </c>
      <c r="AO29" s="612" t="s">
        <v>1901</v>
      </c>
      <c r="AP29" s="613" t="s">
        <v>884</v>
      </c>
      <c r="AQ29" s="610" t="s">
        <v>159</v>
      </c>
      <c r="AR29" s="610" t="s">
        <v>84</v>
      </c>
      <c r="AT29" s="614" t="s">
        <v>157</v>
      </c>
      <c r="AV29" s="249"/>
      <c r="AW29" s="249"/>
    </row>
    <row r="30" spans="2:49" ht="57.75" customHeight="1" thickBot="1">
      <c r="B30" s="615"/>
      <c r="C30" s="615" t="s">
        <v>91</v>
      </c>
      <c r="D30" s="615" t="s">
        <v>85</v>
      </c>
      <c r="E30" s="615" t="s">
        <v>86</v>
      </c>
      <c r="F30" s="615" t="s">
        <v>87</v>
      </c>
      <c r="G30" s="615" t="s">
        <v>283</v>
      </c>
      <c r="H30" s="615" t="s">
        <v>885</v>
      </c>
      <c r="I30" s="615" t="s">
        <v>886</v>
      </c>
      <c r="J30" s="615" t="s">
        <v>887</v>
      </c>
      <c r="K30" s="615" t="s">
        <v>888</v>
      </c>
      <c r="L30" s="615" t="s">
        <v>889</v>
      </c>
      <c r="M30" s="615" t="s">
        <v>88</v>
      </c>
      <c r="N30" s="1053"/>
      <c r="O30" s="1053"/>
      <c r="P30" s="1053"/>
      <c r="Q30" s="1053"/>
      <c r="R30" s="615" t="s">
        <v>160</v>
      </c>
      <c r="S30" s="615" t="s">
        <v>89</v>
      </c>
      <c r="T30" s="615" t="s">
        <v>89</v>
      </c>
      <c r="U30" s="615" t="s">
        <v>89</v>
      </c>
      <c r="V30" s="615" t="s">
        <v>89</v>
      </c>
      <c r="W30" s="615" t="s">
        <v>1902</v>
      </c>
      <c r="X30" s="615" t="s">
        <v>1902</v>
      </c>
      <c r="Y30" s="615" t="s">
        <v>1902</v>
      </c>
      <c r="Z30" s="615" t="s">
        <v>1902</v>
      </c>
      <c r="AA30" s="615" t="s">
        <v>890</v>
      </c>
      <c r="AB30" s="615" t="s">
        <v>1902</v>
      </c>
      <c r="AC30" s="615" t="s">
        <v>890</v>
      </c>
      <c r="AD30" s="615" t="s">
        <v>890</v>
      </c>
      <c r="AE30" s="615" t="s">
        <v>890</v>
      </c>
      <c r="AF30" s="615" t="s">
        <v>890</v>
      </c>
      <c r="AG30" s="615" t="s">
        <v>255</v>
      </c>
      <c r="AH30" s="615" t="s">
        <v>279</v>
      </c>
      <c r="AI30" s="615" t="s">
        <v>146</v>
      </c>
      <c r="AJ30" s="615" t="s">
        <v>148</v>
      </c>
      <c r="AK30" s="615" t="s">
        <v>891</v>
      </c>
      <c r="AL30" s="615" t="s">
        <v>892</v>
      </c>
      <c r="AM30" s="615" t="s">
        <v>257</v>
      </c>
      <c r="AN30" s="615" t="s">
        <v>257</v>
      </c>
      <c r="AO30" s="615" t="s">
        <v>295</v>
      </c>
      <c r="AP30" s="615" t="s">
        <v>294</v>
      </c>
      <c r="AQ30" s="615" t="s">
        <v>90</v>
      </c>
      <c r="AR30" s="615" t="s">
        <v>90</v>
      </c>
      <c r="AT30" s="616" t="s">
        <v>158</v>
      </c>
      <c r="AV30" s="617" t="s">
        <v>1894</v>
      </c>
      <c r="AW30" s="617" t="s">
        <v>893</v>
      </c>
    </row>
    <row r="31" spans="2:49">
      <c r="B31" s="618" t="str">
        <f>Processes!D188</f>
        <v>FT-GRDELCMID</v>
      </c>
      <c r="C31" s="618" t="str">
        <f>Processes!E188</f>
        <v>Power transmission line medium voltage</v>
      </c>
      <c r="D31" s="618"/>
      <c r="E31" s="606" t="str">
        <f>[12]Commodities!$D$19</f>
        <v>CRD</v>
      </c>
      <c r="H31" s="619"/>
      <c r="I31" s="619"/>
      <c r="J31" s="619"/>
      <c r="K31" s="619"/>
      <c r="L31" s="619"/>
      <c r="M31" s="619"/>
      <c r="N31" s="619"/>
      <c r="O31" s="619"/>
      <c r="P31" s="619"/>
      <c r="Q31" s="619"/>
      <c r="R31" s="606">
        <v>1</v>
      </c>
      <c r="S31" s="606">
        <v>1</v>
      </c>
      <c r="T31" s="606">
        <v>1</v>
      </c>
      <c r="U31" s="606">
        <v>1</v>
      </c>
      <c r="V31" s="606">
        <v>1</v>
      </c>
      <c r="W31" s="621">
        <f>'Eurostat_EB-2010'!$W$31*'[12]MIN-IMP-EXP'!$P$4*$AV$31</f>
        <v>456.40500000000009</v>
      </c>
      <c r="X31" s="621">
        <f>'Eurostat_EB-2011'!$W$31*'[12]MIN-IMP-EXP'!$P$4*$AV$31</f>
        <v>507.79499999999996</v>
      </c>
      <c r="Y31" s="621">
        <f>'Eurostat_EB-2012'!$W$31*'[12]MIN-IMP-EXP'!$P$4*$AV$31</f>
        <v>487.49549999999999</v>
      </c>
      <c r="Z31" s="621">
        <f>'Eurostat_EB-2013'!$W$31*'[12]MIN-IMP-EXP'!$P$4*$AV$31</f>
        <v>519.43200000000002</v>
      </c>
      <c r="AA31" s="621">
        <f>'Eurostat_EB-2014'!$W$31*'[12]MIN-IMP-EXP'!$P$4*$AV$31</f>
        <v>466.27949999999998</v>
      </c>
      <c r="AB31" s="621">
        <f>'Eurostat_EB-2010'!$W$31*'[12]MIN-IMP-EXP'!$P$4*$AW$31</f>
        <v>152.13500000000002</v>
      </c>
      <c r="AC31" s="621">
        <f>'Eurostat_EB-2011'!$W$31*'[12]MIN-IMP-EXP'!$P$4*$AW$31</f>
        <v>169.26499999999999</v>
      </c>
      <c r="AD31" s="621">
        <f>'Eurostat_EB-2012'!$W$31*'[12]MIN-IMP-EXP'!$P$4*$AW$31</f>
        <v>162.49850000000001</v>
      </c>
      <c r="AE31" s="621">
        <f>'Eurostat_EB-2013'!$W$31*'[12]MIN-IMP-EXP'!$P$4*$AW$31</f>
        <v>173.14400000000001</v>
      </c>
      <c r="AF31" s="621">
        <f>'Eurostat_EB-2014'!$W$31*'[12]MIN-IMP-EXP'!$P$4*$AW$31</f>
        <v>155.4265</v>
      </c>
      <c r="AG31" s="622"/>
      <c r="AH31" s="620"/>
      <c r="AI31" s="608"/>
      <c r="AJ31" s="608"/>
      <c r="AK31" s="619"/>
      <c r="AL31" s="619"/>
      <c r="AM31" s="619"/>
      <c r="AN31" s="619"/>
      <c r="AO31" s="619">
        <f>MAX(W31:AA31)*(1+$AT$31)</f>
        <v>571.37520000000006</v>
      </c>
      <c r="AP31" s="619">
        <f>MAX(AB31:AF31)*(1+$AT$31)</f>
        <v>190.45840000000001</v>
      </c>
      <c r="AQ31" s="623">
        <v>5</v>
      </c>
      <c r="AR31" s="623">
        <v>5</v>
      </c>
      <c r="AT31" s="624">
        <v>0.1</v>
      </c>
      <c r="AV31" s="602">
        <f>'[12]MIN-IMP-EXP'!AD30</f>
        <v>0.75</v>
      </c>
      <c r="AW31" s="602">
        <f>'[12]MIN-IMP-EXP'!AE30</f>
        <v>0.25</v>
      </c>
    </row>
    <row r="32" spans="2:49">
      <c r="C32" s="618"/>
      <c r="E32" s="625"/>
      <c r="F32" s="606" t="str">
        <f>[12]Commodities!D20</f>
        <v>LPG</v>
      </c>
      <c r="G32" s="588" t="s">
        <v>604</v>
      </c>
      <c r="H32" s="619">
        <f>'Eurostat_EB-2010'!$AE$89/('Eurostat_EB-2010'!$AE$89+'Eurostat_EB-2010'!$AK$89+'Eurostat_EB-2010'!$AF$89+('Eurostat_EB-2010'!$AI$89+'Eurostat_EB-2010'!$AJ$89)+'Eurostat_EB-2010'!$AL$89+'Eurostat_EB-2010'!$AM$89)</f>
        <v>3.1209402925217403E-2</v>
      </c>
      <c r="I32" s="619">
        <f>'Eurostat_EB-2011'!$AE$89/('Eurostat_EB-2011'!$AE$89+'Eurostat_EB-2011'!$AK$89+'Eurostat_EB-2011'!$AF$89+('Eurostat_EB-2011'!$AI$89+'Eurostat_EB-2011'!$AJ$89)+'Eurostat_EB-2011'!$AL$89+'Eurostat_EB-2011'!$AM$89)</f>
        <v>2.9510484500259331E-2</v>
      </c>
      <c r="J32" s="619">
        <f>'Eurostat_EB-2012'!$AE$89/('Eurostat_EB-2012'!$AE$89+'Eurostat_EB-2012'!$AK$89+'Eurostat_EB-2012'!$AF$89+('Eurostat_EB-2012'!$AI$89+'Eurostat_EB-2012'!$AJ$89)+'Eurostat_EB-2012'!$AL$89+'Eurostat_EB-2012'!$AM$89)</f>
        <v>3.1812743307982179E-2</v>
      </c>
      <c r="K32" s="619">
        <f>'Eurostat_EB-2013'!$AE$89/('Eurostat_EB-2013'!$AE$89+'Eurostat_EB-2013'!$AK$89+'Eurostat_EB-2013'!$AF$89+('Eurostat_EB-2013'!$AI$89+'Eurostat_EB-2013'!$AJ$89)+'Eurostat_EB-2013'!$AL$89+'Eurostat_EB-2013'!$AM$89)</f>
        <v>3.3227881503909963E-2</v>
      </c>
      <c r="L32" s="619">
        <f>'Eurostat_EB-2014'!$AE$89/('Eurostat_EB-2014'!$AE$89+'Eurostat_EB-2014'!$AK$89+'Eurostat_EB-2014'!$AF$89+('Eurostat_EB-2014'!$AI$89+'Eurostat_EB-2014'!$AJ$89)+'Eurostat_EB-2014'!$AL$89+'Eurostat_EB-2014'!$AM$89)</f>
        <v>2.8425104658900427E-2</v>
      </c>
      <c r="R32" s="626"/>
      <c r="S32" s="626"/>
      <c r="T32" s="626"/>
      <c r="U32" s="626"/>
      <c r="V32" s="626"/>
      <c r="W32" s="620"/>
      <c r="X32" s="620"/>
      <c r="Y32" s="620"/>
      <c r="Z32" s="620"/>
      <c r="AA32" s="626"/>
      <c r="AB32" s="626"/>
      <c r="AC32" s="626"/>
      <c r="AD32" s="626"/>
      <c r="AE32" s="626"/>
      <c r="AF32" s="626"/>
      <c r="AG32" s="620"/>
      <c r="AH32" s="627">
        <f>G55</f>
        <v>3.8999999999999986</v>
      </c>
      <c r="AI32" s="619"/>
      <c r="AJ32" s="619"/>
      <c r="AK32" s="619">
        <f>MAX(H32:L32)</f>
        <v>3.3227881503909963E-2</v>
      </c>
      <c r="AL32" s="619">
        <f>MIN(H32:L32)</f>
        <v>2.8425104658900427E-2</v>
      </c>
      <c r="AM32" s="619">
        <v>5</v>
      </c>
      <c r="AN32" s="619">
        <v>5</v>
      </c>
      <c r="AO32" s="626"/>
      <c r="AP32" s="626"/>
      <c r="AQ32" s="626"/>
      <c r="AR32" s="626"/>
    </row>
    <row r="33" spans="2:46">
      <c r="B33" s="618"/>
      <c r="C33" s="618"/>
      <c r="E33" s="625"/>
      <c r="F33" s="606" t="str">
        <f>[12]Commodities!D21</f>
        <v>LVN</v>
      </c>
      <c r="G33" s="588" t="s">
        <v>604</v>
      </c>
      <c r="H33" s="619">
        <f>'Eurostat_EB-2010'!$AK$89/('Eurostat_EB-2010'!$AE$89+'Eurostat_EB-2010'!$AK$89+'Eurostat_EB-2010'!$AF$89+('Eurostat_EB-2010'!$AI$89+'Eurostat_EB-2010'!$AJ$89)+'Eurostat_EB-2010'!$AL$89+'Eurostat_EB-2010'!$AM$89)</f>
        <v>0.1157918550485194</v>
      </c>
      <c r="I33" s="619">
        <f>'Eurostat_EB-2011'!$AK$89/('Eurostat_EB-2011'!$AE$89+'Eurostat_EB-2011'!$AK$89+'Eurostat_EB-2011'!$AF$89+('Eurostat_EB-2011'!$AI$89+'Eurostat_EB-2011'!$AJ$89)+'Eurostat_EB-2011'!$AL$89+'Eurostat_EB-2011'!$AM$89)</f>
        <v>0.10256322395851991</v>
      </c>
      <c r="J33" s="619">
        <f>'Eurostat_EB-2012'!$AK$89/('Eurostat_EB-2012'!$AE$89+'Eurostat_EB-2012'!$AK$89+'Eurostat_EB-2012'!$AF$89+('Eurostat_EB-2012'!$AI$89+'Eurostat_EB-2012'!$AJ$89)+'Eurostat_EB-2012'!$AL$89+'Eurostat_EB-2012'!$AM$89)</f>
        <v>0.13422373871218693</v>
      </c>
      <c r="K33" s="619">
        <f>'Eurostat_EB-2013'!$AK$89/('Eurostat_EB-2013'!$AE$89+'Eurostat_EB-2013'!$AK$89+'Eurostat_EB-2013'!$AF$89+('Eurostat_EB-2013'!$AI$89+'Eurostat_EB-2013'!$AJ$89)+'Eurostat_EB-2013'!$AL$89+'Eurostat_EB-2013'!$AM$89)</f>
        <v>0.12160234507176053</v>
      </c>
      <c r="L33" s="619">
        <f>'Eurostat_EB-2014'!$AK$89/('Eurostat_EB-2014'!$AE$89+'Eurostat_EB-2014'!$AK$89+'Eurostat_EB-2014'!$AF$89+('Eurostat_EB-2014'!$AI$89+'Eurostat_EB-2014'!$AJ$89)+'Eurostat_EB-2014'!$AL$89+'Eurostat_EB-2014'!$AM$89)</f>
        <v>0.1162594024545355</v>
      </c>
      <c r="R33" s="619"/>
      <c r="S33" s="619"/>
      <c r="T33" s="619"/>
      <c r="U33" s="619"/>
      <c r="V33" s="619"/>
      <c r="W33" s="619"/>
      <c r="X33" s="619"/>
      <c r="Y33" s="619"/>
      <c r="Z33" s="619"/>
      <c r="AA33" s="619"/>
      <c r="AB33" s="619"/>
      <c r="AC33" s="619"/>
      <c r="AD33" s="619"/>
      <c r="AE33" s="619"/>
      <c r="AF33" s="619"/>
      <c r="AG33" s="628"/>
      <c r="AH33" s="627">
        <f t="shared" ref="AH33:AH37" si="0">G56</f>
        <v>3.8999999999999986</v>
      </c>
      <c r="AK33" s="619">
        <f t="shared" ref="AK33:AK37" si="1">MAX(H33:L33)</f>
        <v>0.13422373871218693</v>
      </c>
      <c r="AL33" s="619">
        <f t="shared" ref="AL33:AL37" si="2">MIN(H33:L33)</f>
        <v>0.10256322395851991</v>
      </c>
      <c r="AM33" s="619">
        <v>5</v>
      </c>
      <c r="AN33" s="619">
        <v>5</v>
      </c>
      <c r="AO33" s="619"/>
      <c r="AP33" s="619"/>
      <c r="AQ33" s="619"/>
      <c r="AR33" s="619"/>
    </row>
    <row r="34" spans="2:46">
      <c r="B34" s="618"/>
      <c r="C34" s="618"/>
      <c r="D34" s="618"/>
      <c r="E34" s="625"/>
      <c r="F34" s="606" t="str">
        <f>[12]Commodities!D22</f>
        <v>GSL</v>
      </c>
      <c r="G34" s="588" t="s">
        <v>604</v>
      </c>
      <c r="H34" s="619">
        <f>'Eurostat_EB-2010'!$AF$89/('Eurostat_EB-2010'!$AE$89+'Eurostat_EB-2010'!$AK$89+'Eurostat_EB-2010'!$AF$89+('Eurostat_EB-2010'!$AI$89+'Eurostat_EB-2010'!$AJ$89)+'Eurostat_EB-2010'!$AL$89+'Eurostat_EB-2010'!$AM$89)</f>
        <v>0.25586568816647753</v>
      </c>
      <c r="I34" s="619">
        <f>'Eurostat_EB-2011'!$AF$89/('Eurostat_EB-2011'!$AE$89+'Eurostat_EB-2011'!$AK$89+'Eurostat_EB-2011'!$AF$89+('Eurostat_EB-2011'!$AI$89+'Eurostat_EB-2011'!$AJ$89)+'Eurostat_EB-2011'!$AL$89+'Eurostat_EB-2011'!$AM$89)</f>
        <v>0.26630459330605583</v>
      </c>
      <c r="J34" s="619">
        <f>'Eurostat_EB-2012'!$AF$89/('Eurostat_EB-2012'!$AE$89+'Eurostat_EB-2012'!$AK$89+'Eurostat_EB-2012'!$AF$89+('Eurostat_EB-2012'!$AI$89+'Eurostat_EB-2012'!$AJ$89)+'Eurostat_EB-2012'!$AL$89+'Eurostat_EB-2012'!$AM$89)</f>
        <v>0.25827826206416221</v>
      </c>
      <c r="K34" s="619">
        <f>'Eurostat_EB-2013'!$AF$89/('Eurostat_EB-2013'!$AE$89+'Eurostat_EB-2013'!$AK$89+'Eurostat_EB-2013'!$AF$89+('Eurostat_EB-2013'!$AI$89+'Eurostat_EB-2013'!$AJ$89)+'Eurostat_EB-2013'!$AL$89+'Eurostat_EB-2013'!$AM$89)</f>
        <v>0.25525273757573386</v>
      </c>
      <c r="L34" s="619">
        <f>'Eurostat_EB-2014'!$AF$89/('Eurostat_EB-2014'!$AE$89+'Eurostat_EB-2014'!$AK$89+'Eurostat_EB-2014'!$AF$89+('Eurostat_EB-2014'!$AI$89+'Eurostat_EB-2014'!$AJ$89)+'Eurostat_EB-2014'!$AL$89+'Eurostat_EB-2014'!$AM$89)</f>
        <v>0.24398116560954861</v>
      </c>
      <c r="M34" s="629"/>
      <c r="N34" s="629"/>
      <c r="O34" s="629"/>
      <c r="P34" s="629"/>
      <c r="Q34" s="629"/>
      <c r="R34" s="619"/>
      <c r="S34" s="619"/>
      <c r="T34" s="619"/>
      <c r="U34" s="619"/>
      <c r="V34" s="619"/>
      <c r="W34" s="619"/>
      <c r="X34" s="619"/>
      <c r="Y34" s="619"/>
      <c r="Z34" s="619"/>
      <c r="AA34" s="619"/>
      <c r="AB34" s="619"/>
      <c r="AC34" s="619"/>
      <c r="AD34" s="619"/>
      <c r="AE34" s="619"/>
      <c r="AF34" s="619"/>
      <c r="AG34" s="628"/>
      <c r="AH34" s="627">
        <f t="shared" si="0"/>
        <v>17.599999999999998</v>
      </c>
      <c r="AK34" s="619">
        <f t="shared" si="1"/>
        <v>0.26630459330605583</v>
      </c>
      <c r="AL34" s="619">
        <f t="shared" si="2"/>
        <v>0.24398116560954861</v>
      </c>
      <c r="AM34" s="619">
        <v>5</v>
      </c>
      <c r="AN34" s="619">
        <v>5</v>
      </c>
      <c r="AO34" s="619"/>
      <c r="AP34" s="619"/>
      <c r="AQ34" s="619"/>
      <c r="AR34" s="619"/>
    </row>
    <row r="35" spans="2:46">
      <c r="B35" s="618"/>
      <c r="C35" s="618"/>
      <c r="D35" s="618"/>
      <c r="E35" s="625"/>
      <c r="F35" s="606" t="str">
        <f>[12]Commodities!D23</f>
        <v>KER</v>
      </c>
      <c r="G35" s="588" t="s">
        <v>604</v>
      </c>
      <c r="H35" s="619">
        <f>('Eurostat_EB-2010'!$AI$89+'Eurostat_EB-2010'!$AJ$89)/('Eurostat_EB-2010'!$AE$89+'Eurostat_EB-2010'!$AK$89+'Eurostat_EB-2010'!$AF$89+('Eurostat_EB-2010'!$AI$89+'Eurostat_EB-2010'!$AJ$89)+'Eurostat_EB-2010'!$AL$89+'Eurostat_EB-2010'!$AM$89)</f>
        <v>4.8670215500841503E-2</v>
      </c>
      <c r="I35" s="619">
        <f>('Eurostat_EB-2011'!$AI$89+'Eurostat_EB-2011'!$AJ$89)/('Eurostat_EB-2011'!$AE$89+'Eurostat_EB-2011'!$AK$89+'Eurostat_EB-2011'!$AF$89+('Eurostat_EB-2011'!$AI$89+'Eurostat_EB-2011'!$AJ$89)+'Eurostat_EB-2011'!$AL$89+'Eurostat_EB-2011'!$AM$89)</f>
        <v>5.6927651263233146E-2</v>
      </c>
      <c r="J35" s="619">
        <f>('Eurostat_EB-2012'!$AI$89+'Eurostat_EB-2012'!$AJ$89)/('Eurostat_EB-2012'!$AE$89+'Eurostat_EB-2012'!$AK$89+'Eurostat_EB-2012'!$AF$89+('Eurostat_EB-2012'!$AI$89+'Eurostat_EB-2012'!$AJ$89)+'Eurostat_EB-2012'!$AL$89+'Eurostat_EB-2012'!$AM$89)</f>
        <v>4.9846087983041729E-2</v>
      </c>
      <c r="K35" s="619">
        <f>('Eurostat_EB-2013'!$AI$89+'Eurostat_EB-2013'!$AJ$89)/('Eurostat_EB-2013'!$AE$89+'Eurostat_EB-2013'!$AK$89+'Eurostat_EB-2013'!$AF$89+('Eurostat_EB-2013'!$AI$89+'Eurostat_EB-2013'!$AJ$89)+'Eurostat_EB-2013'!$AL$89+'Eurostat_EB-2013'!$AM$89)</f>
        <v>5.1603038701525092E-2</v>
      </c>
      <c r="L35" s="619">
        <f>('Eurostat_EB-2014'!$AI$89+'Eurostat_EB-2014'!$AJ$89)/('Eurostat_EB-2014'!$AE$89+'Eurostat_EB-2014'!$AK$89+'Eurostat_EB-2014'!$AF$89+('Eurostat_EB-2014'!$AI$89+'Eurostat_EB-2014'!$AJ$89)+'Eurostat_EB-2014'!$AL$89+'Eurostat_EB-2014'!$AM$89)</f>
        <v>4.4799905659582716E-2</v>
      </c>
      <c r="M35" s="629"/>
      <c r="N35" s="629"/>
      <c r="O35" s="629"/>
      <c r="P35" s="629"/>
      <c r="Q35" s="629"/>
      <c r="R35" s="619"/>
      <c r="S35" s="619"/>
      <c r="T35" s="619"/>
      <c r="U35" s="619"/>
      <c r="V35" s="619"/>
      <c r="W35" s="619"/>
      <c r="X35" s="619"/>
      <c r="Y35" s="619"/>
      <c r="Z35" s="619"/>
      <c r="AA35" s="619"/>
      <c r="AB35" s="619"/>
      <c r="AC35" s="619"/>
      <c r="AD35" s="619"/>
      <c r="AE35" s="619"/>
      <c r="AF35" s="619"/>
      <c r="AG35" s="628"/>
      <c r="AH35" s="627">
        <f t="shared" si="0"/>
        <v>13.7</v>
      </c>
      <c r="AK35" s="619">
        <f t="shared" si="1"/>
        <v>5.6927651263233146E-2</v>
      </c>
      <c r="AL35" s="619">
        <f t="shared" si="2"/>
        <v>4.4799905659582716E-2</v>
      </c>
      <c r="AM35" s="619">
        <v>5</v>
      </c>
      <c r="AN35" s="619">
        <v>5</v>
      </c>
      <c r="AO35" s="619"/>
      <c r="AP35" s="619"/>
      <c r="AQ35" s="619"/>
      <c r="AR35" s="619"/>
    </row>
    <row r="36" spans="2:46">
      <c r="B36" s="618"/>
      <c r="C36" s="618"/>
      <c r="D36" s="618"/>
      <c r="E36" s="625"/>
      <c r="F36" s="606" t="str">
        <f>[12]Commodities!D24</f>
        <v>DSL</v>
      </c>
      <c r="G36" s="588" t="s">
        <v>604</v>
      </c>
      <c r="H36" s="619">
        <f>'Eurostat_EB-2010'!$AL$89/('Eurostat_EB-2010'!$AE$89+'Eurostat_EB-2010'!$AK$89+'Eurostat_EB-2010'!$AF$89+('Eurostat_EB-2010'!$AI$89+'Eurostat_EB-2010'!$AJ$89)+'Eurostat_EB-2010'!$AL$89+'Eurostat_EB-2010'!$AM$89)</f>
        <v>0.42026605973147235</v>
      </c>
      <c r="I36" s="619">
        <f>'Eurostat_EB-2011'!$AL$89/('Eurostat_EB-2011'!$AE$89+'Eurostat_EB-2011'!$AK$89+'Eurostat_EB-2011'!$AF$89+('Eurostat_EB-2011'!$AI$89+'Eurostat_EB-2011'!$AJ$89)+'Eurostat_EB-2011'!$AL$89+'Eurostat_EB-2011'!$AM$89)</f>
        <v>0.43585398485771204</v>
      </c>
      <c r="J36" s="619">
        <f>'Eurostat_EB-2012'!$AL$89/('Eurostat_EB-2012'!$AE$89+'Eurostat_EB-2012'!$AK$89+'Eurostat_EB-2012'!$AF$89+('Eurostat_EB-2012'!$AI$89+'Eurostat_EB-2012'!$AJ$89)+'Eurostat_EB-2012'!$AL$89+'Eurostat_EB-2012'!$AM$89)</f>
        <v>0.42417896285504797</v>
      </c>
      <c r="K36" s="619">
        <f>'Eurostat_EB-2013'!$AL$89/('Eurostat_EB-2013'!$AE$89+'Eurostat_EB-2013'!$AK$89+'Eurostat_EB-2013'!$AF$89+('Eurostat_EB-2013'!$AI$89+'Eurostat_EB-2013'!$AJ$89)+'Eurostat_EB-2013'!$AL$89+'Eurostat_EB-2013'!$AM$89)</f>
        <v>0.43770752347032021</v>
      </c>
      <c r="L36" s="619">
        <f>'Eurostat_EB-2014'!$AL$89/('Eurostat_EB-2014'!$AE$89+'Eurostat_EB-2014'!$AK$89+'Eurostat_EB-2014'!$AF$89+('Eurostat_EB-2014'!$AI$89+'Eurostat_EB-2014'!$AJ$89)+'Eurostat_EB-2014'!$AL$89+'Eurostat_EB-2014'!$AM$89)</f>
        <v>0.4527868327731871</v>
      </c>
      <c r="M36" s="629"/>
      <c r="N36" s="629"/>
      <c r="O36" s="629"/>
      <c r="P36" s="629"/>
      <c r="Q36" s="629"/>
      <c r="R36" s="619"/>
      <c r="S36" s="619"/>
      <c r="T36" s="619"/>
      <c r="U36" s="619"/>
      <c r="V36" s="619"/>
      <c r="W36" s="619"/>
      <c r="X36" s="619"/>
      <c r="Y36" s="619"/>
      <c r="Z36" s="619"/>
      <c r="AA36" s="619"/>
      <c r="AB36" s="619"/>
      <c r="AC36" s="619"/>
      <c r="AD36" s="619"/>
      <c r="AE36" s="619"/>
      <c r="AF36" s="619"/>
      <c r="AG36" s="628"/>
      <c r="AH36" s="627">
        <f t="shared" si="0"/>
        <v>16.5</v>
      </c>
      <c r="AK36" s="619">
        <f t="shared" si="1"/>
        <v>0.4527868327731871</v>
      </c>
      <c r="AL36" s="619">
        <f t="shared" si="2"/>
        <v>0.42026605973147235</v>
      </c>
      <c r="AM36" s="619">
        <v>5</v>
      </c>
      <c r="AN36" s="619">
        <v>5</v>
      </c>
      <c r="AO36" s="619"/>
      <c r="AP36" s="619"/>
      <c r="AQ36" s="619"/>
      <c r="AR36" s="619"/>
    </row>
    <row r="37" spans="2:46">
      <c r="B37" s="618"/>
      <c r="C37" s="618"/>
      <c r="D37" s="618"/>
      <c r="E37" s="625"/>
      <c r="F37" s="606" t="str">
        <f>[12]Commodities!D25</f>
        <v>HFO</v>
      </c>
      <c r="G37" s="588" t="s">
        <v>604</v>
      </c>
      <c r="H37" s="619">
        <f>'Eurostat_EB-2010'!$AM$89/('Eurostat_EB-2010'!$AE$89+'Eurostat_EB-2010'!$AK$89+'Eurostat_EB-2010'!$AF$89+('Eurostat_EB-2010'!$AI$89+'Eurostat_EB-2010'!$AJ$89)+'Eurostat_EB-2010'!$AL$89+'Eurostat_EB-2010'!$AM$89)</f>
        <v>0.12819677862747181</v>
      </c>
      <c r="I37" s="619">
        <f>'Eurostat_EB-2011'!$AM$89/('Eurostat_EB-2011'!$AE$89+'Eurostat_EB-2011'!$AK$89+'Eurostat_EB-2011'!$AF$89+('Eurostat_EB-2011'!$AI$89+'Eurostat_EB-2011'!$AJ$89)+'Eurostat_EB-2011'!$AL$89+'Eurostat_EB-2011'!$AM$89)</f>
        <v>0.10884006211421976</v>
      </c>
      <c r="J37" s="619">
        <f>'Eurostat_EB-2012'!$AM$89/('Eurostat_EB-2012'!$AE$89+'Eurostat_EB-2012'!$AK$89+'Eurostat_EB-2012'!$AF$89+('Eurostat_EB-2012'!$AI$89+'Eurostat_EB-2012'!$AJ$89)+'Eurostat_EB-2012'!$AL$89+'Eurostat_EB-2012'!$AM$89)</f>
        <v>0.101660205077579</v>
      </c>
      <c r="K37" s="619">
        <f>'Eurostat_EB-2013'!$AM$89/('Eurostat_EB-2013'!$AE$89+'Eurostat_EB-2013'!$AK$89+'Eurostat_EB-2013'!$AF$89+('Eurostat_EB-2013'!$AI$89+'Eurostat_EB-2013'!$AJ$89)+'Eurostat_EB-2013'!$AL$89+'Eurostat_EB-2013'!$AM$89)</f>
        <v>0.10060647367675044</v>
      </c>
      <c r="L37" s="619">
        <f>'Eurostat_EB-2014'!$AM$89/('Eurostat_EB-2014'!$AE$89+'Eurostat_EB-2014'!$AK$89+'Eurostat_EB-2014'!$AF$89+('Eurostat_EB-2014'!$AI$89+'Eurostat_EB-2014'!$AJ$89)+'Eurostat_EB-2014'!$AL$89+'Eurostat_EB-2014'!$AM$89)</f>
        <v>0.11374758884424566</v>
      </c>
      <c r="M37" s="629"/>
      <c r="N37" s="629"/>
      <c r="O37" s="629"/>
      <c r="P37" s="629"/>
      <c r="Q37" s="629"/>
      <c r="R37" s="619"/>
      <c r="S37" s="619"/>
      <c r="T37" s="619"/>
      <c r="U37" s="619"/>
      <c r="V37" s="619"/>
      <c r="W37" s="619"/>
      <c r="X37" s="619"/>
      <c r="Y37" s="619"/>
      <c r="Z37" s="619"/>
      <c r="AA37" s="619"/>
      <c r="AB37" s="619"/>
      <c r="AC37" s="619"/>
      <c r="AD37" s="619"/>
      <c r="AE37" s="619"/>
      <c r="AF37" s="619"/>
      <c r="AG37" s="628"/>
      <c r="AH37" s="627">
        <f t="shared" si="0"/>
        <v>-11.8</v>
      </c>
      <c r="AK37" s="619">
        <f t="shared" si="1"/>
        <v>0.12819677862747181</v>
      </c>
      <c r="AL37" s="619">
        <f t="shared" si="2"/>
        <v>0.10060647367675044</v>
      </c>
      <c r="AM37" s="619">
        <v>5</v>
      </c>
      <c r="AN37" s="619">
        <v>5</v>
      </c>
      <c r="AO37" s="619"/>
      <c r="AP37" s="619"/>
      <c r="AQ37" s="619"/>
      <c r="AR37" s="619"/>
    </row>
    <row r="38" spans="2:46">
      <c r="B38" s="618"/>
      <c r="C38" s="618"/>
      <c r="D38" s="618" t="s">
        <v>1590</v>
      </c>
      <c r="E38" s="625"/>
      <c r="G38" s="588"/>
      <c r="H38" s="619"/>
      <c r="I38" s="619"/>
      <c r="J38" s="619"/>
      <c r="K38" s="619"/>
      <c r="L38" s="619"/>
      <c r="M38" s="620">
        <f>'Eurostat_EB-2010'!W31/'Eurostat_EB-2010'!W89-R31</f>
        <v>1.2784588729488622E-3</v>
      </c>
      <c r="N38" s="620">
        <f>'Eurostat_EB-2011'!W31/'Eurostat_EB-2011'!W89-S31</f>
        <v>5.5121496349119781E-4</v>
      </c>
      <c r="O38" s="620">
        <f>'Eurostat_EB-2012'!W31/'Eurostat_EB-2012'!W89-T31</f>
        <v>1.4174038707450709E-3</v>
      </c>
      <c r="P38" s="620">
        <f>'Eurostat_EB-2013'!W31/'Eurostat_EB-2013'!W89-U31</f>
        <v>9.9872088569608053E-4</v>
      </c>
      <c r="Q38" s="620">
        <f>'Eurostat_EB-2014'!W31/'Eurostat_EB-2014'!W89-V31</f>
        <v>7.7427663085027909E-4</v>
      </c>
      <c r="R38" s="619"/>
      <c r="S38" s="619"/>
      <c r="T38" s="619"/>
      <c r="U38" s="619"/>
      <c r="V38" s="619"/>
      <c r="W38" s="619"/>
      <c r="X38" s="619"/>
      <c r="Y38" s="619"/>
      <c r="Z38" s="619"/>
      <c r="AA38" s="619"/>
      <c r="AB38" s="619"/>
      <c r="AC38" s="619"/>
      <c r="AD38" s="619"/>
      <c r="AE38" s="619"/>
      <c r="AF38" s="619"/>
      <c r="AG38" s="628"/>
      <c r="AH38" s="627"/>
      <c r="AK38" s="619"/>
      <c r="AL38" s="619"/>
      <c r="AM38" s="619"/>
      <c r="AN38" s="619"/>
      <c r="AO38" s="619"/>
      <c r="AP38" s="619"/>
      <c r="AQ38" s="619"/>
      <c r="AR38" s="619"/>
    </row>
    <row r="39" spans="2:46">
      <c r="B39" s="618"/>
      <c r="C39" s="618"/>
      <c r="D39" s="606" t="str">
        <f>[12]Commodities!$D$34</f>
        <v>SUPELC</v>
      </c>
      <c r="H39" s="619"/>
      <c r="I39" s="619"/>
      <c r="J39" s="619"/>
      <c r="K39" s="619"/>
      <c r="L39" s="619"/>
      <c r="M39" s="630"/>
      <c r="N39" s="630"/>
      <c r="O39" s="630"/>
      <c r="P39" s="630"/>
      <c r="Q39" s="630"/>
      <c r="R39" s="619"/>
      <c r="S39" s="619"/>
      <c r="T39" s="619"/>
      <c r="U39" s="619"/>
      <c r="V39" s="619"/>
      <c r="W39" s="619"/>
      <c r="X39" s="619"/>
      <c r="Y39" s="619"/>
      <c r="Z39" s="619"/>
      <c r="AA39" s="619"/>
      <c r="AB39" s="619"/>
      <c r="AC39" s="619"/>
      <c r="AD39" s="619"/>
      <c r="AE39" s="619"/>
      <c r="AF39" s="619"/>
      <c r="AG39" s="628"/>
      <c r="AH39" s="628"/>
      <c r="AK39" s="619"/>
      <c r="AL39" s="619"/>
      <c r="AM39" s="619"/>
      <c r="AN39" s="619"/>
      <c r="AO39" s="619"/>
      <c r="AP39" s="619"/>
      <c r="AQ39" s="619"/>
      <c r="AR39" s="619"/>
    </row>
    <row r="40" spans="2:46">
      <c r="B40" s="631"/>
      <c r="C40" s="631"/>
      <c r="D40" s="631" t="str">
        <f>[12]Commodities!$D$35</f>
        <v>SUPHETC</v>
      </c>
      <c r="E40" s="632"/>
      <c r="F40" s="632"/>
      <c r="G40" s="632"/>
      <c r="H40" s="633"/>
      <c r="I40" s="633"/>
      <c r="J40" s="633"/>
      <c r="K40" s="633"/>
      <c r="L40" s="633"/>
      <c r="M40" s="634"/>
      <c r="N40" s="634"/>
      <c r="O40" s="634"/>
      <c r="P40" s="634"/>
      <c r="Q40" s="634"/>
      <c r="R40" s="633"/>
      <c r="S40" s="633"/>
      <c r="T40" s="633"/>
      <c r="U40" s="633"/>
      <c r="V40" s="633"/>
      <c r="W40" s="633"/>
      <c r="X40" s="633"/>
      <c r="Y40" s="633"/>
      <c r="Z40" s="633"/>
      <c r="AA40" s="633"/>
      <c r="AB40" s="633"/>
      <c r="AC40" s="633"/>
      <c r="AD40" s="633"/>
      <c r="AE40" s="633"/>
      <c r="AF40" s="633"/>
      <c r="AG40" s="635"/>
      <c r="AH40" s="635"/>
      <c r="AI40" s="632"/>
      <c r="AJ40" s="632"/>
      <c r="AK40" s="633"/>
      <c r="AL40" s="633"/>
      <c r="AM40" s="633"/>
      <c r="AN40" s="633"/>
      <c r="AO40" s="633"/>
      <c r="AP40" s="633"/>
      <c r="AQ40" s="633"/>
      <c r="AR40" s="633"/>
      <c r="AT40" s="632"/>
    </row>
    <row r="43" spans="2:46" ht="14.4">
      <c r="G43" s="51" t="s">
        <v>152</v>
      </c>
      <c r="H43" s="636">
        <f>IF(SUM(H32:H42)=1,SUM(H32:H42),"ERROR")</f>
        <v>1</v>
      </c>
      <c r="I43" s="636">
        <f>IF(SUM(I32:I42)=1,SUM(I32:I42),"ERROR")</f>
        <v>1</v>
      </c>
      <c r="J43" s="636">
        <f>IF(SUM(J32:J42)=1,SUM(J32:J42),"ERROR")</f>
        <v>1</v>
      </c>
      <c r="K43" s="636">
        <f>IF(SUM(K32:K42)=1,SUM(K32:K42),"ERROR")</f>
        <v>1</v>
      </c>
      <c r="L43" s="636">
        <f>IF(SUM(L32:L42)=1,SUM(L32:L42),"ERROR")</f>
        <v>1</v>
      </c>
    </row>
    <row r="49" spans="3:7">
      <c r="C49" s="606" t="s">
        <v>894</v>
      </c>
    </row>
    <row r="50" spans="3:7">
      <c r="C50" s="606" t="s">
        <v>280</v>
      </c>
    </row>
    <row r="51" spans="3:7">
      <c r="C51" s="606" t="s">
        <v>281</v>
      </c>
    </row>
    <row r="52" spans="3:7" ht="13.8" thickBot="1"/>
    <row r="53" spans="3:7">
      <c r="C53" s="637"/>
      <c r="D53" s="638" t="s">
        <v>596</v>
      </c>
      <c r="E53" s="638" t="s">
        <v>597</v>
      </c>
      <c r="F53" s="638" t="s">
        <v>598</v>
      </c>
      <c r="G53" s="639" t="s">
        <v>599</v>
      </c>
    </row>
    <row r="54" spans="3:7">
      <c r="C54" s="640"/>
      <c r="D54" s="606" t="s">
        <v>602</v>
      </c>
      <c r="E54" s="606" t="s">
        <v>602</v>
      </c>
      <c r="F54" s="606" t="s">
        <v>602</v>
      </c>
      <c r="G54" s="641" t="s">
        <v>602</v>
      </c>
    </row>
    <row r="55" spans="3:7">
      <c r="C55" s="642" t="s">
        <v>75</v>
      </c>
      <c r="D55" s="621">
        <v>4.0999999999999996</v>
      </c>
      <c r="E55" s="621">
        <v>7.8</v>
      </c>
      <c r="F55" s="621">
        <v>-8</v>
      </c>
      <c r="G55" s="643">
        <f>SUM(D55:F55)</f>
        <v>3.8999999999999986</v>
      </c>
    </row>
    <row r="56" spans="3:7">
      <c r="C56" s="642" t="s">
        <v>100</v>
      </c>
      <c r="D56" s="621">
        <v>4.0999999999999996</v>
      </c>
      <c r="E56" s="621">
        <v>7.8</v>
      </c>
      <c r="F56" s="621">
        <v>-8</v>
      </c>
      <c r="G56" s="643">
        <f>SUM(D56:F56)</f>
        <v>3.8999999999999986</v>
      </c>
    </row>
    <row r="57" spans="3:7">
      <c r="C57" s="642" t="s">
        <v>76</v>
      </c>
      <c r="D57" s="621">
        <v>4.0999999999999996</v>
      </c>
      <c r="E57" s="621">
        <v>7.8</v>
      </c>
      <c r="F57" s="621">
        <v>5.7</v>
      </c>
      <c r="G57" s="643">
        <f>SUM(D57:F57)</f>
        <v>17.599999999999998</v>
      </c>
    </row>
    <row r="58" spans="3:7">
      <c r="C58" s="642" t="s">
        <v>79</v>
      </c>
      <c r="D58" s="621">
        <v>4.0999999999999996</v>
      </c>
      <c r="E58" s="621">
        <v>7.8</v>
      </c>
      <c r="F58" s="621">
        <v>1.8</v>
      </c>
      <c r="G58" s="643">
        <f>SUM(D58:F58)</f>
        <v>13.7</v>
      </c>
    </row>
    <row r="59" spans="3:7">
      <c r="C59" s="642" t="s">
        <v>45</v>
      </c>
      <c r="D59" s="621">
        <v>4.0999999999999996</v>
      </c>
      <c r="E59" s="621">
        <v>7.8</v>
      </c>
      <c r="F59" s="621">
        <v>4.5999999999999996</v>
      </c>
      <c r="G59" s="643">
        <f t="shared" ref="G59:G60" si="3">SUM(D59:F59)</f>
        <v>16.5</v>
      </c>
    </row>
    <row r="60" spans="3:7" ht="13.8" thickBot="1">
      <c r="C60" s="644" t="s">
        <v>44</v>
      </c>
      <c r="D60" s="645">
        <v>4.0999999999999996</v>
      </c>
      <c r="E60" s="645">
        <v>7.8</v>
      </c>
      <c r="F60" s="645">
        <v>-23.7</v>
      </c>
      <c r="G60" s="646">
        <f t="shared" si="3"/>
        <v>-11.8</v>
      </c>
    </row>
    <row r="62" spans="3:7">
      <c r="C62" s="606" t="s">
        <v>282</v>
      </c>
    </row>
    <row r="63" spans="3:7">
      <c r="C63" s="606" t="s">
        <v>607</v>
      </c>
    </row>
    <row r="67" spans="24:29">
      <c r="X67" s="647"/>
      <c r="Y67" s="608"/>
      <c r="Z67" s="608"/>
      <c r="AA67" s="608"/>
      <c r="AB67" s="608"/>
      <c r="AC67" s="608"/>
    </row>
    <row r="68" spans="24:29">
      <c r="X68" s="647"/>
      <c r="Y68" s="608"/>
      <c r="Z68" s="608"/>
      <c r="AA68" s="608"/>
      <c r="AB68" s="608"/>
      <c r="AC68" s="608"/>
    </row>
    <row r="69" spans="24:29">
      <c r="X69" s="647"/>
      <c r="Y69" s="608"/>
      <c r="Z69" s="608"/>
      <c r="AA69" s="608"/>
      <c r="AB69" s="608"/>
      <c r="AC69" s="608"/>
    </row>
    <row r="70" spans="24:29">
      <c r="X70" s="647"/>
      <c r="Y70" s="608"/>
      <c r="Z70" s="608"/>
      <c r="AA70" s="608"/>
      <c r="AB70" s="608"/>
      <c r="AC70" s="608"/>
    </row>
    <row r="71" spans="24:29">
      <c r="X71" s="647"/>
      <c r="Y71" s="608"/>
      <c r="Z71" s="608"/>
      <c r="AA71" s="608"/>
      <c r="AB71" s="608"/>
      <c r="AC71" s="608"/>
    </row>
    <row r="72" spans="24:29">
      <c r="X72" s="647"/>
      <c r="Y72" s="608"/>
      <c r="Z72" s="608"/>
      <c r="AA72" s="608"/>
      <c r="AB72" s="608"/>
      <c r="AC72" s="608"/>
    </row>
    <row r="106" spans="9:10">
      <c r="I106" s="606" t="s">
        <v>311</v>
      </c>
      <c r="J106" s="606" t="s">
        <v>603</v>
      </c>
    </row>
    <row r="107" spans="9:10">
      <c r="I107" s="606" t="s">
        <v>600</v>
      </c>
      <c r="J107" s="606" t="s">
        <v>601</v>
      </c>
    </row>
  </sheetData>
  <mergeCells count="1">
    <mergeCell ref="AR28:AS28"/>
  </mergeCells>
  <conditionalFormatting sqref="AM32:AN40 N38 P38:Q38 X32:Z32 M31:Q31 N18:Q18 R17:R18 N21:R21">
    <cfRule type="cellIs" dxfId="45" priority="50" stopIfTrue="1" operator="equal">
      <formula>1</formula>
    </cfRule>
  </conditionalFormatting>
  <conditionalFormatting sqref="AI31">
    <cfRule type="cellIs" dxfId="44" priority="51" stopIfTrue="1" operator="greaterThan">
      <formula>#REF!</formula>
    </cfRule>
  </conditionalFormatting>
  <conditionalFormatting sqref="O38">
    <cfRule type="cellIs" dxfId="43" priority="49" stopIfTrue="1" operator="equal">
      <formula>1</formula>
    </cfRule>
  </conditionalFormatting>
  <conditionalFormatting sqref="AK39:AL40">
    <cfRule type="cellIs" dxfId="42" priority="48" stopIfTrue="1" operator="equal">
      <formula>1</formula>
    </cfRule>
  </conditionalFormatting>
  <conditionalFormatting sqref="AO31">
    <cfRule type="cellIs" dxfId="41" priority="47" stopIfTrue="1" operator="equal">
      <formula>1</formula>
    </cfRule>
  </conditionalFormatting>
  <conditionalFormatting sqref="AJ31">
    <cfRule type="cellIs" dxfId="40" priority="46" stopIfTrue="1" operator="greaterThan">
      <formula>#REF!</formula>
    </cfRule>
  </conditionalFormatting>
  <conditionalFormatting sqref="M38">
    <cfRule type="cellIs" dxfId="39" priority="45" stopIfTrue="1" operator="equal">
      <formula>1</formula>
    </cfRule>
  </conditionalFormatting>
  <conditionalFormatting sqref="W32">
    <cfRule type="cellIs" dxfId="38" priority="44" stopIfTrue="1" operator="equal">
      <formula>1</formula>
    </cfRule>
  </conditionalFormatting>
  <conditionalFormatting sqref="W31">
    <cfRule type="cellIs" dxfId="37" priority="43" stopIfTrue="1" operator="equal">
      <formula>1</formula>
    </cfRule>
  </conditionalFormatting>
  <conditionalFormatting sqref="X31">
    <cfRule type="cellIs" dxfId="36" priority="42" stopIfTrue="1" operator="equal">
      <formula>1</formula>
    </cfRule>
  </conditionalFormatting>
  <conditionalFormatting sqref="Y31">
    <cfRule type="cellIs" dxfId="35" priority="41" stopIfTrue="1" operator="equal">
      <formula>1</formula>
    </cfRule>
  </conditionalFormatting>
  <conditionalFormatting sqref="Z31">
    <cfRule type="cellIs" dxfId="34" priority="40" stopIfTrue="1" operator="equal">
      <formula>1</formula>
    </cfRule>
  </conditionalFormatting>
  <conditionalFormatting sqref="AA31">
    <cfRule type="cellIs" dxfId="33" priority="39" stopIfTrue="1" operator="equal">
      <formula>1</formula>
    </cfRule>
  </conditionalFormatting>
  <conditionalFormatting sqref="AB31">
    <cfRule type="cellIs" dxfId="32" priority="38" stopIfTrue="1" operator="equal">
      <formula>1</formula>
    </cfRule>
  </conditionalFormatting>
  <conditionalFormatting sqref="AC31">
    <cfRule type="cellIs" dxfId="31" priority="37" stopIfTrue="1" operator="equal">
      <formula>1</formula>
    </cfRule>
  </conditionalFormatting>
  <conditionalFormatting sqref="AD31">
    <cfRule type="cellIs" dxfId="30" priority="36" stopIfTrue="1" operator="equal">
      <formula>1</formula>
    </cfRule>
  </conditionalFormatting>
  <conditionalFormatting sqref="AE31">
    <cfRule type="cellIs" dxfId="29" priority="35" stopIfTrue="1" operator="equal">
      <formula>1</formula>
    </cfRule>
  </conditionalFormatting>
  <conditionalFormatting sqref="AF31">
    <cfRule type="cellIs" dxfId="28" priority="34" stopIfTrue="1" operator="equal">
      <formula>1</formula>
    </cfRule>
  </conditionalFormatting>
  <conditionalFormatting sqref="AP31">
    <cfRule type="cellIs" dxfId="27" priority="33" stopIfTrue="1" operator="equal">
      <formula>1</formula>
    </cfRule>
  </conditionalFormatting>
  <conditionalFormatting sqref="R8">
    <cfRule type="cellIs" dxfId="26" priority="32" stopIfTrue="1" operator="equal">
      <formula>1</formula>
    </cfRule>
  </conditionalFormatting>
  <conditionalFormatting sqref="N17:Q17">
    <cfRule type="cellIs" dxfId="25" priority="26" stopIfTrue="1" operator="equal">
      <formula>1</formula>
    </cfRule>
  </conditionalFormatting>
  <conditionalFormatting sqref="Z9:AA17 N8:Q8 K9:M10 K12:M17 M11 K20:M21 Z20:AA21">
    <cfRule type="cellIs" dxfId="24" priority="29" stopIfTrue="1" operator="equal">
      <formula>1</formula>
    </cfRule>
  </conditionalFormatting>
  <conditionalFormatting sqref="Y8">
    <cfRule type="cellIs" dxfId="23" priority="30" stopIfTrue="1" operator="greaterThan">
      <formula>#REF!</formula>
    </cfRule>
  </conditionalFormatting>
  <conditionalFormatting sqref="Z8">
    <cfRule type="cellIs" dxfId="22" priority="28" stopIfTrue="1" operator="equal">
      <formula>1</formula>
    </cfRule>
  </conditionalFormatting>
  <conditionalFormatting sqref="Z8">
    <cfRule type="cellIs" dxfId="21" priority="31" stopIfTrue="1" operator="lessThan">
      <formula>#REF!</formula>
    </cfRule>
  </conditionalFormatting>
  <conditionalFormatting sqref="O17">
    <cfRule type="cellIs" dxfId="20" priority="25" stopIfTrue="1" operator="equal">
      <formula>1</formula>
    </cfRule>
  </conditionalFormatting>
  <conditionalFormatting sqref="P17">
    <cfRule type="cellIs" dxfId="19" priority="24" stopIfTrue="1" operator="equal">
      <formula>1</formula>
    </cfRule>
  </conditionalFormatting>
  <conditionalFormatting sqref="Q17">
    <cfRule type="cellIs" dxfId="18" priority="23" stopIfTrue="1" operator="equal">
      <formula>1</formula>
    </cfRule>
  </conditionalFormatting>
  <conditionalFormatting sqref="AA8">
    <cfRule type="cellIs" dxfId="17" priority="20" stopIfTrue="1" operator="equal">
      <formula>1</formula>
    </cfRule>
  </conditionalFormatting>
  <conditionalFormatting sqref="AA8">
    <cfRule type="cellIs" dxfId="16" priority="21" stopIfTrue="1" operator="lessThan">
      <formula>#REF!</formula>
    </cfRule>
  </conditionalFormatting>
  <conditionalFormatting sqref="AB8">
    <cfRule type="cellIs" dxfId="15" priority="18" stopIfTrue="1" operator="equal">
      <formula>1</formula>
    </cfRule>
  </conditionalFormatting>
  <conditionalFormatting sqref="AB8">
    <cfRule type="cellIs" dxfId="14" priority="19" stopIfTrue="1" operator="lessThan">
      <formula>#REF!</formula>
    </cfRule>
  </conditionalFormatting>
  <conditionalFormatting sqref="Z18:AA19 L18:M19">
    <cfRule type="cellIs" dxfId="13" priority="17" stopIfTrue="1" operator="equal">
      <formula>1</formula>
    </cfRule>
  </conditionalFormatting>
  <conditionalFormatting sqref="R20">
    <cfRule type="cellIs" dxfId="12" priority="14" stopIfTrue="1" operator="equal">
      <formula>1</formula>
    </cfRule>
  </conditionalFormatting>
  <conditionalFormatting sqref="AC8">
    <cfRule type="cellIs" dxfId="11" priority="11" stopIfTrue="1" operator="equal">
      <formula>1</formula>
    </cfRule>
  </conditionalFormatting>
  <conditionalFormatting sqref="AC8">
    <cfRule type="cellIs" dxfId="10" priority="12" stopIfTrue="1" operator="lessThan">
      <formula>#REF!</formula>
    </cfRule>
  </conditionalFormatting>
  <conditionalFormatting sqref="AD8">
    <cfRule type="cellIs" dxfId="9" priority="7" stopIfTrue="1" operator="equal">
      <formula>1</formula>
    </cfRule>
  </conditionalFormatting>
  <conditionalFormatting sqref="AD8">
    <cfRule type="cellIs" dxfId="8" priority="8" stopIfTrue="1" operator="lessThan">
      <formula>#REF!</formula>
    </cfRule>
  </conditionalFormatting>
  <conditionalFormatting sqref="AE8">
    <cfRule type="cellIs" dxfId="7" priority="5" stopIfTrue="1" operator="equal">
      <formula>1</formula>
    </cfRule>
  </conditionalFormatting>
  <conditionalFormatting sqref="AE8">
    <cfRule type="cellIs" dxfId="6" priority="6" stopIfTrue="1" operator="lessThan">
      <formula>#REF!</formula>
    </cfRule>
  </conditionalFormatting>
  <conditionalFormatting sqref="AF8">
    <cfRule type="cellIs" dxfId="5" priority="3" stopIfTrue="1" operator="equal">
      <formula>1</formula>
    </cfRule>
  </conditionalFormatting>
  <conditionalFormatting sqref="AF8">
    <cfRule type="cellIs" dxfId="4" priority="4" stopIfTrue="1" operator="lessThan">
      <formula>#REF!</formula>
    </cfRule>
  </conditionalFormatting>
  <conditionalFormatting sqref="K18">
    <cfRule type="cellIs" dxfId="3" priority="2" stopIfTrue="1" operator="equal">
      <formula>1</formula>
    </cfRule>
  </conditionalFormatting>
  <conditionalFormatting sqref="K19">
    <cfRule type="cellIs" dxfId="2" priority="1" stopIfTrue="1" operator="equal">
      <formula>1</formula>
    </cfRule>
  </conditionalFormatting>
  <pageMargins left="0.7" right="0.7" top="0.75" bottom="0.75" header="0.3" footer="0.3"/>
  <pageSetup paperSize="9"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4A72FC-B6AC-4405-8D7C-21848B27F3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07F4C32-BE0A-4C36-92DE-2F66C6FD172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C696E28-DAEE-42A5-B2D2-BD53EF49CF0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29</vt:i4>
      </vt:variant>
      <vt:variant>
        <vt:lpstr>Navngivne områder</vt:lpstr>
      </vt:variant>
      <vt:variant>
        <vt:i4>14</vt:i4>
      </vt:variant>
    </vt:vector>
  </HeadingPairs>
  <TitlesOfParts>
    <vt:vector size="43" baseType="lpstr">
      <vt:lpstr>LOG</vt:lpstr>
      <vt:lpstr>Intro</vt:lpstr>
      <vt:lpstr>Commodities</vt:lpstr>
      <vt:lpstr>Processes</vt:lpstr>
      <vt:lpstr>Trade</vt:lpstr>
      <vt:lpstr>Distribution</vt:lpstr>
      <vt:lpstr>MIN-IMP-EXP</vt:lpstr>
      <vt:lpstr>ETS_NETS_Prices</vt:lpstr>
      <vt:lpstr>Refineries</vt:lpstr>
      <vt:lpstr>Emis</vt:lpstr>
      <vt:lpstr>35 (2)</vt:lpstr>
      <vt:lpstr>Fuel Tech</vt:lpstr>
      <vt:lpstr>2010</vt:lpstr>
      <vt:lpstr>2015</vt:lpstr>
      <vt:lpstr>2019</vt:lpstr>
      <vt:lpstr>3.10</vt:lpstr>
      <vt:lpstr>Data_by_sector</vt:lpstr>
      <vt:lpstr>BiomassCost</vt:lpstr>
      <vt:lpstr>MIN-IMP-EXP_Data</vt:lpstr>
      <vt:lpstr>Refinery_data</vt:lpstr>
      <vt:lpstr>Oil &amp; Gas Data</vt:lpstr>
      <vt:lpstr>Eurostat_EB-2010</vt:lpstr>
      <vt:lpstr>Eurostat_EB-2011</vt:lpstr>
      <vt:lpstr>Eurostat_EB-2012</vt:lpstr>
      <vt:lpstr>Eurostat_EB-2013</vt:lpstr>
      <vt:lpstr>Eurostat_EB-2014</vt:lpstr>
      <vt:lpstr>NETP 2016 (Balmorel)</vt:lpstr>
      <vt:lpstr>Flex4RES fuel prices</vt:lpstr>
      <vt:lpstr>BiomassCost (2)</vt:lpstr>
      <vt:lpstr>CO2Price</vt:lpstr>
      <vt:lpstr>LBL_CAT</vt:lpstr>
      <vt:lpstr>Raggr4</vt:lpstr>
      <vt:lpstr>Raggr5</vt:lpstr>
      <vt:lpstr>'Eurostat_EB-2010'!Udskriftsområde</vt:lpstr>
      <vt:lpstr>'Eurostat_EB-2011'!Udskriftsområde</vt:lpstr>
      <vt:lpstr>'Eurostat_EB-2012'!Udskriftsområde</vt:lpstr>
      <vt:lpstr>'Eurostat_EB-2013'!Udskriftsområde</vt:lpstr>
      <vt:lpstr>'Eurostat_EB-2014'!Udskriftsområde</vt:lpstr>
      <vt:lpstr>'Eurostat_EB-2010'!Udskriftstitler</vt:lpstr>
      <vt:lpstr>'Eurostat_EB-2011'!Udskriftstitler</vt:lpstr>
      <vt:lpstr>'Eurostat_EB-2012'!Udskriftstitler</vt:lpstr>
      <vt:lpstr>'Eurostat_EB-2013'!Udskriftstitler</vt:lpstr>
      <vt:lpstr>'Eurostat_EB-2014'!Udskriftstitler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Mikkel Bosack</dc:creator>
  <cp:lastModifiedBy>Henrik Juul Sørensen</cp:lastModifiedBy>
  <cp:lastPrinted>2005-02-10T12:45:56Z</cp:lastPrinted>
  <dcterms:created xsi:type="dcterms:W3CDTF">2000-12-13T15:53:11Z</dcterms:created>
  <dcterms:modified xsi:type="dcterms:W3CDTF">2022-04-06T10:13:52Z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384853541851043</vt:r8>
  </property>
  <property fmtid="{D5CDD505-2E9C-101B-9397-08002B2CF9AE}" pid="3" name="ContentTypeId">
    <vt:lpwstr>0x010100391E4ED4D6B5344984C5B5CBC1A28781</vt:lpwstr>
  </property>
</Properties>
</file>