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showObjects="placeholders" codeName="ThisWorkbook" hidePivotFieldList="1"/>
  <mc:AlternateContent xmlns:mc="http://schemas.openxmlformats.org/markup-compatibility/2006">
    <mc:Choice Requires="x15">
      <x15ac:absPath xmlns:x15ac="http://schemas.microsoft.com/office/spreadsheetml/2010/11/ac" url="C:\Users\Julius Steensberg\OneDrive\Desktop\GitHub\Bachelor_Git\TIMES-DE\"/>
    </mc:Choice>
  </mc:AlternateContent>
  <xr:revisionPtr revIDLastSave="0" documentId="13_ncr:1_{91980C05-4BDE-4553-A3BA-1C969AE84CD4}" xr6:coauthVersionLast="47" xr6:coauthVersionMax="47" xr10:uidLastSave="{00000000-0000-0000-0000-000000000000}"/>
  <bookViews>
    <workbookView xWindow="-110" yWindow="-110" windowWidth="19420" windowHeight="10420" tabRatio="862" firstSheet="4" activeTab="7" xr2:uid="{00000000-000D-0000-FFFF-FFFF00000000}"/>
  </bookViews>
  <sheets>
    <sheet name="LOG" sheetId="244" r:id="rId1"/>
    <sheet name="Intro" sheetId="246" r:id="rId2"/>
    <sheet name="Commodities" sheetId="216" r:id="rId3"/>
    <sheet name="Processes" sheetId="231" r:id="rId4"/>
    <sheet name="COM_Fuel" sheetId="232" r:id="rId5"/>
    <sheet name="Appliances&amp;Cooking" sheetId="269" r:id="rId6"/>
    <sheet name="Cooling" sheetId="270" r:id="rId7"/>
    <sheet name="Buildings_DR" sheetId="264" r:id="rId8"/>
    <sheet name="Dem" sheetId="221" r:id="rId9"/>
    <sheet name="Emis" sheetId="242" r:id="rId10"/>
    <sheet name="Boilers_DR" sheetId="260" r:id="rId11"/>
    <sheet name="Data manipulation" sheetId="267" r:id="rId12"/>
    <sheet name="Raw_Data" sheetId="275"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8"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0">[2]Subsidy!#REF!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10">LOG!#REF!</definedName>
    <definedName name="FID_2" localSheetId="1">[6]LOG!#REF!</definedName>
    <definedName name="FID_2">LOG!#REF!</definedName>
    <definedName name="FID_2_" localSheetId="10">[7]LOG!#REF!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10">#REF!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0">[2]General!#REF!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10">[2]General!#REF!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10">#REF!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41" i="221" l="1"/>
  <c r="H40" i="267"/>
  <c r="I40" i="267"/>
  <c r="J40" i="267"/>
  <c r="K40" i="267"/>
  <c r="L40" i="267"/>
  <c r="M40" i="267"/>
  <c r="N40" i="267"/>
  <c r="O40" i="267"/>
  <c r="G40" i="267"/>
  <c r="Z1" i="260" s="1"/>
  <c r="V201" i="260"/>
  <c r="V191" i="260"/>
  <c r="V181" i="260"/>
  <c r="V171" i="260"/>
  <c r="V161" i="260"/>
  <c r="V151" i="260"/>
  <c r="V141" i="260"/>
  <c r="V131" i="260"/>
  <c r="V121" i="260"/>
  <c r="V111" i="260"/>
  <c r="V101" i="260"/>
  <c r="V91" i="260"/>
  <c r="V81" i="260"/>
  <c r="V71" i="260"/>
  <c r="V61" i="260"/>
  <c r="V51" i="260"/>
  <c r="V40" i="260"/>
  <c r="V29" i="260"/>
  <c r="V18" i="260"/>
  <c r="G152" i="267"/>
  <c r="H152" i="267"/>
  <c r="I152" i="267"/>
  <c r="J152" i="267"/>
  <c r="K152" i="267"/>
  <c r="L152" i="267"/>
  <c r="M152" i="267"/>
  <c r="N152" i="267"/>
  <c r="O152" i="267"/>
  <c r="R62" i="267" s="1"/>
  <c r="S69" i="269"/>
  <c r="S45" i="269"/>
  <c r="S53" i="269"/>
  <c r="S61" i="269"/>
  <c r="Q33" i="267"/>
  <c r="G54" i="267"/>
  <c r="G49" i="267"/>
  <c r="G25" i="267"/>
  <c r="G24" i="267"/>
  <c r="V30" i="269" a="1"/>
  <c r="V30" i="269" s="1"/>
  <c r="Y30" i="269" s="1"/>
  <c r="R106" i="267"/>
  <c r="R84" i="267"/>
  <c r="R40" i="267" l="1"/>
  <c r="B17" i="232"/>
  <c r="H49" i="267"/>
  <c r="I49" i="267"/>
  <c r="J49" i="267"/>
  <c r="K49" i="267"/>
  <c r="L49" i="267"/>
  <c r="M49" i="267"/>
  <c r="N49" i="267"/>
  <c r="O49" i="267"/>
  <c r="S47" i="269"/>
  <c r="G45" i="260"/>
  <c r="B45" i="260"/>
  <c r="S92" i="231"/>
  <c r="T92" i="231" s="1"/>
  <c r="E92" i="231" s="1"/>
  <c r="C45" i="260" s="1"/>
  <c r="V45" i="260"/>
  <c r="O45" i="260"/>
  <c r="F45" i="260"/>
  <c r="V34" i="260"/>
  <c r="G26" i="260"/>
  <c r="G23" i="260"/>
  <c r="G34" i="260"/>
  <c r="F34" i="260"/>
  <c r="S81" i="231"/>
  <c r="T81" i="231" s="1"/>
  <c r="E81" i="231" s="1"/>
  <c r="C34" i="260" s="1"/>
  <c r="O34" i="260"/>
  <c r="S70" i="231"/>
  <c r="T70" i="231" s="1"/>
  <c r="E70" i="231" s="1"/>
  <c r="C23" i="260" s="1"/>
  <c r="V23" i="260"/>
  <c r="O23" i="260"/>
  <c r="F23" i="260"/>
  <c r="V12" i="260"/>
  <c r="O12" i="260"/>
  <c r="G12" i="260"/>
  <c r="F12" i="260"/>
  <c r="S59" i="231"/>
  <c r="P59" i="231" s="1"/>
  <c r="D59" i="231" s="1"/>
  <c r="B12" i="260" s="1"/>
  <c r="D111" i="231"/>
  <c r="E17" i="232"/>
  <c r="D17" i="232"/>
  <c r="D28" i="216"/>
  <c r="E111" i="231" s="1"/>
  <c r="C17" i="232" s="1"/>
  <c r="C28" i="216"/>
  <c r="V7" i="260"/>
  <c r="H28" i="267"/>
  <c r="I28" i="267"/>
  <c r="J28" i="267"/>
  <c r="K28" i="267"/>
  <c r="L28" i="267"/>
  <c r="M28" i="267"/>
  <c r="N28" i="267"/>
  <c r="O28" i="267"/>
  <c r="G28" i="267"/>
  <c r="P92" i="231" l="1"/>
  <c r="D92" i="231" s="1"/>
  <c r="P81" i="231"/>
  <c r="D81" i="231" s="1"/>
  <c r="B34" i="260" s="1"/>
  <c r="P70" i="231"/>
  <c r="D70" i="231" s="1"/>
  <c r="B23" i="260" s="1"/>
  <c r="T59" i="231"/>
  <c r="E59" i="231" s="1"/>
  <c r="C12" i="260" s="1"/>
  <c r="M34" i="275" l="1"/>
  <c r="H36" i="267"/>
  <c r="I36" i="267"/>
  <c r="J36" i="267"/>
  <c r="K36" i="267"/>
  <c r="L36" i="267"/>
  <c r="M36" i="267"/>
  <c r="N36" i="267"/>
  <c r="O36" i="267"/>
  <c r="G36" i="267"/>
  <c r="H148" i="267"/>
  <c r="I148" i="267"/>
  <c r="J148" i="267"/>
  <c r="K148" i="267"/>
  <c r="K101" i="267" s="1"/>
  <c r="L148" i="267"/>
  <c r="M148" i="267"/>
  <c r="N148" i="267"/>
  <c r="O148" i="267"/>
  <c r="G148" i="267"/>
  <c r="H37" i="267"/>
  <c r="I37" i="267"/>
  <c r="J37" i="267"/>
  <c r="K37" i="267"/>
  <c r="L37" i="267"/>
  <c r="M37" i="267"/>
  <c r="N37" i="267"/>
  <c r="O37" i="267"/>
  <c r="I145" i="267"/>
  <c r="J145" i="267"/>
  <c r="J76" i="267" s="1"/>
  <c r="K145" i="267"/>
  <c r="K98" i="267" s="1"/>
  <c r="L145" i="267"/>
  <c r="L120" i="267" s="1"/>
  <c r="M145" i="267"/>
  <c r="N145" i="267"/>
  <c r="N76" i="267" s="1"/>
  <c r="O145" i="267"/>
  <c r="O98" i="267" s="1"/>
  <c r="H145" i="267"/>
  <c r="H54" i="267" s="1"/>
  <c r="G145" i="267"/>
  <c r="O24" i="267"/>
  <c r="O25" i="267"/>
  <c r="O29" i="267"/>
  <c r="O30" i="267"/>
  <c r="O31" i="267"/>
  <c r="O32" i="267"/>
  <c r="O33" i="267"/>
  <c r="O34" i="267"/>
  <c r="O38" i="267"/>
  <c r="O39" i="267"/>
  <c r="O23" i="267"/>
  <c r="G31" i="267"/>
  <c r="H31" i="267"/>
  <c r="I31" i="267"/>
  <c r="J31" i="267"/>
  <c r="K31" i="267"/>
  <c r="L31" i="267"/>
  <c r="M31" i="267"/>
  <c r="N31" i="267"/>
  <c r="Q24" i="267"/>
  <c r="Q25" i="267"/>
  <c r="Q26" i="267"/>
  <c r="Q27" i="267"/>
  <c r="Q28" i="267"/>
  <c r="Q29" i="267"/>
  <c r="Q30" i="267"/>
  <c r="Q31" i="267"/>
  <c r="Q32" i="267"/>
  <c r="Q34" i="267"/>
  <c r="Q35" i="267"/>
  <c r="Q36" i="267"/>
  <c r="Q37" i="267"/>
  <c r="Q38" i="267"/>
  <c r="Q39" i="267"/>
  <c r="Q23" i="267"/>
  <c r="H110" i="267"/>
  <c r="I110" i="267"/>
  <c r="J110" i="267"/>
  <c r="K110" i="267"/>
  <c r="L110" i="267"/>
  <c r="M110" i="267"/>
  <c r="N110" i="267"/>
  <c r="O110" i="267"/>
  <c r="H111" i="267"/>
  <c r="I111" i="267"/>
  <c r="J111" i="267"/>
  <c r="K111" i="267"/>
  <c r="L111" i="267"/>
  <c r="M111" i="267"/>
  <c r="N111" i="267"/>
  <c r="O111" i="267"/>
  <c r="H112" i="267"/>
  <c r="I112" i="267"/>
  <c r="J112" i="267"/>
  <c r="K112" i="267"/>
  <c r="L112" i="267"/>
  <c r="M112" i="267"/>
  <c r="N112" i="267"/>
  <c r="O112" i="267"/>
  <c r="H113" i="267"/>
  <c r="I113" i="267"/>
  <c r="J113" i="267"/>
  <c r="K113" i="267"/>
  <c r="L113" i="267"/>
  <c r="M113" i="267"/>
  <c r="N113" i="267"/>
  <c r="O113" i="267"/>
  <c r="H114" i="267"/>
  <c r="I114" i="267"/>
  <c r="J114" i="267"/>
  <c r="K114" i="267"/>
  <c r="L114" i="267"/>
  <c r="M114" i="267"/>
  <c r="N114" i="267"/>
  <c r="O114" i="267"/>
  <c r="H115" i="267"/>
  <c r="I115" i="267"/>
  <c r="J115" i="267"/>
  <c r="K115" i="267"/>
  <c r="L115" i="267"/>
  <c r="M115" i="267"/>
  <c r="N115" i="267"/>
  <c r="O115" i="267"/>
  <c r="H116" i="267"/>
  <c r="I116" i="267"/>
  <c r="J116" i="267"/>
  <c r="K116" i="267"/>
  <c r="L116" i="267"/>
  <c r="M116" i="267"/>
  <c r="N116" i="267"/>
  <c r="O116" i="267"/>
  <c r="H117" i="267"/>
  <c r="I117" i="267"/>
  <c r="J117" i="267"/>
  <c r="K117" i="267"/>
  <c r="L117" i="267"/>
  <c r="M117" i="267"/>
  <c r="N117" i="267"/>
  <c r="O117" i="267"/>
  <c r="H118" i="267"/>
  <c r="I118" i="267"/>
  <c r="J118" i="267"/>
  <c r="K118" i="267"/>
  <c r="L118" i="267"/>
  <c r="M118" i="267"/>
  <c r="N118" i="267"/>
  <c r="O118" i="267"/>
  <c r="H119" i="267"/>
  <c r="I119" i="267"/>
  <c r="J119" i="267"/>
  <c r="K119" i="267"/>
  <c r="L119" i="267"/>
  <c r="M119" i="267"/>
  <c r="N119" i="267"/>
  <c r="O119" i="267"/>
  <c r="I120" i="267"/>
  <c r="J120" i="267"/>
  <c r="K120" i="267"/>
  <c r="M120" i="267"/>
  <c r="N120" i="267"/>
  <c r="O120" i="267"/>
  <c r="H121" i="267"/>
  <c r="I121" i="267"/>
  <c r="J121" i="267"/>
  <c r="K121" i="267"/>
  <c r="L121" i="267"/>
  <c r="M121" i="267"/>
  <c r="N121" i="267"/>
  <c r="O121" i="267"/>
  <c r="H122" i="267"/>
  <c r="I122" i="267"/>
  <c r="J122" i="267"/>
  <c r="K122" i="267"/>
  <c r="L122" i="267"/>
  <c r="M122" i="267"/>
  <c r="N122" i="267"/>
  <c r="O122" i="267"/>
  <c r="H123" i="267"/>
  <c r="I123" i="267"/>
  <c r="J123" i="267"/>
  <c r="L123" i="267"/>
  <c r="M123" i="267"/>
  <c r="N123" i="267"/>
  <c r="H124" i="267"/>
  <c r="I124" i="267"/>
  <c r="J124" i="267"/>
  <c r="K124" i="267"/>
  <c r="L124" i="267"/>
  <c r="M124" i="267"/>
  <c r="N124" i="267"/>
  <c r="O124" i="267"/>
  <c r="H125" i="267"/>
  <c r="I125" i="267"/>
  <c r="J125" i="267"/>
  <c r="K125" i="267"/>
  <c r="L125" i="267"/>
  <c r="M125" i="267"/>
  <c r="N125" i="267"/>
  <c r="O125" i="267"/>
  <c r="H126" i="267"/>
  <c r="I126" i="267"/>
  <c r="J126" i="267"/>
  <c r="K126" i="267"/>
  <c r="L126" i="267"/>
  <c r="M126" i="267"/>
  <c r="N126" i="267"/>
  <c r="O126" i="267"/>
  <c r="G111" i="267"/>
  <c r="G112" i="267"/>
  <c r="G113" i="267"/>
  <c r="G114" i="267"/>
  <c r="G115" i="267"/>
  <c r="G116" i="267"/>
  <c r="G117" i="267"/>
  <c r="G118" i="267"/>
  <c r="G119" i="267"/>
  <c r="G120" i="267"/>
  <c r="G121" i="267"/>
  <c r="G122" i="267"/>
  <c r="G123" i="267"/>
  <c r="G124" i="267"/>
  <c r="G125" i="267"/>
  <c r="G126" i="267"/>
  <c r="G110" i="267"/>
  <c r="H88" i="267"/>
  <c r="I88" i="267"/>
  <c r="J88" i="267"/>
  <c r="K88" i="267"/>
  <c r="L88" i="267"/>
  <c r="M88" i="267"/>
  <c r="N88" i="267"/>
  <c r="O88" i="267"/>
  <c r="H89" i="267"/>
  <c r="I89" i="267"/>
  <c r="J89" i="267"/>
  <c r="K89" i="267"/>
  <c r="L89" i="267"/>
  <c r="M89" i="267"/>
  <c r="N89" i="267"/>
  <c r="O89" i="267"/>
  <c r="H90" i="267"/>
  <c r="I90" i="267"/>
  <c r="J90" i="267"/>
  <c r="K90" i="267"/>
  <c r="L90" i="267"/>
  <c r="M90" i="267"/>
  <c r="N90" i="267"/>
  <c r="O90" i="267"/>
  <c r="H91" i="267"/>
  <c r="I91" i="267"/>
  <c r="J91" i="267"/>
  <c r="K91" i="267"/>
  <c r="L91" i="267"/>
  <c r="M91" i="267"/>
  <c r="N91" i="267"/>
  <c r="O91" i="267"/>
  <c r="H92" i="267"/>
  <c r="I92" i="267"/>
  <c r="J92" i="267"/>
  <c r="K92" i="267"/>
  <c r="L92" i="267"/>
  <c r="M92" i="267"/>
  <c r="N92" i="267"/>
  <c r="O92" i="267"/>
  <c r="H93" i="267"/>
  <c r="I93" i="267"/>
  <c r="J93" i="267"/>
  <c r="K93" i="267"/>
  <c r="L93" i="267"/>
  <c r="M93" i="267"/>
  <c r="N93" i="267"/>
  <c r="O93" i="267"/>
  <c r="H94" i="267"/>
  <c r="I94" i="267"/>
  <c r="J94" i="267"/>
  <c r="K94" i="267"/>
  <c r="L94" i="267"/>
  <c r="M94" i="267"/>
  <c r="N94" i="267"/>
  <c r="O94" i="267"/>
  <c r="H95" i="267"/>
  <c r="I95" i="267"/>
  <c r="J95" i="267"/>
  <c r="K95" i="267"/>
  <c r="L95" i="267"/>
  <c r="M95" i="267"/>
  <c r="N95" i="267"/>
  <c r="O95" i="267"/>
  <c r="H96" i="267"/>
  <c r="I96" i="267"/>
  <c r="J96" i="267"/>
  <c r="K96" i="267"/>
  <c r="L96" i="267"/>
  <c r="M96" i="267"/>
  <c r="N96" i="267"/>
  <c r="O96" i="267"/>
  <c r="H97" i="267"/>
  <c r="I97" i="267"/>
  <c r="J97" i="267"/>
  <c r="K97" i="267"/>
  <c r="L97" i="267"/>
  <c r="M97" i="267"/>
  <c r="N97" i="267"/>
  <c r="O97" i="267"/>
  <c r="H98" i="267"/>
  <c r="I98" i="267"/>
  <c r="J98" i="267"/>
  <c r="M98" i="267"/>
  <c r="N98" i="267"/>
  <c r="H99" i="267"/>
  <c r="I99" i="267"/>
  <c r="J99" i="267"/>
  <c r="K99" i="267"/>
  <c r="L99" i="267"/>
  <c r="M99" i="267"/>
  <c r="N99" i="267"/>
  <c r="O99" i="267"/>
  <c r="H100" i="267"/>
  <c r="I100" i="267"/>
  <c r="J100" i="267"/>
  <c r="K100" i="267"/>
  <c r="L100" i="267"/>
  <c r="M100" i="267"/>
  <c r="N100" i="267"/>
  <c r="O100" i="267"/>
  <c r="H101" i="267"/>
  <c r="I101" i="267"/>
  <c r="J101" i="267"/>
  <c r="L101" i="267"/>
  <c r="M101" i="267"/>
  <c r="N101" i="267"/>
  <c r="H102" i="267"/>
  <c r="I102" i="267"/>
  <c r="J102" i="267"/>
  <c r="K102" i="267"/>
  <c r="L102" i="267"/>
  <c r="M102" i="267"/>
  <c r="N102" i="267"/>
  <c r="O102" i="267"/>
  <c r="H103" i="267"/>
  <c r="I103" i="267"/>
  <c r="J103" i="267"/>
  <c r="K103" i="267"/>
  <c r="L103" i="267"/>
  <c r="M103" i="267"/>
  <c r="N103" i="267"/>
  <c r="O103" i="267"/>
  <c r="H104" i="267"/>
  <c r="I104" i="267"/>
  <c r="J104" i="267"/>
  <c r="K104" i="267"/>
  <c r="L104" i="267"/>
  <c r="M104" i="267"/>
  <c r="N104" i="267"/>
  <c r="O104" i="267"/>
  <c r="G89" i="267"/>
  <c r="G90" i="267"/>
  <c r="G91" i="267"/>
  <c r="G92" i="267"/>
  <c r="G93" i="267"/>
  <c r="G94" i="267"/>
  <c r="G95" i="267"/>
  <c r="G96" i="267"/>
  <c r="G97" i="267"/>
  <c r="G98" i="267"/>
  <c r="G99" i="267"/>
  <c r="G100" i="267"/>
  <c r="G101" i="267"/>
  <c r="G102" i="267"/>
  <c r="G103" i="267"/>
  <c r="G104" i="267"/>
  <c r="G88" i="267"/>
  <c r="H66" i="267"/>
  <c r="I66" i="267"/>
  <c r="J66" i="267"/>
  <c r="K66" i="267"/>
  <c r="L66" i="267"/>
  <c r="M66" i="267"/>
  <c r="N66" i="267"/>
  <c r="O66" i="267"/>
  <c r="H67" i="267"/>
  <c r="I67" i="267"/>
  <c r="J67" i="267"/>
  <c r="K67" i="267"/>
  <c r="L67" i="267"/>
  <c r="M67" i="267"/>
  <c r="N67" i="267"/>
  <c r="O67" i="267"/>
  <c r="H68" i="267"/>
  <c r="I68" i="267"/>
  <c r="J68" i="267"/>
  <c r="K68" i="267"/>
  <c r="L68" i="267"/>
  <c r="M68" i="267"/>
  <c r="N68" i="267"/>
  <c r="O68" i="267"/>
  <c r="H69" i="267"/>
  <c r="I69" i="267"/>
  <c r="J69" i="267"/>
  <c r="K69" i="267"/>
  <c r="L69" i="267"/>
  <c r="M69" i="267"/>
  <c r="N69" i="267"/>
  <c r="O69" i="267"/>
  <c r="H70" i="267"/>
  <c r="I70" i="267"/>
  <c r="J70" i="267"/>
  <c r="K70" i="267"/>
  <c r="L70" i="267"/>
  <c r="M70" i="267"/>
  <c r="N70" i="267"/>
  <c r="O70" i="267"/>
  <c r="H71" i="267"/>
  <c r="I71" i="267"/>
  <c r="J71" i="267"/>
  <c r="K71" i="267"/>
  <c r="L71" i="267"/>
  <c r="M71" i="267"/>
  <c r="N71" i="267"/>
  <c r="O71" i="267"/>
  <c r="H72" i="267"/>
  <c r="I72" i="267"/>
  <c r="J72" i="267"/>
  <c r="K72" i="267"/>
  <c r="L72" i="267"/>
  <c r="M72" i="267"/>
  <c r="N72" i="267"/>
  <c r="O72" i="267"/>
  <c r="H73" i="267"/>
  <c r="I73" i="267"/>
  <c r="J73" i="267"/>
  <c r="K73" i="267"/>
  <c r="L73" i="267"/>
  <c r="M73" i="267"/>
  <c r="N73" i="267"/>
  <c r="O73" i="267"/>
  <c r="H74" i="267"/>
  <c r="I74" i="267"/>
  <c r="J74" i="267"/>
  <c r="K74" i="267"/>
  <c r="L74" i="267"/>
  <c r="M74" i="267"/>
  <c r="N74" i="267"/>
  <c r="O74" i="267"/>
  <c r="H75" i="267"/>
  <c r="I75" i="267"/>
  <c r="J75" i="267"/>
  <c r="K75" i="267"/>
  <c r="L75" i="267"/>
  <c r="M75" i="267"/>
  <c r="N75" i="267"/>
  <c r="O75" i="267"/>
  <c r="H76" i="267"/>
  <c r="I76" i="267"/>
  <c r="M76" i="267"/>
  <c r="H77" i="267"/>
  <c r="I77" i="267"/>
  <c r="J77" i="267"/>
  <c r="K77" i="267"/>
  <c r="L77" i="267"/>
  <c r="M77" i="267"/>
  <c r="N77" i="267"/>
  <c r="O77" i="267"/>
  <c r="H78" i="267"/>
  <c r="I78" i="267"/>
  <c r="J78" i="267"/>
  <c r="K78" i="267"/>
  <c r="L78" i="267"/>
  <c r="M78" i="267"/>
  <c r="N78" i="267"/>
  <c r="O78" i="267"/>
  <c r="H79" i="267"/>
  <c r="I79" i="267"/>
  <c r="J79" i="267"/>
  <c r="L79" i="267"/>
  <c r="M79" i="267"/>
  <c r="N79" i="267"/>
  <c r="H80" i="267"/>
  <c r="I80" i="267"/>
  <c r="J80" i="267"/>
  <c r="K80" i="267"/>
  <c r="L80" i="267"/>
  <c r="M80" i="267"/>
  <c r="N80" i="267"/>
  <c r="O80" i="267"/>
  <c r="H81" i="267"/>
  <c r="I81" i="267"/>
  <c r="J81" i="267"/>
  <c r="K81" i="267"/>
  <c r="L81" i="267"/>
  <c r="M81" i="267"/>
  <c r="N81" i="267"/>
  <c r="O81" i="267"/>
  <c r="H82" i="267"/>
  <c r="I82" i="267"/>
  <c r="J82" i="267"/>
  <c r="K82" i="267"/>
  <c r="L82" i="267"/>
  <c r="M82" i="267"/>
  <c r="N82" i="267"/>
  <c r="O82" i="267"/>
  <c r="G67" i="267"/>
  <c r="G68" i="267"/>
  <c r="G69" i="267"/>
  <c r="G70" i="267"/>
  <c r="G71" i="267"/>
  <c r="G72" i="267"/>
  <c r="G73" i="267"/>
  <c r="G74" i="267"/>
  <c r="G75" i="267"/>
  <c r="G76" i="267"/>
  <c r="G77" i="267"/>
  <c r="G78" i="267"/>
  <c r="G79" i="267"/>
  <c r="G80" i="267"/>
  <c r="G81" i="267"/>
  <c r="G82" i="267"/>
  <c r="G66" i="267"/>
  <c r="H44" i="267"/>
  <c r="I44" i="267"/>
  <c r="J44" i="267"/>
  <c r="K44" i="267"/>
  <c r="L44" i="267"/>
  <c r="M44" i="267"/>
  <c r="N44" i="267"/>
  <c r="O44" i="267"/>
  <c r="H45" i="267"/>
  <c r="I45" i="267"/>
  <c r="J45" i="267"/>
  <c r="K45" i="267"/>
  <c r="L45" i="267"/>
  <c r="M45" i="267"/>
  <c r="N45" i="267"/>
  <c r="O45" i="267"/>
  <c r="H46" i="267"/>
  <c r="I46" i="267"/>
  <c r="J46" i="267"/>
  <c r="K46" i="267"/>
  <c r="L46" i="267"/>
  <c r="M46" i="267"/>
  <c r="N46" i="267"/>
  <c r="O46" i="267"/>
  <c r="H47" i="267"/>
  <c r="I47" i="267"/>
  <c r="J47" i="267"/>
  <c r="K47" i="267"/>
  <c r="L47" i="267"/>
  <c r="M47" i="267"/>
  <c r="N47" i="267"/>
  <c r="O47" i="267"/>
  <c r="H48" i="267"/>
  <c r="I48" i="267"/>
  <c r="J48" i="267"/>
  <c r="K48" i="267"/>
  <c r="L48" i="267"/>
  <c r="M48" i="267"/>
  <c r="N48" i="267"/>
  <c r="O48" i="267"/>
  <c r="H50" i="267"/>
  <c r="I50" i="267"/>
  <c r="J50" i="267"/>
  <c r="K50" i="267"/>
  <c r="L50" i="267"/>
  <c r="M50" i="267"/>
  <c r="N50" i="267"/>
  <c r="O50" i="267"/>
  <c r="H51" i="267"/>
  <c r="I51" i="267"/>
  <c r="J51" i="267"/>
  <c r="K51" i="267"/>
  <c r="L51" i="267"/>
  <c r="M51" i="267"/>
  <c r="N51" i="267"/>
  <c r="O51" i="267"/>
  <c r="H52" i="267"/>
  <c r="I52" i="267"/>
  <c r="J52" i="267"/>
  <c r="K52" i="267"/>
  <c r="L52" i="267"/>
  <c r="M52" i="267"/>
  <c r="N52" i="267"/>
  <c r="O52" i="267"/>
  <c r="H53" i="267"/>
  <c r="I53" i="267"/>
  <c r="J53" i="267"/>
  <c r="K53" i="267"/>
  <c r="L53" i="267"/>
  <c r="M53" i="267"/>
  <c r="N53" i="267"/>
  <c r="O53" i="267"/>
  <c r="I54" i="267"/>
  <c r="M54" i="267"/>
  <c r="H55" i="267"/>
  <c r="I55" i="267"/>
  <c r="J55" i="267"/>
  <c r="K55" i="267"/>
  <c r="L55" i="267"/>
  <c r="M55" i="267"/>
  <c r="N55" i="267"/>
  <c r="O55" i="267"/>
  <c r="H56" i="267"/>
  <c r="I56" i="267"/>
  <c r="J56" i="267"/>
  <c r="K56" i="267"/>
  <c r="L56" i="267"/>
  <c r="M56" i="267"/>
  <c r="N56" i="267"/>
  <c r="O56" i="267"/>
  <c r="H57" i="267"/>
  <c r="I57" i="267"/>
  <c r="J57" i="267"/>
  <c r="K57" i="267"/>
  <c r="L57" i="267"/>
  <c r="M57" i="267"/>
  <c r="N57" i="267"/>
  <c r="O57" i="267"/>
  <c r="H58" i="267"/>
  <c r="I58" i="267"/>
  <c r="J58" i="267"/>
  <c r="K58" i="267"/>
  <c r="L58" i="267"/>
  <c r="M58" i="267"/>
  <c r="N58" i="267"/>
  <c r="O58" i="267"/>
  <c r="H59" i="267"/>
  <c r="I59" i="267"/>
  <c r="J59" i="267"/>
  <c r="K59" i="267"/>
  <c r="L59" i="267"/>
  <c r="M59" i="267"/>
  <c r="N59" i="267"/>
  <c r="O59" i="267"/>
  <c r="H60" i="267"/>
  <c r="I60" i="267"/>
  <c r="J60" i="267"/>
  <c r="K60" i="267"/>
  <c r="L60" i="267"/>
  <c r="M60" i="267"/>
  <c r="N60" i="267"/>
  <c r="O60" i="267"/>
  <c r="G56" i="267"/>
  <c r="G57" i="267"/>
  <c r="G58" i="267"/>
  <c r="G59" i="267"/>
  <c r="G60" i="267"/>
  <c r="G55" i="267"/>
  <c r="G53" i="267"/>
  <c r="G52" i="267"/>
  <c r="G51" i="267"/>
  <c r="G50" i="267"/>
  <c r="G48" i="267"/>
  <c r="G47" i="267"/>
  <c r="G46" i="267"/>
  <c r="G45" i="267"/>
  <c r="G44" i="267"/>
  <c r="H23" i="267"/>
  <c r="I23" i="267"/>
  <c r="J23" i="267"/>
  <c r="K23" i="267"/>
  <c r="L23" i="267"/>
  <c r="M23" i="267"/>
  <c r="N23" i="267"/>
  <c r="H24" i="267"/>
  <c r="I24" i="267"/>
  <c r="J24" i="267"/>
  <c r="K24" i="267"/>
  <c r="L24" i="267"/>
  <c r="M24" i="267"/>
  <c r="N24" i="267"/>
  <c r="H25" i="267"/>
  <c r="I25" i="267"/>
  <c r="J25" i="267"/>
  <c r="K25" i="267"/>
  <c r="L25" i="267"/>
  <c r="M25" i="267"/>
  <c r="N25" i="267"/>
  <c r="H29" i="267"/>
  <c r="I29" i="267"/>
  <c r="J29" i="267"/>
  <c r="K29" i="267"/>
  <c r="L29" i="267"/>
  <c r="M29" i="267"/>
  <c r="N29" i="267"/>
  <c r="H30" i="267"/>
  <c r="I30" i="267"/>
  <c r="J30" i="267"/>
  <c r="K30" i="267"/>
  <c r="L30" i="267"/>
  <c r="M30" i="267"/>
  <c r="N30" i="267"/>
  <c r="H32" i="267"/>
  <c r="I32" i="267"/>
  <c r="J32" i="267"/>
  <c r="K32" i="267"/>
  <c r="L32" i="267"/>
  <c r="M32" i="267"/>
  <c r="N32" i="267"/>
  <c r="H33" i="267"/>
  <c r="I33" i="267"/>
  <c r="J33" i="267"/>
  <c r="K33" i="267"/>
  <c r="L33" i="267"/>
  <c r="M33" i="267"/>
  <c r="N33" i="267"/>
  <c r="H34" i="267"/>
  <c r="I34" i="267"/>
  <c r="J34" i="267"/>
  <c r="K34" i="267"/>
  <c r="L34" i="267"/>
  <c r="M34" i="267"/>
  <c r="N34" i="267"/>
  <c r="H38" i="267"/>
  <c r="I38" i="267"/>
  <c r="J38" i="267"/>
  <c r="K38" i="267"/>
  <c r="L38" i="267"/>
  <c r="M38" i="267"/>
  <c r="N38" i="267"/>
  <c r="H39" i="267"/>
  <c r="I39" i="267"/>
  <c r="J39" i="267"/>
  <c r="K39" i="267"/>
  <c r="L39" i="267"/>
  <c r="M39" i="267"/>
  <c r="N39" i="267"/>
  <c r="G39" i="267"/>
  <c r="G38" i="267"/>
  <c r="G37" i="267"/>
  <c r="G34" i="267"/>
  <c r="G33" i="267"/>
  <c r="G32" i="267"/>
  <c r="G30" i="267"/>
  <c r="G29" i="267"/>
  <c r="G23" i="267"/>
  <c r="E55" i="267"/>
  <c r="E52" i="267"/>
  <c r="E51" i="267"/>
  <c r="E48" i="267"/>
  <c r="E47" i="267"/>
  <c r="E44" i="267"/>
  <c r="H105" i="267"/>
  <c r="I105" i="267"/>
  <c r="J105" i="267"/>
  <c r="K105" i="267"/>
  <c r="L105" i="267"/>
  <c r="M105" i="267"/>
  <c r="N105" i="267"/>
  <c r="O105" i="267"/>
  <c r="F60" i="267"/>
  <c r="E60" i="267"/>
  <c r="D60" i="267"/>
  <c r="C60" i="267"/>
  <c r="F59" i="267"/>
  <c r="E59" i="267"/>
  <c r="D59" i="267"/>
  <c r="C59" i="267"/>
  <c r="F58" i="267"/>
  <c r="E58" i="267"/>
  <c r="D58" i="267"/>
  <c r="C58" i="267"/>
  <c r="E57" i="267"/>
  <c r="D57" i="267"/>
  <c r="C57" i="267"/>
  <c r="E56" i="267"/>
  <c r="D56" i="267"/>
  <c r="C56" i="267"/>
  <c r="F55" i="267"/>
  <c r="F54" i="267"/>
  <c r="E54" i="267"/>
  <c r="D54" i="267"/>
  <c r="C54" i="267"/>
  <c r="F53" i="267"/>
  <c r="E53" i="267"/>
  <c r="D53" i="267"/>
  <c r="C53" i="267"/>
  <c r="F52" i="267"/>
  <c r="C52" i="267"/>
  <c r="F51" i="267"/>
  <c r="F50" i="267"/>
  <c r="E50" i="267"/>
  <c r="D50" i="267"/>
  <c r="C50" i="267"/>
  <c r="F49" i="267"/>
  <c r="E49" i="267"/>
  <c r="D49" i="267"/>
  <c r="C49" i="267"/>
  <c r="F48" i="267"/>
  <c r="C48" i="267"/>
  <c r="F47" i="267"/>
  <c r="F46" i="267"/>
  <c r="E46" i="267"/>
  <c r="D46" i="267"/>
  <c r="C46" i="267"/>
  <c r="F45" i="267"/>
  <c r="F57" i="267" s="1"/>
  <c r="E45" i="267"/>
  <c r="D45" i="267"/>
  <c r="C45" i="267"/>
  <c r="F44" i="267"/>
  <c r="C44" i="267"/>
  <c r="O123" i="267" l="1"/>
  <c r="K123" i="267"/>
  <c r="O128" i="267"/>
  <c r="O79" i="267"/>
  <c r="K79" i="267"/>
  <c r="O101" i="267"/>
  <c r="L54" i="267"/>
  <c r="O54" i="267"/>
  <c r="O76" i="267"/>
  <c r="K76" i="267"/>
  <c r="L98" i="267"/>
  <c r="L76" i="267"/>
  <c r="K54" i="267"/>
  <c r="N54" i="267"/>
  <c r="J54" i="267"/>
  <c r="O106" i="267"/>
  <c r="H120" i="267"/>
  <c r="F56" i="267"/>
  <c r="C55" i="267"/>
  <c r="D44" i="267"/>
  <c r="D47" i="267"/>
  <c r="D48" i="267"/>
  <c r="D51" i="267"/>
  <c r="D52" i="267"/>
  <c r="D55" i="267"/>
  <c r="C47" i="267"/>
  <c r="C51" i="267"/>
  <c r="O84" i="267" l="1"/>
  <c r="I50" i="275" l="1"/>
  <c r="J50" i="275"/>
  <c r="K50" i="275"/>
  <c r="L50" i="275"/>
  <c r="M10" i="275"/>
  <c r="C18" i="216"/>
  <c r="M22" i="269"/>
  <c r="M18" i="269"/>
  <c r="M14" i="269"/>
  <c r="M10" i="269"/>
  <c r="F70" i="269" l="1"/>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M52" i="269"/>
  <c r="M51" i="269"/>
  <c r="D33" i="216"/>
  <c r="E116" i="231" s="1"/>
  <c r="C22" i="232" s="1"/>
  <c r="C33" i="216"/>
  <c r="D52" i="269" s="1"/>
  <c r="D60" i="269" s="1"/>
  <c r="D68" i="269" s="1"/>
  <c r="D76" i="269" s="1"/>
  <c r="M50" i="269"/>
  <c r="M49" i="269"/>
  <c r="M48" i="269"/>
  <c r="M47" i="269"/>
  <c r="E23" i="267"/>
  <c r="E24" i="267"/>
  <c r="E25" i="267"/>
  <c r="E28" i="267"/>
  <c r="E30" i="267"/>
  <c r="E31" i="267"/>
  <c r="E32" i="267"/>
  <c r="E33" i="267"/>
  <c r="E34" i="267"/>
  <c r="E35" i="267"/>
  <c r="E36" i="267"/>
  <c r="E38" i="267"/>
  <c r="E39" i="267"/>
  <c r="M21" i="269"/>
  <c r="F21" i="269"/>
  <c r="M17" i="269"/>
  <c r="L17" i="269"/>
  <c r="L21" i="269" s="1"/>
  <c r="K17" i="269"/>
  <c r="K21" i="269" s="1"/>
  <c r="J17" i="269"/>
  <c r="J21" i="269" s="1"/>
  <c r="M13" i="269"/>
  <c r="L13" i="269"/>
  <c r="K13" i="269"/>
  <c r="J13" i="269"/>
  <c r="J15" i="269"/>
  <c r="K15" i="269"/>
  <c r="L15" i="269"/>
  <c r="M15" i="269"/>
  <c r="M9" i="269"/>
  <c r="D32" i="216"/>
  <c r="E115" i="231" s="1"/>
  <c r="C21" i="232" s="1"/>
  <c r="C32" i="216"/>
  <c r="S41" i="231" s="1"/>
  <c r="P41" i="231" s="1"/>
  <c r="D41" i="231" s="1"/>
  <c r="B9" i="269" s="1"/>
  <c r="B13" i="269" s="1"/>
  <c r="D31" i="216"/>
  <c r="C31" i="216"/>
  <c r="E40" i="267" l="1"/>
  <c r="E22" i="232"/>
  <c r="D51" i="269"/>
  <c r="D59" i="269" s="1"/>
  <c r="D67" i="269" s="1"/>
  <c r="D75" i="269" s="1"/>
  <c r="D116" i="231"/>
  <c r="B22" i="232" s="1"/>
  <c r="S51" i="231"/>
  <c r="D9" i="269"/>
  <c r="D17" i="269" s="1"/>
  <c r="D21" i="269" s="1"/>
  <c r="E21" i="232"/>
  <c r="D115" i="231"/>
  <c r="B21" i="232" s="1"/>
  <c r="B17" i="269"/>
  <c r="B21" i="269" s="1"/>
  <c r="D13" i="269" l="1"/>
  <c r="V209" i="260" l="1"/>
  <c r="V208" i="260"/>
  <c r="V207" i="260"/>
  <c r="V206" i="260"/>
  <c r="V205" i="260"/>
  <c r="V204" i="260"/>
  <c r="V203" i="260"/>
  <c r="V200" i="260"/>
  <c r="V199" i="260"/>
  <c r="V198" i="260"/>
  <c r="V197" i="260"/>
  <c r="V196" i="260"/>
  <c r="V195" i="260"/>
  <c r="V194" i="260"/>
  <c r="V193" i="260"/>
  <c r="V190" i="260"/>
  <c r="V189" i="260"/>
  <c r="V188" i="260"/>
  <c r="V187" i="260"/>
  <c r="V186" i="260"/>
  <c r="V185" i="260"/>
  <c r="V184" i="260"/>
  <c r="V183" i="260"/>
  <c r="V180" i="260"/>
  <c r="V179" i="260"/>
  <c r="V178" i="260"/>
  <c r="V177" i="260"/>
  <c r="V176" i="260"/>
  <c r="V175" i="260"/>
  <c r="V174" i="260"/>
  <c r="V173" i="260"/>
  <c r="V170" i="260"/>
  <c r="V169" i="260"/>
  <c r="V168" i="260"/>
  <c r="V167" i="260"/>
  <c r="V166" i="260"/>
  <c r="V165" i="260"/>
  <c r="V164" i="260"/>
  <c r="V163" i="260"/>
  <c r="V160" i="260"/>
  <c r="V159" i="260"/>
  <c r="V158" i="260"/>
  <c r="V157" i="260"/>
  <c r="V156" i="260"/>
  <c r="V155" i="260"/>
  <c r="V154" i="260"/>
  <c r="V153" i="260"/>
  <c r="V150" i="260"/>
  <c r="V149" i="260"/>
  <c r="V148" i="260"/>
  <c r="V147" i="260"/>
  <c r="V146" i="260"/>
  <c r="V145" i="260"/>
  <c r="V144" i="260"/>
  <c r="V143" i="260"/>
  <c r="V140" i="260"/>
  <c r="V139" i="260"/>
  <c r="V138" i="260"/>
  <c r="V137" i="260"/>
  <c r="V136" i="260"/>
  <c r="V135" i="260"/>
  <c r="V134" i="260"/>
  <c r="V133" i="260"/>
  <c r="V130" i="260"/>
  <c r="V129" i="260"/>
  <c r="V128" i="260"/>
  <c r="V127" i="260"/>
  <c r="V126" i="260"/>
  <c r="V125" i="260"/>
  <c r="V124" i="260"/>
  <c r="V123" i="260"/>
  <c r="V120" i="260"/>
  <c r="V119" i="260"/>
  <c r="V118" i="260"/>
  <c r="V117" i="260"/>
  <c r="V116" i="260"/>
  <c r="V115" i="260"/>
  <c r="V114" i="260"/>
  <c r="V113" i="260"/>
  <c r="V110" i="260"/>
  <c r="V109" i="260"/>
  <c r="V108" i="260"/>
  <c r="V107" i="260"/>
  <c r="V106" i="260"/>
  <c r="V105" i="260"/>
  <c r="V104" i="260"/>
  <c r="V103" i="260"/>
  <c r="V100" i="260"/>
  <c r="V99" i="260"/>
  <c r="V98" i="260"/>
  <c r="V97" i="260"/>
  <c r="V96" i="260"/>
  <c r="V95" i="260"/>
  <c r="V94" i="260"/>
  <c r="V93" i="260"/>
  <c r="V90" i="260"/>
  <c r="V89" i="260"/>
  <c r="V88" i="260"/>
  <c r="V87" i="260"/>
  <c r="V86" i="260"/>
  <c r="V85" i="260"/>
  <c r="V84" i="260"/>
  <c r="V83" i="260"/>
  <c r="V80" i="260"/>
  <c r="V79" i="260"/>
  <c r="V78" i="260"/>
  <c r="V77" i="260"/>
  <c r="V76" i="260"/>
  <c r="V75" i="260"/>
  <c r="V74" i="260"/>
  <c r="V73" i="260"/>
  <c r="V70" i="260"/>
  <c r="V69" i="260"/>
  <c r="V68" i="260"/>
  <c r="V67" i="260"/>
  <c r="V66" i="260"/>
  <c r="V65" i="260"/>
  <c r="V64" i="260"/>
  <c r="V63" i="260"/>
  <c r="V60" i="260"/>
  <c r="V59" i="260"/>
  <c r="V58" i="260"/>
  <c r="V57" i="260"/>
  <c r="V56" i="260"/>
  <c r="V55" i="260"/>
  <c r="V54" i="260"/>
  <c r="V53" i="260"/>
  <c r="V50" i="260"/>
  <c r="V49" i="260"/>
  <c r="V48" i="260"/>
  <c r="V47" i="260"/>
  <c r="V46" i="260"/>
  <c r="V44" i="260"/>
  <c r="V43" i="260"/>
  <c r="V42" i="260"/>
  <c r="V39" i="260"/>
  <c r="V38" i="260"/>
  <c r="V37" i="260"/>
  <c r="V36" i="260"/>
  <c r="V35" i="260"/>
  <c r="V33" i="260"/>
  <c r="V32" i="260"/>
  <c r="V31" i="260"/>
  <c r="V28" i="260"/>
  <c r="V27" i="260"/>
  <c r="V26" i="260"/>
  <c r="V25" i="260"/>
  <c r="V24" i="260"/>
  <c r="V22" i="260"/>
  <c r="V21" i="260"/>
  <c r="V20" i="260"/>
  <c r="V17" i="260"/>
  <c r="V16" i="260"/>
  <c r="V15" i="260"/>
  <c r="V14" i="260"/>
  <c r="V13" i="260"/>
  <c r="V11" i="260"/>
  <c r="V10" i="260"/>
  <c r="V9" i="260"/>
  <c r="V6" i="260"/>
  <c r="C19" i="216" l="1"/>
  <c r="E7" i="232" s="1"/>
  <c r="D19" i="216"/>
  <c r="E101" i="231" s="1"/>
  <c r="C7" i="232" s="1"/>
  <c r="C61" i="267"/>
  <c r="D61" i="267"/>
  <c r="E61" i="267"/>
  <c r="C66" i="267"/>
  <c r="D66" i="267"/>
  <c r="E66" i="267"/>
  <c r="C67" i="267"/>
  <c r="D67" i="267"/>
  <c r="E67" i="267"/>
  <c r="C68" i="267"/>
  <c r="D68" i="267"/>
  <c r="E68" i="267"/>
  <c r="C69" i="267"/>
  <c r="D69" i="267"/>
  <c r="E69" i="267"/>
  <c r="C70" i="267"/>
  <c r="D70" i="267"/>
  <c r="E70" i="267"/>
  <c r="C71" i="267"/>
  <c r="D71" i="267"/>
  <c r="E71" i="267"/>
  <c r="C72" i="267"/>
  <c r="D72" i="267"/>
  <c r="E72" i="267"/>
  <c r="C73" i="267"/>
  <c r="D73" i="267"/>
  <c r="E73" i="267"/>
  <c r="C74" i="267"/>
  <c r="D74" i="267"/>
  <c r="E74" i="267"/>
  <c r="C75" i="267"/>
  <c r="D75" i="267"/>
  <c r="E75" i="267"/>
  <c r="C76" i="267"/>
  <c r="D76" i="267"/>
  <c r="E76" i="267"/>
  <c r="C77" i="267"/>
  <c r="D77" i="267"/>
  <c r="E77" i="267"/>
  <c r="C78" i="267"/>
  <c r="D78" i="267"/>
  <c r="E78" i="267"/>
  <c r="C79" i="267"/>
  <c r="D79" i="267"/>
  <c r="E79" i="267"/>
  <c r="C80" i="267"/>
  <c r="D80" i="267"/>
  <c r="E80" i="267"/>
  <c r="C81" i="267"/>
  <c r="D81" i="267"/>
  <c r="E81" i="267"/>
  <c r="C82" i="267"/>
  <c r="D82" i="267"/>
  <c r="E82" i="267"/>
  <c r="C83" i="267"/>
  <c r="D83" i="267"/>
  <c r="E83" i="267"/>
  <c r="C88" i="267"/>
  <c r="D88" i="267"/>
  <c r="E88" i="267"/>
  <c r="C89" i="267"/>
  <c r="D89" i="267"/>
  <c r="E89" i="267"/>
  <c r="C90" i="267"/>
  <c r="D90" i="267"/>
  <c r="E90" i="267"/>
  <c r="C91" i="267"/>
  <c r="D91" i="267"/>
  <c r="E91" i="267"/>
  <c r="C92" i="267"/>
  <c r="D92" i="267"/>
  <c r="E92" i="267"/>
  <c r="C93" i="267"/>
  <c r="D93" i="267"/>
  <c r="E93" i="267"/>
  <c r="C94" i="267"/>
  <c r="D94" i="267"/>
  <c r="E94" i="267"/>
  <c r="C95" i="267"/>
  <c r="D95" i="267"/>
  <c r="E95" i="267"/>
  <c r="C96" i="267"/>
  <c r="D96" i="267"/>
  <c r="E96" i="267"/>
  <c r="C97" i="267"/>
  <c r="D97" i="267"/>
  <c r="E97" i="267"/>
  <c r="C98" i="267"/>
  <c r="D98" i="267"/>
  <c r="E98" i="267"/>
  <c r="C99" i="267"/>
  <c r="D99" i="267"/>
  <c r="E99" i="267"/>
  <c r="C100" i="267"/>
  <c r="D100" i="267"/>
  <c r="E100" i="267"/>
  <c r="C101" i="267"/>
  <c r="D101" i="267"/>
  <c r="E101" i="267"/>
  <c r="C102" i="267"/>
  <c r="D102" i="267"/>
  <c r="E102" i="267"/>
  <c r="C103" i="267"/>
  <c r="D103" i="267"/>
  <c r="E103" i="267"/>
  <c r="C104" i="267"/>
  <c r="D104" i="267"/>
  <c r="E104" i="267"/>
  <c r="C105" i="267"/>
  <c r="D105" i="267"/>
  <c r="E105"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125" i="267"/>
  <c r="D125" i="267"/>
  <c r="E125" i="267"/>
  <c r="C126" i="267"/>
  <c r="D126" i="267"/>
  <c r="E126" i="267"/>
  <c r="C127" i="267"/>
  <c r="D127" i="267"/>
  <c r="E127" i="267"/>
  <c r="C23" i="267"/>
  <c r="D23" i="267"/>
  <c r="C24" i="267"/>
  <c r="D24" i="267"/>
  <c r="C25" i="267"/>
  <c r="D25" i="267"/>
  <c r="C28" i="267"/>
  <c r="D28" i="267"/>
  <c r="C30" i="267"/>
  <c r="D30" i="267"/>
  <c r="C31" i="267"/>
  <c r="D31" i="267"/>
  <c r="C32" i="267"/>
  <c r="D32" i="267"/>
  <c r="C33" i="267"/>
  <c r="D33" i="267"/>
  <c r="C34" i="267"/>
  <c r="D34" i="267"/>
  <c r="C35" i="267"/>
  <c r="D35" i="267"/>
  <c r="C36" i="267"/>
  <c r="D36" i="267"/>
  <c r="C38" i="267"/>
  <c r="D38" i="267"/>
  <c r="C39" i="267"/>
  <c r="D39" i="267"/>
  <c r="F111" i="267"/>
  <c r="F112" i="267"/>
  <c r="F113" i="267"/>
  <c r="F114" i="267"/>
  <c r="F115" i="267"/>
  <c r="F116" i="267"/>
  <c r="F117" i="267"/>
  <c r="F118" i="267"/>
  <c r="F119" i="267"/>
  <c r="F120" i="267"/>
  <c r="F121" i="267"/>
  <c r="F122" i="267"/>
  <c r="F110" i="267"/>
  <c r="F88" i="267"/>
  <c r="F90" i="267"/>
  <c r="F91" i="267"/>
  <c r="F92" i="267"/>
  <c r="F93" i="267"/>
  <c r="F94" i="267"/>
  <c r="F95" i="267"/>
  <c r="F96" i="267"/>
  <c r="F97" i="267"/>
  <c r="F98" i="267"/>
  <c r="F99" i="267"/>
  <c r="F100" i="267"/>
  <c r="F89" i="267"/>
  <c r="F67" i="267"/>
  <c r="F68" i="267"/>
  <c r="F69" i="267"/>
  <c r="F70" i="267"/>
  <c r="F71" i="267"/>
  <c r="F72" i="267"/>
  <c r="F73" i="267"/>
  <c r="F74" i="267"/>
  <c r="F75" i="267"/>
  <c r="F76" i="267"/>
  <c r="F77" i="267"/>
  <c r="F78" i="267"/>
  <c r="F66" i="267"/>
  <c r="F34" i="267"/>
  <c r="F24" i="267"/>
  <c r="F25" i="267"/>
  <c r="F26" i="267"/>
  <c r="F28" i="267"/>
  <c r="F37" i="267"/>
  <c r="F29" i="267"/>
  <c r="F30" i="267"/>
  <c r="F31" i="267"/>
  <c r="F32" i="267"/>
  <c r="F33" i="267"/>
  <c r="F23" i="267"/>
  <c r="O127" i="267"/>
  <c r="O61" i="267"/>
  <c r="O169" i="260"/>
  <c r="O168" i="260"/>
  <c r="T168" i="260" s="1"/>
  <c r="O167" i="260"/>
  <c r="O166" i="260"/>
  <c r="O165" i="260"/>
  <c r="O164" i="260"/>
  <c r="O163" i="260"/>
  <c r="O162" i="260"/>
  <c r="O161" i="260"/>
  <c r="O160" i="260"/>
  <c r="O159" i="260"/>
  <c r="O158" i="260"/>
  <c r="O157" i="260"/>
  <c r="O156" i="260"/>
  <c r="O155" i="260"/>
  <c r="O154" i="260"/>
  <c r="O153" i="260"/>
  <c r="O152" i="260"/>
  <c r="O151" i="260"/>
  <c r="O150" i="260"/>
  <c r="O149" i="260"/>
  <c r="O148" i="260"/>
  <c r="T148" i="260" s="1"/>
  <c r="O147" i="260"/>
  <c r="O146" i="260"/>
  <c r="O145" i="260"/>
  <c r="O144" i="260"/>
  <c r="O143" i="260"/>
  <c r="O142" i="260"/>
  <c r="O141" i="260"/>
  <c r="O140" i="260"/>
  <c r="O139" i="260"/>
  <c r="O138" i="260"/>
  <c r="O137" i="260"/>
  <c r="O136" i="260"/>
  <c r="O135" i="260"/>
  <c r="O134" i="260"/>
  <c r="O133" i="260"/>
  <c r="O132" i="260"/>
  <c r="O131" i="260"/>
  <c r="O130"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D101" i="231" l="1"/>
  <c r="B7" i="232" s="1"/>
  <c r="E128" i="267"/>
  <c r="F101" i="267"/>
  <c r="F36" i="267"/>
  <c r="C84" i="267"/>
  <c r="F35" i="267"/>
  <c r="C106" i="267"/>
  <c r="E106" i="267"/>
  <c r="D106" i="267"/>
  <c r="D84" i="267"/>
  <c r="E84" i="267"/>
  <c r="D128" i="267"/>
  <c r="C128" i="267"/>
  <c r="D62" i="267"/>
  <c r="C62" i="267"/>
  <c r="D40" i="267"/>
  <c r="E62" i="267"/>
  <c r="C40" i="267"/>
  <c r="H170"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I106" i="267" l="1"/>
  <c r="J106" i="267"/>
  <c r="M106" i="267"/>
  <c r="H106" i="267"/>
  <c r="N106" i="267"/>
  <c r="K106" i="267"/>
  <c r="L106" i="267"/>
  <c r="H209" i="260"/>
  <c r="H208" i="260"/>
  <c r="H207" i="260"/>
  <c r="H206" i="260"/>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O209" i="260"/>
  <c r="T209" i="260" s="1"/>
  <c r="O208" i="260"/>
  <c r="T208" i="260" s="1"/>
  <c r="O207" i="260"/>
  <c r="T207" i="260" s="1"/>
  <c r="O206" i="260"/>
  <c r="T206" i="260" s="1"/>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O178" i="260"/>
  <c r="T178" i="260" s="1"/>
  <c r="O177" i="260"/>
  <c r="T177" i="260" s="1"/>
  <c r="O176" i="260"/>
  <c r="T176" i="260" s="1"/>
  <c r="O175" i="260"/>
  <c r="T175" i="260" s="1"/>
  <c r="O174" i="260"/>
  <c r="T174" i="260" s="1"/>
  <c r="O173" i="260"/>
  <c r="T173" i="260" s="1"/>
  <c r="O172" i="260"/>
  <c r="T172" i="260" s="1"/>
  <c r="O171" i="260"/>
  <c r="T171" i="260" s="1"/>
  <c r="O170" i="260"/>
  <c r="T170" i="260" s="1"/>
  <c r="O22" i="270"/>
  <c r="O21" i="270"/>
  <c r="O20" i="270"/>
  <c r="O19" i="270"/>
  <c r="F69" i="269"/>
  <c r="M70" i="269"/>
  <c r="M69" i="269"/>
  <c r="F37" i="269"/>
  <c r="F36" i="269"/>
  <c r="M37" i="269"/>
  <c r="M36" i="269"/>
  <c r="F20" i="269"/>
  <c r="F19" i="269"/>
  <c r="M20" i="269"/>
  <c r="M19" i="269"/>
  <c r="O129" i="260" l="1"/>
  <c r="O128" i="260"/>
  <c r="T128" i="260" s="1"/>
  <c r="O127" i="260"/>
  <c r="O126" i="260"/>
  <c r="O125" i="260"/>
  <c r="O124" i="260"/>
  <c r="O123" i="260"/>
  <c r="O122" i="260"/>
  <c r="O121" i="260"/>
  <c r="O120" i="260"/>
  <c r="O119" i="260"/>
  <c r="O118" i="260"/>
  <c r="O117" i="260"/>
  <c r="O116" i="260"/>
  <c r="O115" i="260"/>
  <c r="O114" i="260"/>
  <c r="O113" i="260"/>
  <c r="O112" i="260"/>
  <c r="O111" i="260"/>
  <c r="O110" i="260"/>
  <c r="O109" i="260"/>
  <c r="O108" i="260"/>
  <c r="T108" i="260" s="1"/>
  <c r="O107" i="260"/>
  <c r="O106" i="260"/>
  <c r="O105" i="260"/>
  <c r="O104" i="260"/>
  <c r="O103" i="260"/>
  <c r="O102" i="260"/>
  <c r="O101" i="260"/>
  <c r="O100" i="260"/>
  <c r="O99" i="260"/>
  <c r="O98" i="260"/>
  <c r="O97" i="260"/>
  <c r="O96" i="260"/>
  <c r="O95" i="260"/>
  <c r="O94" i="260"/>
  <c r="O93" i="260"/>
  <c r="O92" i="260"/>
  <c r="O91" i="260"/>
  <c r="O90" i="260"/>
  <c r="C35" i="216"/>
  <c r="D35"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F51" i="264"/>
  <c r="BE51"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4" i="231"/>
  <c r="D94" i="231" s="1"/>
  <c r="B47" i="260" s="1"/>
  <c r="P83" i="231"/>
  <c r="D83" i="231" s="1"/>
  <c r="B36"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1" i="231"/>
  <c r="D61" i="231" s="1"/>
  <c r="B14" i="260" s="1"/>
  <c r="P72" i="231"/>
  <c r="D72" i="231" s="1"/>
  <c r="B25" i="260" s="1"/>
  <c r="D10" i="231"/>
  <c r="B12" i="264" s="1"/>
  <c r="D8" i="231"/>
  <c r="B10" i="264" s="1"/>
  <c r="D9" i="231"/>
  <c r="B11" i="264" s="1"/>
  <c r="D7" i="231"/>
  <c r="B9" i="264" s="1"/>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82" i="216"/>
  <c r="D39" i="216"/>
  <c r="D40" i="216"/>
  <c r="D41" i="216"/>
  <c r="D42" i="216"/>
  <c r="D43" i="216"/>
  <c r="D48" i="216"/>
  <c r="D49" i="216"/>
  <c r="D50" i="216"/>
  <c r="D51" i="216"/>
  <c r="D52" i="216"/>
  <c r="D53" i="216"/>
  <c r="D54" i="216"/>
  <c r="D55" i="216"/>
  <c r="D56" i="216"/>
  <c r="D57" i="216"/>
  <c r="D58" i="216"/>
  <c r="D18" i="216"/>
  <c r="E102" i="231" s="1"/>
  <c r="D20" i="216"/>
  <c r="D21" i="216"/>
  <c r="D22" i="216"/>
  <c r="D23" i="216"/>
  <c r="D24" i="216"/>
  <c r="D25" i="216"/>
  <c r="D26" i="216"/>
  <c r="D27" i="216"/>
  <c r="D29" i="216"/>
  <c r="D30" i="216"/>
  <c r="D34" i="216"/>
  <c r="D36" i="216"/>
  <c r="D37" i="216"/>
  <c r="D38" i="216"/>
  <c r="D17" i="216"/>
  <c r="D16" i="216"/>
  <c r="D15" i="216"/>
  <c r="D14" i="216"/>
  <c r="D13" i="216"/>
  <c r="D12" i="216"/>
  <c r="D11" i="216"/>
  <c r="D10" i="216"/>
  <c r="D9" i="216"/>
  <c r="D8" i="216"/>
  <c r="D7" i="216"/>
  <c r="C65" i="216"/>
  <c r="C60" i="216"/>
  <c r="C61" i="216"/>
  <c r="C62" i="216"/>
  <c r="C63" i="216"/>
  <c r="C64" i="216"/>
  <c r="C66" i="216"/>
  <c r="C67" i="216"/>
  <c r="C68" i="216"/>
  <c r="C69" i="216"/>
  <c r="C70" i="216"/>
  <c r="C71" i="216"/>
  <c r="C72" i="216"/>
  <c r="C73" i="216"/>
  <c r="C74" i="216"/>
  <c r="C75" i="216"/>
  <c r="C76" i="216"/>
  <c r="C77" i="216"/>
  <c r="C78" i="216"/>
  <c r="C79" i="216"/>
  <c r="C80" i="216"/>
  <c r="C81" i="216"/>
  <c r="C82" i="216"/>
  <c r="C59" i="216"/>
  <c r="C58" i="216"/>
  <c r="D77" i="264" s="1"/>
  <c r="C57" i="216"/>
  <c r="D70" i="264" s="1"/>
  <c r="C56" i="216"/>
  <c r="G8" i="270" s="1"/>
  <c r="C55" i="216"/>
  <c r="D56" i="264" s="1"/>
  <c r="C54" i="216"/>
  <c r="C53" i="216"/>
  <c r="C52" i="216"/>
  <c r="C51" i="216"/>
  <c r="C50" i="216"/>
  <c r="C49" i="216"/>
  <c r="C48" i="216"/>
  <c r="C47" i="216"/>
  <c r="C46" i="216"/>
  <c r="G47" i="260" s="1"/>
  <c r="C45" i="216"/>
  <c r="G36" i="260" s="1"/>
  <c r="C44" i="216"/>
  <c r="G22" i="260" s="1"/>
  <c r="C43" i="216"/>
  <c r="C42" i="216"/>
  <c r="C41" i="216"/>
  <c r="C40" i="216"/>
  <c r="C39" i="216"/>
  <c r="C38" i="216"/>
  <c r="D120" i="231" s="1"/>
  <c r="C37" i="216"/>
  <c r="D119" i="231" s="1"/>
  <c r="C36" i="216"/>
  <c r="C34" i="216"/>
  <c r="S52" i="231" s="1"/>
  <c r="S100" i="231"/>
  <c r="C30" i="216"/>
  <c r="F10" i="270" s="1"/>
  <c r="F14" i="270" s="1"/>
  <c r="C29" i="216"/>
  <c r="C27" i="216"/>
  <c r="C26" i="216"/>
  <c r="C25" i="216"/>
  <c r="G9" i="242" s="1"/>
  <c r="C24" i="216"/>
  <c r="C23" i="216"/>
  <c r="F30" i="260" s="1"/>
  <c r="F72" i="260" s="1"/>
  <c r="F112" i="260" s="1"/>
  <c r="C22" i="216"/>
  <c r="D105" i="231" s="1"/>
  <c r="C21" i="216"/>
  <c r="C20" i="216"/>
  <c r="F38" i="260" s="1"/>
  <c r="F49" i="260" s="1"/>
  <c r="F89" i="260" s="1"/>
  <c r="F129" i="260" s="1"/>
  <c r="S53" i="231"/>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51" i="260"/>
  <c r="D91" i="260" s="1"/>
  <c r="E51" i="260"/>
  <c r="E91" i="260" s="1"/>
  <c r="E131" i="260" s="1"/>
  <c r="D52" i="260"/>
  <c r="D92" i="260" s="1"/>
  <c r="E52" i="260"/>
  <c r="E92" i="260" s="1"/>
  <c r="E132" i="260" s="1"/>
  <c r="D53" i="260"/>
  <c r="D93" i="260" s="1"/>
  <c r="E53" i="260"/>
  <c r="E93" i="260" s="1"/>
  <c r="E133" i="260" s="1"/>
  <c r="D54" i="260"/>
  <c r="D94" i="260" s="1"/>
  <c r="E54" i="260"/>
  <c r="E94" i="260" s="1"/>
  <c r="E134" i="260" s="1"/>
  <c r="D55" i="260"/>
  <c r="D95" i="260" s="1"/>
  <c r="E55" i="260"/>
  <c r="E95" i="260" s="1"/>
  <c r="E135" i="260" s="1"/>
  <c r="D56" i="260"/>
  <c r="D96" i="260" s="1"/>
  <c r="E56" i="260"/>
  <c r="E96" i="260" s="1"/>
  <c r="D57" i="260"/>
  <c r="D97" i="260" s="1"/>
  <c r="E57" i="260"/>
  <c r="E97" i="260" s="1"/>
  <c r="E137" i="260" s="1"/>
  <c r="D58" i="260"/>
  <c r="D98" i="260" s="1"/>
  <c r="E58" i="260"/>
  <c r="E98" i="260" s="1"/>
  <c r="E138" i="260" s="1"/>
  <c r="D59" i="260"/>
  <c r="D99" i="260" s="1"/>
  <c r="E59" i="260"/>
  <c r="D60" i="260"/>
  <c r="D100" i="260" s="1"/>
  <c r="E60" i="260"/>
  <c r="E100" i="260" s="1"/>
  <c r="E140" i="260" s="1"/>
  <c r="D61" i="260"/>
  <c r="D101" i="260" s="1"/>
  <c r="E61" i="260"/>
  <c r="E101" i="260" s="1"/>
  <c r="E141" i="260" s="1"/>
  <c r="D62" i="260"/>
  <c r="D102" i="260" s="1"/>
  <c r="E62" i="260"/>
  <c r="E102" i="260" s="1"/>
  <c r="E142" i="260" s="1"/>
  <c r="D63" i="260"/>
  <c r="D103" i="260" s="1"/>
  <c r="E63" i="260"/>
  <c r="E103" i="260" s="1"/>
  <c r="E143" i="260" s="1"/>
  <c r="D64" i="260"/>
  <c r="D104" i="260" s="1"/>
  <c r="E64" i="260"/>
  <c r="E104" i="260" s="1"/>
  <c r="E144" i="260" s="1"/>
  <c r="D65" i="260"/>
  <c r="D105" i="260" s="1"/>
  <c r="E65" i="260"/>
  <c r="E105" i="260" s="1"/>
  <c r="E145" i="260" s="1"/>
  <c r="D66" i="260"/>
  <c r="D106" i="260" s="1"/>
  <c r="E66" i="260"/>
  <c r="E106" i="260" s="1"/>
  <c r="D67" i="260"/>
  <c r="D107" i="260" s="1"/>
  <c r="E67" i="260"/>
  <c r="E107" i="260" s="1"/>
  <c r="E147" i="260" s="1"/>
  <c r="D68" i="260"/>
  <c r="D108" i="260" s="1"/>
  <c r="D148" i="260" s="1"/>
  <c r="E68" i="260"/>
  <c r="E108" i="260" s="1"/>
  <c r="E148" i="260" s="1"/>
  <c r="D69" i="260"/>
  <c r="D109" i="260" s="1"/>
  <c r="E69" i="260"/>
  <c r="E109" i="260" s="1"/>
  <c r="E149" i="260" s="1"/>
  <c r="D70" i="260"/>
  <c r="D110" i="260" s="1"/>
  <c r="E70" i="260"/>
  <c r="E110" i="260" s="1"/>
  <c r="E150" i="260" s="1"/>
  <c r="D71" i="260"/>
  <c r="D111" i="260" s="1"/>
  <c r="E71" i="260"/>
  <c r="E111" i="260" s="1"/>
  <c r="E151" i="260" s="1"/>
  <c r="D72" i="260"/>
  <c r="D112" i="260" s="1"/>
  <c r="E72" i="260"/>
  <c r="E112" i="260" s="1"/>
  <c r="E152" i="260" s="1"/>
  <c r="D73" i="260"/>
  <c r="D113" i="260" s="1"/>
  <c r="E73" i="260"/>
  <c r="E113" i="260" s="1"/>
  <c r="E153" i="260" s="1"/>
  <c r="D74" i="260"/>
  <c r="D114" i="260" s="1"/>
  <c r="E74" i="260"/>
  <c r="E114" i="260" s="1"/>
  <c r="E154" i="260" s="1"/>
  <c r="D75" i="260"/>
  <c r="D115" i="260" s="1"/>
  <c r="D155" i="260" s="1"/>
  <c r="E75" i="260"/>
  <c r="E115" i="260" s="1"/>
  <c r="E155" i="260" s="1"/>
  <c r="D76" i="260"/>
  <c r="D116" i="260" s="1"/>
  <c r="E76" i="260"/>
  <c r="E116" i="260" s="1"/>
  <c r="D77" i="260"/>
  <c r="D117" i="260" s="1"/>
  <c r="E77" i="260"/>
  <c r="E117" i="260" s="1"/>
  <c r="E157" i="260" s="1"/>
  <c r="D78" i="260"/>
  <c r="D118" i="260" s="1"/>
  <c r="E78" i="260"/>
  <c r="E118" i="260" s="1"/>
  <c r="E158" i="260" s="1"/>
  <c r="D79" i="260"/>
  <c r="D119" i="260" s="1"/>
  <c r="E79" i="260"/>
  <c r="E119" i="260" s="1"/>
  <c r="E159" i="260" s="1"/>
  <c r="D80" i="260"/>
  <c r="D120" i="260" s="1"/>
  <c r="D160" i="260" s="1"/>
  <c r="E80" i="260"/>
  <c r="E120" i="260" s="1"/>
  <c r="E160" i="260" s="1"/>
  <c r="D81" i="260"/>
  <c r="D121" i="260" s="1"/>
  <c r="E81" i="260"/>
  <c r="E121" i="260" s="1"/>
  <c r="E161" i="260" s="1"/>
  <c r="D82" i="260"/>
  <c r="D122" i="260" s="1"/>
  <c r="E82" i="260"/>
  <c r="E122" i="260" s="1"/>
  <c r="E162" i="260" s="1"/>
  <c r="D83" i="260"/>
  <c r="D123" i="260" s="1"/>
  <c r="E83" i="260"/>
  <c r="E123" i="260" s="1"/>
  <c r="E163" i="260" s="1"/>
  <c r="D84" i="260"/>
  <c r="D124" i="260" s="1"/>
  <c r="E84" i="260"/>
  <c r="E124" i="260" s="1"/>
  <c r="E164" i="260" s="1"/>
  <c r="D85" i="260"/>
  <c r="D125" i="260" s="1"/>
  <c r="E85" i="260"/>
  <c r="E125" i="260" s="1"/>
  <c r="E165" i="260" s="1"/>
  <c r="D86" i="260"/>
  <c r="D126" i="260" s="1"/>
  <c r="E86" i="260"/>
  <c r="E126" i="260" s="1"/>
  <c r="D87" i="260"/>
  <c r="D127" i="260" s="1"/>
  <c r="E87" i="260"/>
  <c r="E127" i="260" s="1"/>
  <c r="E167" i="260" s="1"/>
  <c r="D88" i="260"/>
  <c r="D128" i="260" s="1"/>
  <c r="E88" i="260"/>
  <c r="E128" i="260" s="1"/>
  <c r="E168" i="260" s="1"/>
  <c r="D89" i="260"/>
  <c r="D129" i="260" s="1"/>
  <c r="E89" i="260"/>
  <c r="E129" i="260" s="1"/>
  <c r="E169" i="260" s="1"/>
  <c r="E50" i="260"/>
  <c r="D50" i="260"/>
  <c r="D90" i="260" s="1"/>
  <c r="D130" i="260" s="1"/>
  <c r="O89" i="260"/>
  <c r="O88" i="260"/>
  <c r="T88" i="260" s="1"/>
  <c r="O87" i="260"/>
  <c r="O86" i="260"/>
  <c r="O85" i="260"/>
  <c r="O84" i="260"/>
  <c r="O83" i="260"/>
  <c r="O82" i="260"/>
  <c r="O81" i="260"/>
  <c r="O80" i="260"/>
  <c r="O79" i="260"/>
  <c r="O78" i="260"/>
  <c r="O77" i="260"/>
  <c r="O76" i="260"/>
  <c r="O75" i="260"/>
  <c r="O74" i="260"/>
  <c r="O73" i="260"/>
  <c r="O72" i="260"/>
  <c r="O71" i="260"/>
  <c r="O70" i="260"/>
  <c r="O49" i="260"/>
  <c r="O48" i="260"/>
  <c r="T48" i="260" s="1"/>
  <c r="O47" i="260"/>
  <c r="O46" i="260"/>
  <c r="O44" i="260"/>
  <c r="O43" i="260"/>
  <c r="O42" i="260"/>
  <c r="O41" i="260"/>
  <c r="O40" i="260"/>
  <c r="O39" i="260"/>
  <c r="O38" i="260"/>
  <c r="O37" i="260"/>
  <c r="O36" i="260"/>
  <c r="O35" i="260"/>
  <c r="O33" i="260"/>
  <c r="O32" i="260"/>
  <c r="O31" i="260"/>
  <c r="O30" i="260"/>
  <c r="O29" i="260"/>
  <c r="O28" i="260"/>
  <c r="AF5" i="267"/>
  <c r="AE5" i="267"/>
  <c r="AD5" i="267"/>
  <c r="AC5" i="267"/>
  <c r="AB5" i="267"/>
  <c r="AA5" i="267"/>
  <c r="Z5" i="267"/>
  <c r="Y5" i="267"/>
  <c r="X5" i="267"/>
  <c r="W5" i="267"/>
  <c r="E52" i="269" l="1"/>
  <c r="E60" i="269" s="1"/>
  <c r="E68" i="269" s="1"/>
  <c r="E76" i="269" s="1"/>
  <c r="E51" i="269"/>
  <c r="E59" i="269" s="1"/>
  <c r="E67" i="269" s="1"/>
  <c r="E75" i="269" s="1"/>
  <c r="D22" i="269"/>
  <c r="D18" i="269"/>
  <c r="S42" i="231"/>
  <c r="D10" i="269"/>
  <c r="D14" i="269"/>
  <c r="E22" i="269"/>
  <c r="E18" i="269"/>
  <c r="E10" i="269"/>
  <c r="E14" i="269"/>
  <c r="T52" i="231"/>
  <c r="E52" i="231" s="1"/>
  <c r="C52" i="269" s="1"/>
  <c r="C60" i="269" s="1"/>
  <c r="C68" i="269" s="1"/>
  <c r="C76" i="269" s="1"/>
  <c r="P52" i="231"/>
  <c r="D52" i="231" s="1"/>
  <c r="B52" i="269" s="1"/>
  <c r="B60" i="269" s="1"/>
  <c r="B68" i="269" s="1"/>
  <c r="B76" i="269" s="1"/>
  <c r="B30" i="221"/>
  <c r="E50" i="269"/>
  <c r="E58" i="269" s="1"/>
  <c r="E66" i="269" s="1"/>
  <c r="E74" i="269" s="1"/>
  <c r="E48" i="269"/>
  <c r="E56" i="269" s="1"/>
  <c r="E64" i="269" s="1"/>
  <c r="E72" i="269" s="1"/>
  <c r="E47" i="269"/>
  <c r="E55" i="269" s="1"/>
  <c r="E63" i="269" s="1"/>
  <c r="E71" i="269" s="1"/>
  <c r="E49" i="269"/>
  <c r="E57" i="269" s="1"/>
  <c r="E65" i="269" s="1"/>
  <c r="E73" i="269" s="1"/>
  <c r="F36" i="260"/>
  <c r="F77" i="260" s="1"/>
  <c r="F117" i="260" s="1"/>
  <c r="F197" i="260" s="1"/>
  <c r="S49" i="231"/>
  <c r="D49" i="269"/>
  <c r="D57" i="269" s="1"/>
  <c r="D65" i="269" s="1"/>
  <c r="D73" i="269" s="1"/>
  <c r="S87" i="231"/>
  <c r="P87" i="231" s="1"/>
  <c r="D87" i="231" s="1"/>
  <c r="B40" i="260" s="1"/>
  <c r="S47" i="231"/>
  <c r="D47" i="269"/>
  <c r="D55" i="269" s="1"/>
  <c r="D63" i="269" s="1"/>
  <c r="D71" i="269" s="1"/>
  <c r="D46" i="269"/>
  <c r="T41" i="231"/>
  <c r="E41" i="231" s="1"/>
  <c r="C9" i="269" s="1"/>
  <c r="F42" i="260"/>
  <c r="F83" i="260" s="1"/>
  <c r="F123" i="260" s="1"/>
  <c r="F163" i="260" s="1"/>
  <c r="D50" i="269"/>
  <c r="D58" i="269" s="1"/>
  <c r="D66" i="269" s="1"/>
  <c r="D74" i="269" s="1"/>
  <c r="S50" i="231"/>
  <c r="B36" i="221"/>
  <c r="E9" i="269"/>
  <c r="F44" i="260"/>
  <c r="F85" i="260" s="1"/>
  <c r="F125" i="260" s="1"/>
  <c r="F205" i="260" s="1"/>
  <c r="D48" i="269"/>
  <c r="D56" i="269" s="1"/>
  <c r="D64" i="269" s="1"/>
  <c r="D72" i="269" s="1"/>
  <c r="S48" i="231"/>
  <c r="F43" i="260"/>
  <c r="F84" i="260" s="1"/>
  <c r="F124" i="260" s="1"/>
  <c r="F204" i="260" s="1"/>
  <c r="E11" i="232"/>
  <c r="D11" i="232"/>
  <c r="D102" i="231"/>
  <c r="F6" i="260"/>
  <c r="D12" i="264"/>
  <c r="D19" i="264"/>
  <c r="D209" i="260"/>
  <c r="D169" i="260"/>
  <c r="D181" i="260"/>
  <c r="D141" i="260"/>
  <c r="F209" i="260"/>
  <c r="F169" i="260"/>
  <c r="D208" i="260"/>
  <c r="D168" i="260"/>
  <c r="D194" i="260"/>
  <c r="D154" i="260"/>
  <c r="D180" i="260"/>
  <c r="D140" i="260"/>
  <c r="F192" i="260"/>
  <c r="F152" i="260"/>
  <c r="D207" i="260"/>
  <c r="D167" i="260"/>
  <c r="D193" i="260"/>
  <c r="D153" i="260"/>
  <c r="D179" i="260"/>
  <c r="D139" i="260"/>
  <c r="E206" i="260"/>
  <c r="E166" i="260"/>
  <c r="D206" i="260"/>
  <c r="D166" i="260"/>
  <c r="D192" i="260"/>
  <c r="D152" i="260"/>
  <c r="D178" i="260"/>
  <c r="D138" i="260"/>
  <c r="D191" i="260"/>
  <c r="D151" i="260"/>
  <c r="D177" i="260"/>
  <c r="D137" i="260"/>
  <c r="E176" i="260"/>
  <c r="E136" i="260"/>
  <c r="D205" i="260"/>
  <c r="D165" i="260"/>
  <c r="D204" i="260"/>
  <c r="D164" i="260"/>
  <c r="D190" i="260"/>
  <c r="D150" i="260"/>
  <c r="D176" i="260"/>
  <c r="D136" i="260"/>
  <c r="D203" i="260"/>
  <c r="D163" i="260"/>
  <c r="D189" i="260"/>
  <c r="D149" i="260"/>
  <c r="D175" i="260"/>
  <c r="D135" i="260"/>
  <c r="D202" i="260"/>
  <c r="D162" i="260"/>
  <c r="D174" i="260"/>
  <c r="D134" i="260"/>
  <c r="D201" i="260"/>
  <c r="D161" i="260"/>
  <c r="D187" i="260"/>
  <c r="D147" i="260"/>
  <c r="D173" i="260"/>
  <c r="D133" i="260"/>
  <c r="E186" i="260"/>
  <c r="E146" i="260"/>
  <c r="D186" i="260"/>
  <c r="D146" i="260"/>
  <c r="D172" i="260"/>
  <c r="D132" i="260"/>
  <c r="D199" i="260"/>
  <c r="D159" i="260"/>
  <c r="D185" i="260"/>
  <c r="D145" i="260"/>
  <c r="D171" i="260"/>
  <c r="D131" i="260"/>
  <c r="D198" i="260"/>
  <c r="D158" i="260"/>
  <c r="D184" i="260"/>
  <c r="D144" i="260"/>
  <c r="D197" i="260"/>
  <c r="D157" i="260"/>
  <c r="D183" i="260"/>
  <c r="D143" i="260"/>
  <c r="E196" i="260"/>
  <c r="E156" i="260"/>
  <c r="D196" i="260"/>
  <c r="D156" i="260"/>
  <c r="D182" i="260"/>
  <c r="D142" i="260"/>
  <c r="E90" i="260"/>
  <c r="E130"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92" i="260"/>
  <c r="E178" i="260"/>
  <c r="E190" i="260"/>
  <c r="E208" i="260"/>
  <c r="E203" i="260"/>
  <c r="E189" i="260"/>
  <c r="E175" i="260"/>
  <c r="E174" i="260"/>
  <c r="E194" i="260"/>
  <c r="E207" i="260"/>
  <c r="E173" i="260"/>
  <c r="E204" i="260"/>
  <c r="E172" i="260"/>
  <c r="E191" i="260"/>
  <c r="E99" i="260"/>
  <c r="E139" i="260" s="1"/>
  <c r="E201" i="260"/>
  <c r="E200" i="260"/>
  <c r="D200" i="260"/>
  <c r="E199" i="260"/>
  <c r="E185" i="260"/>
  <c r="E171" i="260"/>
  <c r="E198" i="260"/>
  <c r="E184" i="260"/>
  <c r="E180" i="260"/>
  <c r="E193" i="260"/>
  <c r="E205" i="260"/>
  <c r="E202" i="260"/>
  <c r="E197" i="260"/>
  <c r="E183" i="260"/>
  <c r="D170" i="260"/>
  <c r="E182" i="260"/>
  <c r="E188" i="260"/>
  <c r="E170" i="260"/>
  <c r="E177" i="260"/>
  <c r="E187" i="260"/>
  <c r="E209" i="260"/>
  <c r="E195" i="260"/>
  <c r="E181" i="260"/>
  <c r="D188" i="260"/>
  <c r="D195" i="260"/>
  <c r="D74" i="264"/>
  <c r="D75" i="264"/>
  <c r="D76" i="264"/>
  <c r="D67" i="264"/>
  <c r="D68" i="264"/>
  <c r="D69" i="264"/>
  <c r="D118" i="231"/>
  <c r="F48" i="260"/>
  <c r="F88" i="260" s="1"/>
  <c r="F128" i="260" s="1"/>
  <c r="F26" i="260"/>
  <c r="D11" i="264"/>
  <c r="D46" i="216" s="1"/>
  <c r="D9" i="264"/>
  <c r="D44" i="216" s="1"/>
  <c r="D10" i="264"/>
  <c r="D45" i="216" s="1"/>
  <c r="D18" i="264"/>
  <c r="D17" i="264"/>
  <c r="D16" i="264"/>
  <c r="D47" i="216" s="1"/>
  <c r="D25" i="264"/>
  <c r="D24" i="264"/>
  <c r="D23" i="264"/>
  <c r="D60" i="264"/>
  <c r="G48" i="260"/>
  <c r="G88" i="260" s="1"/>
  <c r="G128"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60" i="231"/>
  <c r="P60" i="231" s="1"/>
  <c r="D60" i="231" s="1"/>
  <c r="B13" i="260" s="1"/>
  <c r="S39" i="231"/>
  <c r="P39" i="231" s="1"/>
  <c r="D39" i="231" s="1"/>
  <c r="B7" i="269" s="1"/>
  <c r="S82" i="231"/>
  <c r="P82" i="231" s="1"/>
  <c r="D82" i="231" s="1"/>
  <c r="S90" i="231"/>
  <c r="P90" i="231" s="1"/>
  <c r="D90" i="231" s="1"/>
  <c r="B43" i="260" s="1"/>
  <c r="S89" i="231"/>
  <c r="T89" i="231" s="1"/>
  <c r="E89" i="231" s="1"/>
  <c r="C42" i="260" s="1"/>
  <c r="C83" i="260" s="1"/>
  <c r="C123" i="260" s="1"/>
  <c r="S62" i="231"/>
  <c r="P62" i="231" s="1"/>
  <c r="D62" i="231" s="1"/>
  <c r="B15" i="260" s="1"/>
  <c r="T61" i="231"/>
  <c r="E61" i="231" s="1"/>
  <c r="C14" i="260" s="1"/>
  <c r="T100" i="231"/>
  <c r="E100" i="231" s="1"/>
  <c r="C10" i="270" s="1"/>
  <c r="C14" i="270" s="1"/>
  <c r="D108" i="231"/>
  <c r="B11" i="232" s="1"/>
  <c r="S65" i="231"/>
  <c r="T65" i="231" s="1"/>
  <c r="E65" i="231" s="1"/>
  <c r="C18" i="260" s="1"/>
  <c r="S66" i="231"/>
  <c r="T66" i="231" s="1"/>
  <c r="E66" i="231" s="1"/>
  <c r="G24" i="260"/>
  <c r="G33" i="260"/>
  <c r="G75" i="260" s="1"/>
  <c r="G115" i="260" s="1"/>
  <c r="D117" i="231"/>
  <c r="G25" i="260"/>
  <c r="S63" i="231"/>
  <c r="P63" i="231" s="1"/>
  <c r="D63" i="231" s="1"/>
  <c r="B16" i="260" s="1"/>
  <c r="S91" i="231"/>
  <c r="P91" i="231" s="1"/>
  <c r="D91" i="231" s="1"/>
  <c r="B44" i="260" s="1"/>
  <c r="D114" i="231"/>
  <c r="G28" i="260"/>
  <c r="G70" i="260" s="1"/>
  <c r="G110" i="260" s="1"/>
  <c r="S54" i="231"/>
  <c r="T54" i="231" s="1"/>
  <c r="E54" i="231" s="1"/>
  <c r="C7" i="260" s="1"/>
  <c r="S93" i="231"/>
  <c r="P93" i="231" s="1"/>
  <c r="D93" i="231" s="1"/>
  <c r="D113" i="231"/>
  <c r="G29" i="260"/>
  <c r="G71" i="260" s="1"/>
  <c r="G111" i="260" s="1"/>
  <c r="D112" i="231"/>
  <c r="G30" i="260"/>
  <c r="G72" i="260" s="1"/>
  <c r="G112" i="260" s="1"/>
  <c r="S95" i="231"/>
  <c r="P95" i="231" s="1"/>
  <c r="D95" i="231" s="1"/>
  <c r="B48" i="260" s="1"/>
  <c r="D110" i="231"/>
  <c r="G31" i="260"/>
  <c r="G73" i="260" s="1"/>
  <c r="G113" i="260" s="1"/>
  <c r="S96" i="231"/>
  <c r="P96" i="231" s="1"/>
  <c r="D96" i="231" s="1"/>
  <c r="B49" i="260" s="1"/>
  <c r="D109" i="231"/>
  <c r="G32" i="260"/>
  <c r="G74" i="260" s="1"/>
  <c r="G114" i="260" s="1"/>
  <c r="S40" i="231"/>
  <c r="P40" i="231" s="1"/>
  <c r="D40" i="231" s="1"/>
  <c r="B8" i="269" s="1"/>
  <c r="B12" i="269" s="1"/>
  <c r="T94" i="231"/>
  <c r="E94" i="231" s="1"/>
  <c r="C47" i="260" s="1"/>
  <c r="C87" i="260" s="1"/>
  <c r="C127" i="260" s="1"/>
  <c r="D107" i="231"/>
  <c r="G35" i="260"/>
  <c r="G76" i="260" s="1"/>
  <c r="G116" i="260" s="1"/>
  <c r="S43" i="231"/>
  <c r="T43" i="231" s="1"/>
  <c r="E43" i="231" s="1"/>
  <c r="D106" i="231"/>
  <c r="S44" i="231"/>
  <c r="P44" i="231" s="1"/>
  <c r="D44" i="231" s="1"/>
  <c r="B31" i="269" s="1"/>
  <c r="B33" i="269" s="1"/>
  <c r="B35" i="269" s="1"/>
  <c r="T83" i="231"/>
  <c r="E83" i="231" s="1"/>
  <c r="C36" i="260" s="1"/>
  <c r="C77" i="260" s="1"/>
  <c r="C117" i="260" s="1"/>
  <c r="G37" i="260"/>
  <c r="G78" i="260" s="1"/>
  <c r="G118" i="260" s="1"/>
  <c r="S45" i="231"/>
  <c r="T45" i="231" s="1"/>
  <c r="E45" i="231" s="1"/>
  <c r="C45" i="269" s="1"/>
  <c r="C53" i="269" s="1"/>
  <c r="T72" i="231"/>
  <c r="E72" i="231" s="1"/>
  <c r="C25" i="260" s="1"/>
  <c r="D104" i="231"/>
  <c r="G39" i="260"/>
  <c r="G80" i="260" s="1"/>
  <c r="G120" i="260" s="1"/>
  <c r="S46" i="231"/>
  <c r="P46" i="231" s="1"/>
  <c r="D46" i="231" s="1"/>
  <c r="B46" i="269" s="1"/>
  <c r="B54" i="269" s="1"/>
  <c r="D103" i="231"/>
  <c r="G40" i="260"/>
  <c r="G81" i="260" s="1"/>
  <c r="G121" i="260" s="1"/>
  <c r="G41" i="260"/>
  <c r="G82" i="260" s="1"/>
  <c r="G122" i="260" s="1"/>
  <c r="G42" i="260"/>
  <c r="G83" i="260" s="1"/>
  <c r="G123" i="260" s="1"/>
  <c r="S76" i="231"/>
  <c r="T76" i="231" s="1"/>
  <c r="E76" i="231" s="1"/>
  <c r="C29" i="260" s="1"/>
  <c r="C71" i="260" s="1"/>
  <c r="C111" i="260" s="1"/>
  <c r="G43" i="260"/>
  <c r="G84" i="260" s="1"/>
  <c r="G124" i="260" s="1"/>
  <c r="S77" i="231"/>
  <c r="P77" i="231" s="1"/>
  <c r="D77" i="231" s="1"/>
  <c r="B30" i="260" s="1"/>
  <c r="G44" i="260"/>
  <c r="G85" i="260" s="1"/>
  <c r="G125" i="260" s="1"/>
  <c r="S78" i="231"/>
  <c r="P78" i="231" s="1"/>
  <c r="D78" i="231" s="1"/>
  <c r="B31" i="260" s="1"/>
  <c r="G46" i="260"/>
  <c r="G86" i="260" s="1"/>
  <c r="G126" i="260" s="1"/>
  <c r="S75" i="231"/>
  <c r="T75" i="231" s="1"/>
  <c r="E75" i="231" s="1"/>
  <c r="C28" i="260" s="1"/>
  <c r="C70" i="260" s="1"/>
  <c r="C110" i="260" s="1"/>
  <c r="G49" i="260"/>
  <c r="G89" i="260" s="1"/>
  <c r="G129" i="260" s="1"/>
  <c r="T53" i="231"/>
  <c r="E53" i="231" s="1"/>
  <c r="S79" i="231"/>
  <c r="P79" i="231" s="1"/>
  <c r="D79" i="231" s="1"/>
  <c r="B32" i="260" s="1"/>
  <c r="S97" i="231"/>
  <c r="T97" i="231" s="1"/>
  <c r="E97" i="231" s="1"/>
  <c r="C7" i="270" s="1"/>
  <c r="S64" i="231"/>
  <c r="T64" i="231" s="1"/>
  <c r="E64" i="231" s="1"/>
  <c r="S80" i="231"/>
  <c r="P80" i="231" s="1"/>
  <c r="D80" i="231" s="1"/>
  <c r="B33" i="260" s="1"/>
  <c r="S98" i="231"/>
  <c r="P98" i="231" s="1"/>
  <c r="D98" i="231" s="1"/>
  <c r="B8" i="270" s="1"/>
  <c r="G6" i="260"/>
  <c r="S99" i="231"/>
  <c r="T99" i="231" s="1"/>
  <c r="E99" i="231" s="1"/>
  <c r="C9" i="270" s="1"/>
  <c r="G9" i="270"/>
  <c r="G13" i="270" s="1"/>
  <c r="S67" i="231"/>
  <c r="S84" i="231"/>
  <c r="P84" i="231" s="1"/>
  <c r="D84" i="231" s="1"/>
  <c r="B37" i="260" s="1"/>
  <c r="G17" i="260"/>
  <c r="G10" i="270"/>
  <c r="G14" i="270" s="1"/>
  <c r="S68" i="231"/>
  <c r="P68" i="231" s="1"/>
  <c r="D68" i="231" s="1"/>
  <c r="B21" i="260" s="1"/>
  <c r="S85" i="231"/>
  <c r="P85" i="231" s="1"/>
  <c r="D85" i="231" s="1"/>
  <c r="B38" i="260" s="1"/>
  <c r="G18" i="260"/>
  <c r="S55" i="231"/>
  <c r="P55" i="231" s="1"/>
  <c r="D55" i="231" s="1"/>
  <c r="B8" i="260" s="1"/>
  <c r="S69" i="231"/>
  <c r="P69" i="231" s="1"/>
  <c r="D69" i="231" s="1"/>
  <c r="B22" i="260" s="1"/>
  <c r="G19" i="260"/>
  <c r="S56" i="231"/>
  <c r="P56" i="231" s="1"/>
  <c r="D56" i="231" s="1"/>
  <c r="B9" i="260" s="1"/>
  <c r="S71" i="231"/>
  <c r="T71" i="231" s="1"/>
  <c r="E71" i="231" s="1"/>
  <c r="S86" i="231"/>
  <c r="G20" i="260"/>
  <c r="S57" i="231"/>
  <c r="P57" i="231" s="1"/>
  <c r="D57" i="231" s="1"/>
  <c r="B10" i="260" s="1"/>
  <c r="S73" i="231"/>
  <c r="T73" i="231" s="1"/>
  <c r="E73" i="231" s="1"/>
  <c r="C26" i="260" s="1"/>
  <c r="G21" i="260"/>
  <c r="S58" i="231"/>
  <c r="P58" i="231" s="1"/>
  <c r="D58" i="231" s="1"/>
  <c r="B11" i="260" s="1"/>
  <c r="S74" i="231"/>
  <c r="T74" i="231" s="1"/>
  <c r="E74" i="231" s="1"/>
  <c r="C27" i="260" s="1"/>
  <c r="S88" i="231"/>
  <c r="P88" i="231" s="1"/>
  <c r="D88" i="231" s="1"/>
  <c r="B41" i="260" s="1"/>
  <c r="P100" i="231"/>
  <c r="D100" i="231" s="1"/>
  <c r="B10" i="270" s="1"/>
  <c r="T87" i="231"/>
  <c r="E87" i="231" s="1"/>
  <c r="C40" i="260" s="1"/>
  <c r="C81" i="260" s="1"/>
  <c r="C121" i="260" s="1"/>
  <c r="F37" i="260"/>
  <c r="F78" i="260" s="1"/>
  <c r="F118" i="260" s="1"/>
  <c r="F40" i="260"/>
  <c r="F81" i="260" s="1"/>
  <c r="F121" i="260" s="1"/>
  <c r="F29" i="260"/>
  <c r="F71" i="260" s="1"/>
  <c r="F111" i="260" s="1"/>
  <c r="F47" i="260"/>
  <c r="F87" i="260" s="1"/>
  <c r="F127" i="260" s="1"/>
  <c r="F9" i="270"/>
  <c r="F13" i="270" s="1"/>
  <c r="G77" i="260"/>
  <c r="G117" i="260" s="1"/>
  <c r="F31" i="260"/>
  <c r="F73" i="260" s="1"/>
  <c r="F113" i="260" s="1"/>
  <c r="F41" i="260"/>
  <c r="F82" i="260" s="1"/>
  <c r="F122" i="260" s="1"/>
  <c r="F32" i="260"/>
  <c r="F74" i="260" s="1"/>
  <c r="F114" i="260" s="1"/>
  <c r="F33" i="260"/>
  <c r="F75" i="260" s="1"/>
  <c r="F115" i="260" s="1"/>
  <c r="F35" i="260"/>
  <c r="F76" i="260" s="1"/>
  <c r="F116" i="260" s="1"/>
  <c r="F39" i="260"/>
  <c r="F80" i="260" s="1"/>
  <c r="F120" i="260" s="1"/>
  <c r="F46" i="260"/>
  <c r="F86" i="260" s="1"/>
  <c r="F126" i="260" s="1"/>
  <c r="F28" i="260"/>
  <c r="F70" i="260" s="1"/>
  <c r="F110" i="260" s="1"/>
  <c r="G87" i="260"/>
  <c r="G127" i="260" s="1"/>
  <c r="F79" i="260"/>
  <c r="F119" i="260" s="1"/>
  <c r="F16" i="260"/>
  <c r="F27" i="260" s="1"/>
  <c r="B46" i="260" l="1"/>
  <c r="B35" i="260"/>
  <c r="C24" i="260"/>
  <c r="C19" i="260"/>
  <c r="C17" i="260"/>
  <c r="F164" i="260"/>
  <c r="F203" i="260"/>
  <c r="F157" i="260"/>
  <c r="F165" i="260"/>
  <c r="T42" i="231"/>
  <c r="E42" i="231" s="1"/>
  <c r="P42" i="231"/>
  <c r="D42" i="231" s="1"/>
  <c r="C30" i="269"/>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4" i="260"/>
  <c r="G164" i="260"/>
  <c r="F199" i="260"/>
  <c r="F159" i="260"/>
  <c r="G203" i="260"/>
  <c r="G163" i="260"/>
  <c r="F206" i="260"/>
  <c r="F166" i="260"/>
  <c r="F201" i="260"/>
  <c r="F161" i="260"/>
  <c r="G205" i="260"/>
  <c r="G165" i="260"/>
  <c r="G198" i="260"/>
  <c r="G158" i="260"/>
  <c r="F208" i="260"/>
  <c r="F168" i="260"/>
  <c r="C191" i="260"/>
  <c r="C151" i="260"/>
  <c r="G197" i="260"/>
  <c r="G157" i="260"/>
  <c r="G201" i="260"/>
  <c r="G161" i="260"/>
  <c r="F191" i="260"/>
  <c r="F151" i="260"/>
  <c r="G191" i="260"/>
  <c r="G151" i="260"/>
  <c r="F207" i="260"/>
  <c r="F167" i="260"/>
  <c r="C207" i="260"/>
  <c r="C167" i="260"/>
  <c r="G192" i="260"/>
  <c r="G152" i="260"/>
  <c r="G207" i="260"/>
  <c r="G167" i="260"/>
  <c r="G202" i="260"/>
  <c r="G162" i="260"/>
  <c r="F198" i="260"/>
  <c r="F158" i="260"/>
  <c r="C201" i="260"/>
  <c r="C161" i="260"/>
  <c r="C203" i="260"/>
  <c r="C163" i="260"/>
  <c r="G194" i="260"/>
  <c r="G154" i="260"/>
  <c r="F190" i="260"/>
  <c r="F150" i="260"/>
  <c r="C197" i="260"/>
  <c r="C157" i="260"/>
  <c r="G196" i="260"/>
  <c r="G156" i="260"/>
  <c r="C190" i="260"/>
  <c r="C150" i="260"/>
  <c r="G193" i="260"/>
  <c r="G153" i="260"/>
  <c r="G209" i="260"/>
  <c r="G169" i="260"/>
  <c r="G206" i="260"/>
  <c r="G166" i="260"/>
  <c r="G190" i="260"/>
  <c r="G150" i="260"/>
  <c r="F196" i="260"/>
  <c r="F156" i="260"/>
  <c r="G200" i="260"/>
  <c r="G160" i="260"/>
  <c r="F194" i="260"/>
  <c r="F154" i="260"/>
  <c r="F195" i="260"/>
  <c r="F155" i="260"/>
  <c r="F202" i="260"/>
  <c r="F162" i="260"/>
  <c r="F200" i="260"/>
  <c r="F160" i="260"/>
  <c r="G208" i="260"/>
  <c r="G168" i="260"/>
  <c r="F193" i="260"/>
  <c r="F153" i="260"/>
  <c r="G195" i="260"/>
  <c r="G155" i="260"/>
  <c r="C22" i="270"/>
  <c r="C18" i="270"/>
  <c r="G22" i="270"/>
  <c r="G18" i="270"/>
  <c r="G21" i="270"/>
  <c r="G17" i="270"/>
  <c r="F21" i="270"/>
  <c r="F17" i="270"/>
  <c r="E179" i="260"/>
  <c r="T60" i="231"/>
  <c r="E60" i="231" s="1"/>
  <c r="C13" i="260" s="1"/>
  <c r="T91" i="231"/>
  <c r="E91" i="231" s="1"/>
  <c r="C44" i="260" s="1"/>
  <c r="C85" i="260" s="1"/>
  <c r="C125" i="260" s="1"/>
  <c r="P65" i="231"/>
  <c r="D65" i="231" s="1"/>
  <c r="B18" i="260" s="1"/>
  <c r="T95" i="231"/>
  <c r="E95" i="231" s="1"/>
  <c r="C48" i="260" s="1"/>
  <c r="C88" i="260" s="1"/>
  <c r="C128" i="260" s="1"/>
  <c r="P99" i="231"/>
  <c r="D99" i="231" s="1"/>
  <c r="B9" i="270" s="1"/>
  <c r="T46" i="231"/>
  <c r="E46" i="231" s="1"/>
  <c r="C46" i="269" s="1"/>
  <c r="P66" i="231"/>
  <c r="D66" i="231" s="1"/>
  <c r="T82" i="231"/>
  <c r="E82" i="231" s="1"/>
  <c r="T39" i="231"/>
  <c r="E39" i="231" s="1"/>
  <c r="C7" i="269" s="1"/>
  <c r="C15" i="269" s="1"/>
  <c r="T90" i="231"/>
  <c r="E90" i="231" s="1"/>
  <c r="C43" i="260" s="1"/>
  <c r="C84" i="260" s="1"/>
  <c r="C124" i="260" s="1"/>
  <c r="P89" i="231"/>
  <c r="D89" i="231" s="1"/>
  <c r="B42" i="260" s="1"/>
  <c r="T62" i="231"/>
  <c r="E62" i="231" s="1"/>
  <c r="C15" i="260" s="1"/>
  <c r="T69" i="231"/>
  <c r="E69" i="231" s="1"/>
  <c r="C22" i="260" s="1"/>
  <c r="T80" i="231"/>
  <c r="E80" i="231" s="1"/>
  <c r="C33" i="260" s="1"/>
  <c r="C75" i="260" s="1"/>
  <c r="C115" i="260" s="1"/>
  <c r="T96" i="231"/>
  <c r="E96" i="231" s="1"/>
  <c r="C49" i="260" s="1"/>
  <c r="C89" i="260" s="1"/>
  <c r="C129" i="260" s="1"/>
  <c r="P76" i="231"/>
  <c r="D76" i="231" s="1"/>
  <c r="B29" i="260" s="1"/>
  <c r="P64" i="231"/>
  <c r="D64" i="231" s="1"/>
  <c r="P74" i="231"/>
  <c r="D74" i="231" s="1"/>
  <c r="B27" i="260" s="1"/>
  <c r="P97" i="231"/>
  <c r="D97" i="231" s="1"/>
  <c r="B7" i="270" s="1"/>
  <c r="T88" i="231"/>
  <c r="E88" i="231" s="1"/>
  <c r="C41" i="260" s="1"/>
  <c r="C82" i="260" s="1"/>
  <c r="C122" i="260" s="1"/>
  <c r="T63" i="231"/>
  <c r="E63" i="231" s="1"/>
  <c r="C16" i="260" s="1"/>
  <c r="T57" i="231"/>
  <c r="E57" i="231" s="1"/>
  <c r="C10" i="260" s="1"/>
  <c r="T55" i="231"/>
  <c r="E55" i="231" s="1"/>
  <c r="C8" i="260" s="1"/>
  <c r="P53" i="231"/>
  <c r="D53" i="231" s="1"/>
  <c r="P54" i="231"/>
  <c r="D54" i="231" s="1"/>
  <c r="B7" i="260" s="1"/>
  <c r="T68" i="231"/>
  <c r="E68" i="231" s="1"/>
  <c r="C21" i="260" s="1"/>
  <c r="T77" i="231"/>
  <c r="E77" i="231" s="1"/>
  <c r="C30" i="260" s="1"/>
  <c r="C72" i="260" s="1"/>
  <c r="C112" i="260" s="1"/>
  <c r="T85" i="231"/>
  <c r="E85" i="231" s="1"/>
  <c r="C38" i="260" s="1"/>
  <c r="C79" i="260" s="1"/>
  <c r="C119" i="260" s="1"/>
  <c r="T93" i="231"/>
  <c r="E93" i="231" s="1"/>
  <c r="T79" i="231"/>
  <c r="E79" i="231" s="1"/>
  <c r="C32" i="260" s="1"/>
  <c r="C74" i="260" s="1"/>
  <c r="C114" i="260" s="1"/>
  <c r="T44" i="231"/>
  <c r="E44" i="231" s="1"/>
  <c r="C31" i="269" s="1"/>
  <c r="P45" i="231"/>
  <c r="D45" i="231" s="1"/>
  <c r="B45" i="269" s="1"/>
  <c r="T58" i="231"/>
  <c r="E58" i="231" s="1"/>
  <c r="C11" i="260" s="1"/>
  <c r="T40" i="231"/>
  <c r="E40" i="231" s="1"/>
  <c r="C8" i="269" s="1"/>
  <c r="P75" i="231"/>
  <c r="D75" i="231" s="1"/>
  <c r="B28" i="260" s="1"/>
  <c r="T78" i="231"/>
  <c r="E78" i="231" s="1"/>
  <c r="C31" i="260" s="1"/>
  <c r="C73" i="260" s="1"/>
  <c r="C113" i="260" s="1"/>
  <c r="T56" i="231"/>
  <c r="E56" i="231" s="1"/>
  <c r="C9" i="260" s="1"/>
  <c r="P43" i="231"/>
  <c r="D43" i="231" s="1"/>
  <c r="P86" i="231"/>
  <c r="D86" i="231" s="1"/>
  <c r="B39" i="260" s="1"/>
  <c r="T86" i="231"/>
  <c r="E86" i="231" s="1"/>
  <c r="C39" i="260" s="1"/>
  <c r="C80" i="260" s="1"/>
  <c r="C120" i="260" s="1"/>
  <c r="T67" i="231"/>
  <c r="E67" i="231" s="1"/>
  <c r="C20" i="260" s="1"/>
  <c r="P67" i="231"/>
  <c r="D67" i="231" s="1"/>
  <c r="B20" i="260" s="1"/>
  <c r="T84" i="231"/>
  <c r="E84" i="231" s="1"/>
  <c r="C37" i="260" s="1"/>
  <c r="C78" i="260" s="1"/>
  <c r="C118" i="260" s="1"/>
  <c r="P71" i="231"/>
  <c r="D71" i="231" s="1"/>
  <c r="P73" i="231"/>
  <c r="D73" i="231" s="1"/>
  <c r="B26" i="260" s="1"/>
  <c r="T98" i="231"/>
  <c r="E98" i="231" s="1"/>
  <c r="C8" i="270" s="1"/>
  <c r="C13" i="270"/>
  <c r="G38" i="260"/>
  <c r="G79" i="260" s="1"/>
  <c r="G119"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103" i="231"/>
  <c r="C8" i="232" s="1"/>
  <c r="D8" i="269"/>
  <c r="E10" i="232"/>
  <c r="D10" i="232"/>
  <c r="E105" i="231"/>
  <c r="C10" i="232" s="1"/>
  <c r="B10" i="232"/>
  <c r="M16" i="269"/>
  <c r="M8" i="269"/>
  <c r="M7" i="269"/>
  <c r="C46" i="260" l="1"/>
  <c r="C86" i="260" s="1"/>
  <c r="C126" i="260" s="1"/>
  <c r="C35" i="260"/>
  <c r="C76" i="260" s="1"/>
  <c r="C116" i="260" s="1"/>
  <c r="B19" i="260"/>
  <c r="B24" i="260"/>
  <c r="B17" i="260"/>
  <c r="B22" i="269"/>
  <c r="B14" i="269"/>
  <c r="B10" i="269"/>
  <c r="B18" i="269"/>
  <c r="C10" i="269"/>
  <c r="C18" i="269"/>
  <c r="C22" i="269"/>
  <c r="C14" i="269"/>
  <c r="B30" i="269"/>
  <c r="B32" i="269" s="1"/>
  <c r="B34" i="269" s="1"/>
  <c r="B36" i="269" s="1"/>
  <c r="C192" i="260"/>
  <c r="C152" i="260"/>
  <c r="C198" i="260"/>
  <c r="C158" i="260"/>
  <c r="C209" i="260"/>
  <c r="C169" i="260"/>
  <c r="C194" i="260"/>
  <c r="C154" i="260"/>
  <c r="C195" i="260"/>
  <c r="C155" i="260"/>
  <c r="C196" i="260"/>
  <c r="C156" i="260"/>
  <c r="C200" i="260"/>
  <c r="C160" i="260"/>
  <c r="C206" i="260"/>
  <c r="C166" i="260"/>
  <c r="C204" i="260"/>
  <c r="C164" i="260"/>
  <c r="C193" i="260"/>
  <c r="C153" i="260"/>
  <c r="C208" i="260"/>
  <c r="C168" i="260"/>
  <c r="C205" i="260"/>
  <c r="C165" i="260"/>
  <c r="C199" i="260"/>
  <c r="C159" i="260"/>
  <c r="G199" i="260"/>
  <c r="G159" i="260"/>
  <c r="C202" i="260"/>
  <c r="C162"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20" i="232"/>
  <c r="E19" i="232"/>
  <c r="E114" i="231"/>
  <c r="C20" i="232" s="1"/>
  <c r="B20" i="232"/>
  <c r="E113" i="231"/>
  <c r="C19" i="232" s="1"/>
  <c r="B19" i="232"/>
  <c r="F8" i="270"/>
  <c r="F12" i="270" s="1"/>
  <c r="F7" i="270"/>
  <c r="F11" i="270" s="1"/>
  <c r="B76" i="260"/>
  <c r="B116"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F39" i="267"/>
  <c r="O69" i="260"/>
  <c r="O68" i="260"/>
  <c r="T68" i="260" s="1"/>
  <c r="O67" i="260"/>
  <c r="O66" i="260"/>
  <c r="O65" i="260"/>
  <c r="O64" i="260"/>
  <c r="O63" i="260"/>
  <c r="O62" i="260"/>
  <c r="O61" i="260"/>
  <c r="O60" i="260"/>
  <c r="O59" i="260"/>
  <c r="O58" i="260"/>
  <c r="O57" i="260"/>
  <c r="O56" i="260"/>
  <c r="O55" i="260"/>
  <c r="O54" i="260"/>
  <c r="O53" i="260"/>
  <c r="O52" i="260"/>
  <c r="O51" i="260"/>
  <c r="O50" i="260"/>
  <c r="L1" i="221"/>
  <c r="K1" i="221"/>
  <c r="J1" i="221"/>
  <c r="I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7" i="267"/>
  <c r="M127" i="267"/>
  <c r="L127" i="267"/>
  <c r="K127" i="267"/>
  <c r="J127" i="267"/>
  <c r="I127" i="267"/>
  <c r="H127" i="267"/>
  <c r="G127" i="267"/>
  <c r="F127" i="267"/>
  <c r="F126" i="267"/>
  <c r="F124" i="267"/>
  <c r="F123" i="267"/>
  <c r="F11" i="267"/>
  <c r="E11" i="267"/>
  <c r="H10" i="267"/>
  <c r="G10" i="267" s="1"/>
  <c r="C9" i="267"/>
  <c r="D9" i="267" s="1"/>
  <c r="C8" i="267"/>
  <c r="C7" i="267"/>
  <c r="H7" i="267" s="1"/>
  <c r="C6" i="267"/>
  <c r="G6" i="267" s="1"/>
  <c r="C5" i="267"/>
  <c r="G105" i="267"/>
  <c r="F105" i="267"/>
  <c r="F104" i="267"/>
  <c r="F102" i="267"/>
  <c r="F83" i="267"/>
  <c r="F82" i="267"/>
  <c r="F80" i="267"/>
  <c r="N61" i="267"/>
  <c r="M61" i="267"/>
  <c r="L61" i="267"/>
  <c r="K61" i="267"/>
  <c r="J61" i="267"/>
  <c r="I61" i="267"/>
  <c r="H61" i="267"/>
  <c r="F61" i="267"/>
  <c r="C29" i="266"/>
  <c r="X35" i="269" l="1"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6" i="260"/>
  <c r="B156"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70" i="260"/>
  <c r="B110" i="260" s="1"/>
  <c r="B6" i="260"/>
  <c r="B50" i="260" s="1"/>
  <c r="B90" i="260" s="1"/>
  <c r="E10" i="264"/>
  <c r="E24" i="264"/>
  <c r="E31" i="264"/>
  <c r="E54" i="264"/>
  <c r="V71" i="269" a="1"/>
  <c r="V71" i="269" s="1"/>
  <c r="Y71" i="269" s="1"/>
  <c r="X17" i="267"/>
  <c r="W17" i="267"/>
  <c r="B28" i="221"/>
  <c r="E61" i="264"/>
  <c r="F40" i="267"/>
  <c r="E17" i="264"/>
  <c r="G9" i="267"/>
  <c r="F9" i="267"/>
  <c r="H9" i="267"/>
  <c r="G5" i="267"/>
  <c r="D6" i="267"/>
  <c r="H6" i="267"/>
  <c r="E9" i="267"/>
  <c r="F79" i="267"/>
  <c r="D7" i="267"/>
  <c r="E7" i="267"/>
  <c r="F7" i="267"/>
  <c r="G7" i="267"/>
  <c r="E8" i="267"/>
  <c r="F8" i="267"/>
  <c r="G8" i="267"/>
  <c r="E5" i="267"/>
  <c r="F5" i="267"/>
  <c r="E6" i="267"/>
  <c r="F6" i="267"/>
  <c r="O7" i="260"/>
  <c r="W50" i="269" l="1"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7" i="269" a="1"/>
  <c r="V37" i="269" s="1"/>
  <c r="Y37" i="269" s="1"/>
  <c r="V20" i="269" a="1"/>
  <c r="V20" i="269" s="1"/>
  <c r="Y20" i="269" s="1"/>
  <c r="W37" i="269" a="1"/>
  <c r="W37" i="269" s="1"/>
  <c r="Z37" i="269" s="1"/>
  <c r="W31" i="269" a="1"/>
  <c r="W31" i="269" s="1"/>
  <c r="V31" i="269" a="1"/>
  <c r="V31"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90" i="260"/>
  <c r="B150" i="260"/>
  <c r="B170" i="260"/>
  <c r="B130" i="260"/>
  <c r="E69" i="264"/>
  <c r="E11" i="264"/>
  <c r="E76" i="264"/>
  <c r="E25" i="264"/>
  <c r="E32" i="264"/>
  <c r="E55" i="264"/>
  <c r="X16" i="267"/>
  <c r="X24" i="267"/>
  <c r="X21" i="267"/>
  <c r="E62" i="264"/>
  <c r="E18" i="264"/>
  <c r="G15" i="267"/>
  <c r="H15" i="267"/>
  <c r="Z21" i="267"/>
  <c r="Z23" i="267"/>
  <c r="Z24" i="267"/>
  <c r="Z22" i="267"/>
  <c r="F81" i="267"/>
  <c r="G106" i="267"/>
  <c r="F125" i="267"/>
  <c r="F128" i="267" s="1"/>
  <c r="H128" i="267"/>
  <c r="G128" i="267"/>
  <c r="M128" i="267"/>
  <c r="L128" i="267"/>
  <c r="K128" i="267"/>
  <c r="J128" i="267"/>
  <c r="I128" i="267"/>
  <c r="F103" i="267"/>
  <c r="E15" i="267"/>
  <c r="D15" i="267"/>
  <c r="F15" i="267"/>
  <c r="F20" i="260"/>
  <c r="F63" i="260" s="1"/>
  <c r="F103" i="260" s="1"/>
  <c r="G15" i="269" l="1"/>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42" i="221" s="1"/>
  <c r="F6" i="221" s="1"/>
  <c r="O62" i="267"/>
  <c r="F60" i="221"/>
  <c r="K76" i="264" s="1" a="1"/>
  <c r="K76" i="264" s="1"/>
  <c r="W76" i="264" s="1"/>
  <c r="F48" i="221"/>
  <c r="H59" i="221"/>
  <c r="M69" i="264" s="1" a="1"/>
  <c r="M69" i="264" s="1"/>
  <c r="Y69" i="264" s="1"/>
  <c r="H47" i="221"/>
  <c r="H45" i="221"/>
  <c r="H57" i="221"/>
  <c r="M55" i="264" s="1" a="1"/>
  <c r="M55" i="264" s="1"/>
  <c r="Y55" i="264" s="1"/>
  <c r="V34" i="269" a="1"/>
  <c r="V34" i="269" s="1"/>
  <c r="Y34" i="269" s="1"/>
  <c r="G34" i="269" s="1"/>
  <c r="X34" i="269" a="1"/>
  <c r="X34" i="269" s="1"/>
  <c r="W34" i="269" a="1"/>
  <c r="W34" i="269" s="1"/>
  <c r="X36" i="269" a="1"/>
  <c r="X36" i="269" s="1"/>
  <c r="AA36" i="269" s="1"/>
  <c r="W36" i="269" a="1"/>
  <c r="W36" i="269" s="1"/>
  <c r="Z36" i="269" s="1"/>
  <c r="V36" i="269" a="1"/>
  <c r="V36" i="269" s="1"/>
  <c r="Y36" i="269" s="1"/>
  <c r="F106" i="267"/>
  <c r="X30" i="269" a="1"/>
  <c r="X30" i="269" s="1"/>
  <c r="W30" i="269" a="1"/>
  <c r="W30" i="269" s="1"/>
  <c r="V19" i="269" a="1"/>
  <c r="V19" i="269" s="1"/>
  <c r="Y19" i="269" s="1"/>
  <c r="W19" i="269" a="1"/>
  <c r="W19" i="269" s="1"/>
  <c r="Z19" i="269" s="1"/>
  <c r="X19" i="269" a="1"/>
  <c r="X19" i="269" s="1"/>
  <c r="AA19" i="269" s="1"/>
  <c r="F47" i="221"/>
  <c r="K84" i="267"/>
  <c r="X11" i="269" a="1"/>
  <c r="X11" i="269" s="1"/>
  <c r="AA11" i="269" s="1"/>
  <c r="W11" i="269" a="1"/>
  <c r="W11" i="269" s="1"/>
  <c r="Z11" i="269" s="1"/>
  <c r="V11" i="269" a="1"/>
  <c r="V11" i="269" s="1"/>
  <c r="Y11" i="269" s="1"/>
  <c r="F72" i="221" s="1"/>
  <c r="M84" i="267"/>
  <c r="F45" i="221"/>
  <c r="F5" i="22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N128" i="267"/>
  <c r="X7" i="269" a="1"/>
  <c r="X7" i="269" s="1"/>
  <c r="W7" i="269" a="1"/>
  <c r="W7" i="269" s="1"/>
  <c r="Z7" i="269" s="1"/>
  <c r="H7" i="269" s="1"/>
  <c r="Y7" i="269"/>
  <c r="G45" i="221"/>
  <c r="G57" i="221"/>
  <c r="H46" i="221"/>
  <c r="H58" i="221"/>
  <c r="X45" i="269" a="1"/>
  <c r="X45" i="269" s="1"/>
  <c r="V45" i="269" a="1"/>
  <c r="V45" i="269" s="1"/>
  <c r="W45" i="269" a="1"/>
  <c r="W45" i="269" s="1"/>
  <c r="H48" i="221"/>
  <c r="H60" i="221"/>
  <c r="M76" i="264" s="1" a="1"/>
  <c r="M76" i="264" s="1"/>
  <c r="Y76" i="264" s="1"/>
  <c r="V53" i="269" a="1"/>
  <c r="V53" i="269" s="1"/>
  <c r="Y53" i="269" s="1"/>
  <c r="X53" i="269" a="1"/>
  <c r="X53" i="269" s="1"/>
  <c r="AA53" i="269" s="1"/>
  <c r="W53" i="269" a="1"/>
  <c r="W53" i="269" s="1"/>
  <c r="Z53" i="269" s="1"/>
  <c r="V32" i="269" a="1"/>
  <c r="V32" i="269" s="1"/>
  <c r="Y32" i="269" s="1"/>
  <c r="W32" i="269" a="1"/>
  <c r="W32" i="269" s="1"/>
  <c r="Z32" i="269" s="1"/>
  <c r="X32" i="269" a="1"/>
  <c r="X32" i="269" s="1"/>
  <c r="AA32" i="269" s="1"/>
  <c r="F183" i="260"/>
  <c r="F143" i="260"/>
  <c r="E70" i="264"/>
  <c r="E77" i="264"/>
  <c r="E26" i="264"/>
  <c r="E12" i="264"/>
  <c r="E56" i="264"/>
  <c r="E33" i="264"/>
  <c r="E63" i="264"/>
  <c r="F64" i="221"/>
  <c r="N76" i="264" s="1"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F55" i="221"/>
  <c r="H69" i="264" s="1" a="1"/>
  <c r="H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J84" i="267"/>
  <c r="N84" i="267"/>
  <c r="G84" i="267"/>
  <c r="E19" i="264"/>
  <c r="I84" i="267"/>
  <c r="H84" i="267"/>
  <c r="F84" i="267"/>
  <c r="M62" i="267"/>
  <c r="L84" i="267"/>
  <c r="H62" i="267"/>
  <c r="I62" i="267"/>
  <c r="G62" i="267"/>
  <c r="J62" i="267"/>
  <c r="F62" i="267"/>
  <c r="K62" i="267"/>
  <c r="L62" i="267"/>
  <c r="N62" i="267"/>
  <c r="O20" i="260"/>
  <c r="G63" i="260"/>
  <c r="G103" i="260" s="1"/>
  <c r="C63" i="260"/>
  <c r="C103" i="260" s="1"/>
  <c r="F59" i="221" l="1"/>
  <c r="K69" i="264" s="1" a="1"/>
  <c r="K69" i="264" s="1"/>
  <c r="W69" i="264" s="1"/>
  <c r="F54" i="221"/>
  <c r="F18" i="221" s="1"/>
  <c r="F62" i="221"/>
  <c r="N62" i="264" s="1" a="1"/>
  <c r="N62" i="264" s="1"/>
  <c r="G7" i="269"/>
  <c r="F50" i="221"/>
  <c r="F14" i="221" s="1"/>
  <c r="F46" i="221"/>
  <c r="G51" i="221"/>
  <c r="G43" i="221"/>
  <c r="G7" i="221" s="1"/>
  <c r="G59" i="221"/>
  <c r="L69" i="264" s="1" a="1"/>
  <c r="L69" i="264" s="1"/>
  <c r="X69" i="264" s="1"/>
  <c r="G47" i="22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F15" i="22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H53" i="269"/>
  <c r="G66" i="221"/>
  <c r="G30" i="221" s="1"/>
  <c r="F10" i="22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G11" i="221"/>
  <c r="F12" i="221"/>
  <c r="G13" i="221"/>
  <c r="G11" i="269"/>
  <c r="F36" i="221"/>
  <c r="F24" i="221"/>
  <c r="K74" i="264" a="1"/>
  <c r="K74" i="264" s="1"/>
  <c r="W74" i="264" s="1"/>
  <c r="K75" i="264" a="1"/>
  <c r="K75" i="264" s="1"/>
  <c r="W75" i="264" s="1"/>
  <c r="C183" i="260"/>
  <c r="C143" i="260"/>
  <c r="G183" i="260"/>
  <c r="G143" i="260"/>
  <c r="AA69" i="264"/>
  <c r="AA55" i="264"/>
  <c r="AB76" i="264"/>
  <c r="Z55" i="264"/>
  <c r="Z62" i="264"/>
  <c r="AB62" i="264"/>
  <c r="Z76" i="264"/>
  <c r="Z69" i="264"/>
  <c r="AB69" i="264"/>
  <c r="F17" i="221"/>
  <c r="H53" i="264" a="1"/>
  <c r="H53" i="264" s="1"/>
  <c r="H54" i="264" a="1"/>
  <c r="H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25" i="221"/>
  <c r="V55" i="264"/>
  <c r="Q69" i="264"/>
  <c r="T69" i="264"/>
  <c r="U55" i="264"/>
  <c r="BB69" i="264"/>
  <c r="R69" i="264"/>
  <c r="BC69" i="264"/>
  <c r="S69" i="264"/>
  <c r="AE69" i="264" s="1"/>
  <c r="BA76" i="264"/>
  <c r="Q76" i="264"/>
  <c r="BC62" i="264"/>
  <c r="S62" i="264"/>
  <c r="BB55" i="264"/>
  <c r="R55" i="264"/>
  <c r="AD55" i="264" s="1"/>
  <c r="BC55" i="264"/>
  <c r="S55" i="264"/>
  <c r="AE55" i="264" s="1"/>
  <c r="BA69" i="264"/>
  <c r="B63" i="260"/>
  <c r="B103" i="260" s="1"/>
  <c r="B83" i="260"/>
  <c r="B123" i="260" s="1"/>
  <c r="G62" i="221"/>
  <c r="G50" i="221"/>
  <c r="G54" i="221"/>
  <c r="G42" i="221"/>
  <c r="G6" i="221" s="1"/>
  <c r="G64" i="221"/>
  <c r="G52" i="221"/>
  <c r="G44" i="221"/>
  <c r="G8" i="221" s="1"/>
  <c r="G56" i="221"/>
  <c r="V33" i="267"/>
  <c r="O19" i="260"/>
  <c r="H61" i="264" l="1" a="1"/>
  <c r="H61" i="264" s="1"/>
  <c r="T61" i="264" s="1"/>
  <c r="AF61" i="264" s="1"/>
  <c r="H62" i="264" a="1"/>
  <c r="H62" i="264" s="1"/>
  <c r="T62" i="264" s="1"/>
  <c r="AF62" i="264" s="1"/>
  <c r="H60" i="264" a="1"/>
  <c r="H60" i="264" s="1"/>
  <c r="L68" i="264" a="1"/>
  <c r="L68" i="264" s="1"/>
  <c r="X68" i="264" s="1"/>
  <c r="G23" i="221"/>
  <c r="L67" i="264" a="1"/>
  <c r="L67" i="264" s="1"/>
  <c r="X67" i="264" s="1"/>
  <c r="F66" i="221"/>
  <c r="F30" i="221"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83" i="260"/>
  <c r="B143" i="260"/>
  <c r="B203" i="260"/>
  <c r="B163" i="260"/>
  <c r="S76" i="264"/>
  <c r="AE76" i="264" s="1"/>
  <c r="BC76" i="264"/>
  <c r="V32" i="267"/>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S74" i="264"/>
  <c r="V74" i="264"/>
  <c r="AH74" i="264" s="1"/>
  <c r="BC74" i="264"/>
  <c r="BC60" i="264"/>
  <c r="S60" i="264"/>
  <c r="V60" i="264"/>
  <c r="AH60" i="264" s="1"/>
  <c r="T68" i="264"/>
  <c r="AF68" i="264" s="1"/>
  <c r="Q68" i="264"/>
  <c r="AC68" i="264" s="1"/>
  <c r="BA68" i="264"/>
  <c r="G18" i="221"/>
  <c r="I60" i="264" a="1"/>
  <c r="I60" i="264" s="1"/>
  <c r="I61" i="264" a="1"/>
  <c r="I61" i="264" s="1"/>
  <c r="I62" i="264" a="1"/>
  <c r="I62" i="264" s="1"/>
  <c r="BA67" i="264"/>
  <c r="Q67" i="264"/>
  <c r="T67" i="264"/>
  <c r="AF67" i="264" s="1"/>
  <c r="U68" i="264"/>
  <c r="AG68" i="264" s="1"/>
  <c r="BB68" i="264"/>
  <c r="R68" i="264"/>
  <c r="AD68" i="264" s="1"/>
  <c r="T54" i="264"/>
  <c r="AF54" i="264" s="1"/>
  <c r="Q54" i="264"/>
  <c r="AC54" i="264" s="1"/>
  <c r="BA54" i="264"/>
  <c r="BA53" i="264"/>
  <c r="Q53" i="264"/>
  <c r="T53" i="264"/>
  <c r="AF53" i="264" s="1"/>
  <c r="BA74" i="264"/>
  <c r="Q74" i="264"/>
  <c r="T74" i="264"/>
  <c r="AF74" i="264" s="1"/>
  <c r="G26" i="221"/>
  <c r="V54" i="264"/>
  <c r="AH54" i="264" s="1"/>
  <c r="S54" i="264"/>
  <c r="AE54" i="264" s="1"/>
  <c r="BC54" i="264"/>
  <c r="S53" i="264"/>
  <c r="V53" i="264"/>
  <c r="AH53" i="264" s="1"/>
  <c r="BC53" i="264"/>
  <c r="BB67" i="264"/>
  <c r="R67" i="264"/>
  <c r="U67" i="264"/>
  <c r="AG67" i="264" s="1"/>
  <c r="U54" i="264"/>
  <c r="AG54" i="264" s="1"/>
  <c r="R54" i="264"/>
  <c r="AD54" i="264" s="1"/>
  <c r="BB54" i="264"/>
  <c r="Q60" i="264"/>
  <c r="BA60" i="264"/>
  <c r="T60" i="264"/>
  <c r="AF60" i="264" s="1"/>
  <c r="T75" i="264"/>
  <c r="AF75" i="264" s="1"/>
  <c r="Q75" i="264"/>
  <c r="AC75" i="264" s="1"/>
  <c r="BA75" i="264"/>
  <c r="AD69" i="264"/>
  <c r="AH76" i="264"/>
  <c r="AF55" i="264"/>
  <c r="AF69" i="264"/>
  <c r="AG55" i="264"/>
  <c r="AH55" i="264"/>
  <c r="AC69" i="264"/>
  <c r="AC76" i="264"/>
  <c r="AE62" i="264"/>
  <c r="V34" i="267"/>
  <c r="BA62" i="264" l="1"/>
  <c r="BA61" i="264"/>
  <c r="Q62" i="264"/>
  <c r="AC62" i="264" s="1"/>
  <c r="Q61" i="264"/>
  <c r="AC61" i="264" s="1"/>
  <c r="V38" i="267"/>
  <c r="V41" i="267" s="1"/>
  <c r="X76" i="269"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39" i="267"/>
  <c r="Y6" i="260" s="1"/>
  <c r="Y46" i="269"/>
  <c r="G46" i="269" s="1"/>
  <c r="AA7" i="269"/>
  <c r="I7" i="269" s="1"/>
  <c r="Y45" i="269"/>
  <c r="Z45" i="269"/>
  <c r="H45" i="269" s="1"/>
  <c r="AA45" i="269"/>
  <c r="I45" i="269" s="1"/>
  <c r="AA30" i="269"/>
  <c r="I30" i="269" s="1"/>
  <c r="Z31" i="269"/>
  <c r="H31" i="269" s="1"/>
  <c r="Z30" i="269"/>
  <c r="H30" i="269" s="1"/>
  <c r="G30" i="269"/>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F65" i="221" l="1"/>
  <c r="V40" i="267"/>
  <c r="Q30" i="269"/>
  <c r="G16" i="269"/>
  <c r="F73" i="221"/>
  <c r="G61" i="269"/>
  <c r="F67" i="221"/>
  <c r="F31" i="221" s="1"/>
  <c r="G8" i="269"/>
  <c r="F71" i="221"/>
  <c r="AA12" i="260"/>
  <c r="AD12" i="260" s="1"/>
  <c r="K12" i="260" s="1"/>
  <c r="Z12" i="260"/>
  <c r="AC12" i="260" s="1"/>
  <c r="J12" i="260" s="1"/>
  <c r="Y12" i="260"/>
  <c r="AB12" i="260" s="1"/>
  <c r="I12" i="260" s="1"/>
  <c r="AB6" i="260"/>
  <c r="AA23" i="260"/>
  <c r="AD23" i="260" s="1"/>
  <c r="K23" i="260" s="1"/>
  <c r="Z23" i="260"/>
  <c r="AC23" i="260" s="1"/>
  <c r="J23" i="260" s="1"/>
  <c r="Y23" i="260"/>
  <c r="AB23" i="260" s="1"/>
  <c r="I23" i="260" s="1"/>
  <c r="AA34" i="260"/>
  <c r="AD34" i="260" s="1"/>
  <c r="K34" i="260" s="1"/>
  <c r="Z34" i="260"/>
  <c r="AC34" i="260" s="1"/>
  <c r="J34" i="260" s="1"/>
  <c r="Y34" i="260"/>
  <c r="AB34" i="260" s="1"/>
  <c r="I34" i="260" s="1"/>
  <c r="AA45" i="260"/>
  <c r="AD45" i="260" s="1"/>
  <c r="K45" i="260" s="1"/>
  <c r="Y45" i="260"/>
  <c r="AB45" i="260" s="1"/>
  <c r="I45" i="260" s="1"/>
  <c r="Z45" i="260"/>
  <c r="AC45" i="260" s="1"/>
  <c r="J45" i="260" s="1"/>
  <c r="Z171" i="260"/>
  <c r="AC171" i="260" s="1"/>
  <c r="Z173" i="260"/>
  <c r="AC173" i="260" s="1"/>
  <c r="Z175" i="260"/>
  <c r="AC175" i="260" s="1"/>
  <c r="Z177" i="260"/>
  <c r="AC177" i="260" s="1"/>
  <c r="Z179" i="260"/>
  <c r="AC179" i="260" s="1"/>
  <c r="AA171" i="260"/>
  <c r="AD171" i="260" s="1"/>
  <c r="AA177" i="260"/>
  <c r="AD177" i="260" s="1"/>
  <c r="Z172" i="260"/>
  <c r="AC172" i="260" s="1"/>
  <c r="Z174" i="260"/>
  <c r="AC174" i="260" s="1"/>
  <c r="Z176" i="260"/>
  <c r="AC176" i="260" s="1"/>
  <c r="Z178" i="260"/>
  <c r="AC178" i="260" s="1"/>
  <c r="AA170" i="260"/>
  <c r="AD170" i="260" s="1"/>
  <c r="AA175" i="260"/>
  <c r="AD175" i="260" s="1"/>
  <c r="AA172" i="260"/>
  <c r="AD172" i="260" s="1"/>
  <c r="AA174" i="260"/>
  <c r="AD174" i="260" s="1"/>
  <c r="AA176" i="260"/>
  <c r="AD176" i="260" s="1"/>
  <c r="AA178" i="260"/>
  <c r="AD178" i="260" s="1"/>
  <c r="Z170" i="260"/>
  <c r="AC170" i="260" s="1"/>
  <c r="AA173" i="260"/>
  <c r="AD173" i="260" s="1"/>
  <c r="AA179" i="260"/>
  <c r="AD179" i="260" s="1"/>
  <c r="Y171" i="260"/>
  <c r="AB171" i="260" s="1"/>
  <c r="Y172" i="260"/>
  <c r="AB172" i="260" s="1"/>
  <c r="Y173" i="260"/>
  <c r="AB173" i="260" s="1"/>
  <c r="Y175" i="260"/>
  <c r="AB175" i="260" s="1"/>
  <c r="Y177" i="260"/>
  <c r="AB177" i="260" s="1"/>
  <c r="Y174" i="260"/>
  <c r="Y179" i="260"/>
  <c r="AB179" i="260" s="1"/>
  <c r="Y176" i="260"/>
  <c r="AB176" i="260" s="1"/>
  <c r="Y178" i="260"/>
  <c r="AB178" i="260" s="1"/>
  <c r="Y170" i="260"/>
  <c r="AB170" i="260" s="1"/>
  <c r="Y60" i="260"/>
  <c r="AB60" i="260" s="1"/>
  <c r="Z181" i="260"/>
  <c r="AC181" i="260" s="1"/>
  <c r="Z183" i="260"/>
  <c r="AC183" i="260" s="1"/>
  <c r="Z185" i="260"/>
  <c r="AC185" i="260" s="1"/>
  <c r="Z187" i="260"/>
  <c r="AC187" i="260" s="1"/>
  <c r="Z189" i="260"/>
  <c r="AC189" i="260" s="1"/>
  <c r="AA185" i="260"/>
  <c r="AD185" i="260" s="1"/>
  <c r="Z180" i="260"/>
  <c r="AC180" i="260" s="1"/>
  <c r="Z182" i="260"/>
  <c r="AC182" i="260" s="1"/>
  <c r="Z184" i="260"/>
  <c r="AC184" i="260" s="1"/>
  <c r="Z186" i="260"/>
  <c r="AC186" i="260" s="1"/>
  <c r="Z188" i="260"/>
  <c r="AC188" i="260" s="1"/>
  <c r="AA181" i="260"/>
  <c r="AD181" i="260" s="1"/>
  <c r="AA187" i="260"/>
  <c r="AD187" i="260" s="1"/>
  <c r="AA180" i="260"/>
  <c r="AD180" i="260" s="1"/>
  <c r="AA182" i="260"/>
  <c r="AD182" i="260" s="1"/>
  <c r="AA184" i="260"/>
  <c r="AD184" i="260" s="1"/>
  <c r="AA186" i="260"/>
  <c r="AD186" i="260" s="1"/>
  <c r="AA188" i="260"/>
  <c r="AD188" i="260" s="1"/>
  <c r="AA183" i="260"/>
  <c r="AD183" i="260" s="1"/>
  <c r="AA189" i="260"/>
  <c r="AD189" i="260" s="1"/>
  <c r="Y187" i="260"/>
  <c r="AB187" i="260" s="1"/>
  <c r="Y189" i="260"/>
  <c r="AB189" i="260" s="1"/>
  <c r="Y186" i="260"/>
  <c r="AB186" i="260" s="1"/>
  <c r="Y184" i="260"/>
  <c r="AB184" i="260" s="1"/>
  <c r="Y180" i="260"/>
  <c r="AB180" i="260" s="1"/>
  <c r="Y183" i="260"/>
  <c r="AB183" i="260" s="1"/>
  <c r="Y185" i="260"/>
  <c r="AB185" i="260" s="1"/>
  <c r="Y188" i="260"/>
  <c r="AB188" i="260" s="1"/>
  <c r="Y181" i="260"/>
  <c r="AB181" i="260" s="1"/>
  <c r="Y182" i="260"/>
  <c r="AB182" i="260" s="1"/>
  <c r="Z116" i="260"/>
  <c r="AC116" i="260" s="1"/>
  <c r="J116" i="260" s="1"/>
  <c r="Z191" i="260"/>
  <c r="AC191" i="260" s="1"/>
  <c r="Z193" i="260"/>
  <c r="AC193" i="260" s="1"/>
  <c r="Z195" i="260"/>
  <c r="AC195" i="260" s="1"/>
  <c r="Z197" i="260"/>
  <c r="AC197" i="260" s="1"/>
  <c r="Z199" i="260"/>
  <c r="AC199" i="260" s="1"/>
  <c r="AA191" i="260"/>
  <c r="AD191" i="260" s="1"/>
  <c r="AA197" i="260"/>
  <c r="AD197" i="260" s="1"/>
  <c r="Z190" i="260"/>
  <c r="AC190" i="260" s="1"/>
  <c r="Z192" i="260"/>
  <c r="AC192" i="260" s="1"/>
  <c r="Z194" i="260"/>
  <c r="AC194" i="260" s="1"/>
  <c r="Z196" i="260"/>
  <c r="Z198" i="260"/>
  <c r="AC198" i="260" s="1"/>
  <c r="AA193" i="260"/>
  <c r="AD193" i="260" s="1"/>
  <c r="AA199" i="260"/>
  <c r="AD199" i="260" s="1"/>
  <c r="AA190" i="260"/>
  <c r="AD190" i="260" s="1"/>
  <c r="AA192" i="260"/>
  <c r="AD192" i="260" s="1"/>
  <c r="AA194" i="260"/>
  <c r="AD194" i="260" s="1"/>
  <c r="AA196" i="260"/>
  <c r="AA198" i="260"/>
  <c r="AD198" i="260" s="1"/>
  <c r="AA195" i="260"/>
  <c r="AD195" i="260" s="1"/>
  <c r="Y196" i="260"/>
  <c r="Y198" i="260"/>
  <c r="AB198" i="260" s="1"/>
  <c r="Y191" i="260"/>
  <c r="AB191" i="260" s="1"/>
  <c r="Y193" i="260"/>
  <c r="AB193" i="260" s="1"/>
  <c r="Y190" i="260"/>
  <c r="AB190" i="260" s="1"/>
  <c r="Y192" i="260"/>
  <c r="AB192" i="260" s="1"/>
  <c r="Y195" i="260"/>
  <c r="AB195" i="260" s="1"/>
  <c r="Y197" i="260"/>
  <c r="AB197" i="260" s="1"/>
  <c r="Y194" i="260"/>
  <c r="AB194" i="260" s="1"/>
  <c r="Y199" i="260"/>
  <c r="AB199" i="260" s="1"/>
  <c r="Z201" i="260"/>
  <c r="AC201" i="260" s="1"/>
  <c r="Z203" i="260"/>
  <c r="AC203" i="260" s="1"/>
  <c r="Z205" i="260"/>
  <c r="AC205" i="260" s="1"/>
  <c r="Z207" i="260"/>
  <c r="AC207" i="260" s="1"/>
  <c r="Z209" i="260"/>
  <c r="AC209" i="260" s="1"/>
  <c r="AA203" i="260"/>
  <c r="AD203" i="260" s="1"/>
  <c r="AA207" i="260"/>
  <c r="AD207" i="260" s="1"/>
  <c r="Z200" i="260"/>
  <c r="AC200" i="260" s="1"/>
  <c r="Z202" i="260"/>
  <c r="AC202" i="260" s="1"/>
  <c r="Z204" i="260"/>
  <c r="AC204" i="260" s="1"/>
  <c r="Z206" i="260"/>
  <c r="Z208" i="260"/>
  <c r="AC208" i="260" s="1"/>
  <c r="AA200" i="260"/>
  <c r="AD200" i="260" s="1"/>
  <c r="AA202" i="260"/>
  <c r="AD202" i="260" s="1"/>
  <c r="AA204" i="260"/>
  <c r="AD204" i="260" s="1"/>
  <c r="AA206" i="260"/>
  <c r="AA208" i="260"/>
  <c r="AD208" i="260" s="1"/>
  <c r="AA201" i="260"/>
  <c r="AD201" i="260" s="1"/>
  <c r="AA205" i="260"/>
  <c r="AD205" i="260" s="1"/>
  <c r="AA209" i="260"/>
  <c r="AD209" i="260" s="1"/>
  <c r="Y203" i="260"/>
  <c r="AB203" i="260" s="1"/>
  <c r="Y205" i="260"/>
  <c r="AB205" i="260" s="1"/>
  <c r="Y202" i="260"/>
  <c r="AB202" i="260" s="1"/>
  <c r="Y207" i="260"/>
  <c r="AB207" i="260" s="1"/>
  <c r="Y209" i="260"/>
  <c r="AB209" i="260" s="1"/>
  <c r="Y206" i="260"/>
  <c r="Y200" i="260"/>
  <c r="AB200" i="260" s="1"/>
  <c r="Y204" i="260"/>
  <c r="AB204" i="260" s="1"/>
  <c r="Y208" i="260"/>
  <c r="AB208" i="260" s="1"/>
  <c r="Y201" i="260"/>
  <c r="AB201" i="260" s="1"/>
  <c r="Y10" i="260"/>
  <c r="Y136" i="260"/>
  <c r="AB136" i="260" s="1"/>
  <c r="I136" i="260" s="1"/>
  <c r="Y7" i="260"/>
  <c r="AA44" i="260"/>
  <c r="AD44" i="260" s="1"/>
  <c r="K44" i="260" s="1"/>
  <c r="AA125" i="260"/>
  <c r="AD125" i="260" s="1"/>
  <c r="K125" i="260" s="1"/>
  <c r="AA43" i="260"/>
  <c r="AD43" i="260" s="1"/>
  <c r="K43" i="260" s="1"/>
  <c r="AA124" i="260"/>
  <c r="AD124" i="260" s="1"/>
  <c r="K124" i="260" s="1"/>
  <c r="AA89" i="260"/>
  <c r="AD89" i="260" s="1"/>
  <c r="K89" i="260" s="1"/>
  <c r="AA165" i="260"/>
  <c r="AD165" i="260" s="1"/>
  <c r="K165" i="260" s="1"/>
  <c r="AA160" i="260"/>
  <c r="AD160" i="260" s="1"/>
  <c r="AA48" i="260"/>
  <c r="AD48" i="260" s="1"/>
  <c r="AA120" i="260"/>
  <c r="AD120" i="260" s="1"/>
  <c r="K120" i="260" s="1"/>
  <c r="AA80" i="260"/>
  <c r="AD80" i="260" s="1"/>
  <c r="AA88" i="260"/>
  <c r="AD88" i="260" s="1"/>
  <c r="AA41" i="260"/>
  <c r="AD41" i="260" s="1"/>
  <c r="K41" i="260" s="1"/>
  <c r="AA42" i="260"/>
  <c r="AD42" i="260" s="1"/>
  <c r="K42" i="260" s="1"/>
  <c r="AA123" i="260"/>
  <c r="AD123" i="260" s="1"/>
  <c r="K123" i="260" s="1"/>
  <c r="AA162" i="260"/>
  <c r="AD162" i="260" s="1"/>
  <c r="K162" i="260" s="1"/>
  <c r="AA82" i="260"/>
  <c r="AD82" i="260" s="1"/>
  <c r="K82" i="260" s="1"/>
  <c r="AA127" i="260"/>
  <c r="AD127" i="260" s="1"/>
  <c r="K127" i="260" s="1"/>
  <c r="AA122" i="260"/>
  <c r="AD122" i="260" s="1"/>
  <c r="K122" i="260" s="1"/>
  <c r="AA161" i="260"/>
  <c r="AD161" i="260" s="1"/>
  <c r="K161" i="260" s="1"/>
  <c r="AA121" i="260"/>
  <c r="AD121" i="260" s="1"/>
  <c r="K121" i="260" s="1"/>
  <c r="AA81" i="260"/>
  <c r="AD81" i="260" s="1"/>
  <c r="K81" i="260" s="1"/>
  <c r="AA163" i="260"/>
  <c r="AD163" i="260" s="1"/>
  <c r="K163" i="260" s="1"/>
  <c r="AA85" i="260"/>
  <c r="AD85" i="260" s="1"/>
  <c r="K85" i="260" s="1"/>
  <c r="AA84" i="260"/>
  <c r="AD84" i="260" s="1"/>
  <c r="K84" i="260" s="1"/>
  <c r="AA164" i="260"/>
  <c r="AD164" i="260" s="1"/>
  <c r="K164" i="260" s="1"/>
  <c r="AA49" i="260"/>
  <c r="AD49" i="260" s="1"/>
  <c r="K49" i="260" s="1"/>
  <c r="AA129" i="260"/>
  <c r="AD129" i="260" s="1"/>
  <c r="K129" i="260" s="1"/>
  <c r="AA87" i="260"/>
  <c r="AD87" i="260" s="1"/>
  <c r="K87" i="260" s="1"/>
  <c r="AA169" i="260"/>
  <c r="AD169" i="260" s="1"/>
  <c r="K169" i="260" s="1"/>
  <c r="AA47" i="260"/>
  <c r="AD47" i="260" s="1"/>
  <c r="K47" i="260" s="1"/>
  <c r="AA40" i="260"/>
  <c r="AD40" i="260" s="1"/>
  <c r="K40" i="260" s="1"/>
  <c r="AA39" i="260"/>
  <c r="AD39" i="260" s="1"/>
  <c r="K39" i="260" s="1"/>
  <c r="AA83" i="260"/>
  <c r="AD83" i="260" s="1"/>
  <c r="K83" i="260" s="1"/>
  <c r="AA168" i="260"/>
  <c r="AD168" i="260" s="1"/>
  <c r="AA167" i="260"/>
  <c r="AD167" i="260" s="1"/>
  <c r="K167" i="260" s="1"/>
  <c r="AA128" i="260"/>
  <c r="AD128" i="260" s="1"/>
  <c r="Y42" i="260"/>
  <c r="AB42" i="260" s="1"/>
  <c r="I42" i="260" s="1"/>
  <c r="Y123" i="260"/>
  <c r="AB123" i="260" s="1"/>
  <c r="Y41" i="260"/>
  <c r="AB41" i="260" s="1"/>
  <c r="I41" i="260" s="1"/>
  <c r="Y122" i="260"/>
  <c r="AB122" i="260" s="1"/>
  <c r="I122" i="260" s="1"/>
  <c r="Y169" i="260"/>
  <c r="AB169" i="260" s="1"/>
  <c r="I169" i="260" s="1"/>
  <c r="Y39" i="260"/>
  <c r="AB39" i="260" s="1"/>
  <c r="I39" i="260" s="1"/>
  <c r="Y124" i="260"/>
  <c r="AB124" i="260" s="1"/>
  <c r="I124" i="260" s="1"/>
  <c r="Y164" i="260"/>
  <c r="AB164" i="260" s="1"/>
  <c r="I164" i="260" s="1"/>
  <c r="Y168" i="260"/>
  <c r="AB168" i="260" s="1"/>
  <c r="Z121" i="260"/>
  <c r="AC121" i="260" s="1"/>
  <c r="J121" i="260" s="1"/>
  <c r="Y121" i="260"/>
  <c r="AB121" i="260" s="1"/>
  <c r="I121" i="260" s="1"/>
  <c r="Z89" i="260"/>
  <c r="AC89" i="260" s="1"/>
  <c r="J89" i="260" s="1"/>
  <c r="Z41" i="260"/>
  <c r="AC41" i="260" s="1"/>
  <c r="J41" i="260" s="1"/>
  <c r="Z122" i="260"/>
  <c r="AC122" i="260" s="1"/>
  <c r="J122" i="260" s="1"/>
  <c r="Z85" i="260"/>
  <c r="AC85" i="260" s="1"/>
  <c r="J85" i="260" s="1"/>
  <c r="Z128" i="260"/>
  <c r="AC128" i="260" s="1"/>
  <c r="Y49" i="260"/>
  <c r="AB49" i="260" s="1"/>
  <c r="I49" i="260" s="1"/>
  <c r="Y129" i="260"/>
  <c r="AB129" i="260" s="1"/>
  <c r="Y47" i="260"/>
  <c r="AB47" i="260" s="1"/>
  <c r="I47" i="260" s="1"/>
  <c r="Y127" i="260"/>
  <c r="AB127" i="260" s="1"/>
  <c r="I127" i="260" s="1"/>
  <c r="Y44" i="260"/>
  <c r="AB44" i="260" s="1"/>
  <c r="Y125" i="260"/>
  <c r="AB125" i="260" s="1"/>
  <c r="I125" i="260" s="1"/>
  <c r="Y84" i="260"/>
  <c r="AB84" i="260" s="1"/>
  <c r="I84" i="260" s="1"/>
  <c r="Y40" i="260"/>
  <c r="AB40" i="260" s="1"/>
  <c r="I40" i="260" s="1"/>
  <c r="Y160" i="260"/>
  <c r="AB160" i="260" s="1"/>
  <c r="Y81" i="260"/>
  <c r="AB81" i="260" s="1"/>
  <c r="I81" i="260" s="1"/>
  <c r="Z120" i="260"/>
  <c r="AC120" i="260" s="1"/>
  <c r="J120" i="260" s="1"/>
  <c r="Y88" i="260"/>
  <c r="AB88" i="260" s="1"/>
  <c r="Z43" i="260"/>
  <c r="AC43" i="260" s="1"/>
  <c r="J43" i="260" s="1"/>
  <c r="Z124" i="260"/>
  <c r="AC124" i="260" s="1"/>
  <c r="J124" i="260" s="1"/>
  <c r="Z42" i="260"/>
  <c r="AC42" i="260" s="1"/>
  <c r="J42" i="260" s="1"/>
  <c r="Z123" i="260"/>
  <c r="AC123" i="260" s="1"/>
  <c r="J123" i="260" s="1"/>
  <c r="Z169" i="260"/>
  <c r="AC169" i="260" s="1"/>
  <c r="J169" i="260" s="1"/>
  <c r="Z47" i="260"/>
  <c r="AC47" i="260" s="1"/>
  <c r="J47" i="260" s="1"/>
  <c r="Z127" i="260"/>
  <c r="AC127" i="260" s="1"/>
  <c r="J127" i="260" s="1"/>
  <c r="Z164" i="260"/>
  <c r="AC164" i="260" s="1"/>
  <c r="J164" i="260" s="1"/>
  <c r="Z160" i="260"/>
  <c r="AC160" i="260" s="1"/>
  <c r="Z168" i="260"/>
  <c r="AC168" i="260" s="1"/>
  <c r="Z40" i="260"/>
  <c r="AC40" i="260" s="1"/>
  <c r="J40" i="260" s="1"/>
  <c r="Y83" i="260"/>
  <c r="AB83" i="260" s="1"/>
  <c r="I83" i="260" s="1"/>
  <c r="Y82" i="260"/>
  <c r="AB82" i="260" s="1"/>
  <c r="Y162" i="260"/>
  <c r="AB162" i="260" s="1"/>
  <c r="I162" i="260" s="1"/>
  <c r="Y48" i="260"/>
  <c r="AB48" i="260" s="1"/>
  <c r="Z81" i="260"/>
  <c r="AC81" i="260" s="1"/>
  <c r="J81" i="260" s="1"/>
  <c r="Y120" i="260"/>
  <c r="AB120" i="260" s="1"/>
  <c r="I120" i="260" s="1"/>
  <c r="Z80" i="260"/>
  <c r="AC80" i="260" s="1"/>
  <c r="Y128" i="260"/>
  <c r="AB128" i="260" s="1"/>
  <c r="Z49" i="260"/>
  <c r="AC49" i="260" s="1"/>
  <c r="J49" i="260" s="1"/>
  <c r="Z129" i="260"/>
  <c r="AC129" i="260" s="1"/>
  <c r="J129" i="260" s="1"/>
  <c r="Z82" i="260"/>
  <c r="AC82" i="260" s="1"/>
  <c r="J82" i="260" s="1"/>
  <c r="Z162" i="260"/>
  <c r="AC162" i="260" s="1"/>
  <c r="J162" i="260" s="1"/>
  <c r="Z39" i="260"/>
  <c r="AC39" i="260" s="1"/>
  <c r="J39" i="260" s="1"/>
  <c r="Z125" i="260"/>
  <c r="AC125" i="260" s="1"/>
  <c r="J125" i="260" s="1"/>
  <c r="Z48" i="260"/>
  <c r="AC48" i="260" s="1"/>
  <c r="Z161" i="260"/>
  <c r="AC161" i="260" s="1"/>
  <c r="J161" i="260" s="1"/>
  <c r="Z88" i="260"/>
  <c r="AC88" i="260" s="1"/>
  <c r="Y89" i="260"/>
  <c r="AB89" i="260" s="1"/>
  <c r="Y87" i="260"/>
  <c r="AB87" i="260" s="1"/>
  <c r="Y167" i="260"/>
  <c r="AB167" i="260" s="1"/>
  <c r="I167" i="260" s="1"/>
  <c r="Y43" i="260"/>
  <c r="AB43" i="260" s="1"/>
  <c r="I43" i="260" s="1"/>
  <c r="Y85" i="260"/>
  <c r="AB85" i="260" s="1"/>
  <c r="Y165" i="260"/>
  <c r="AB165" i="260" s="1"/>
  <c r="I165" i="260" s="1"/>
  <c r="Y163" i="260"/>
  <c r="AB163" i="260" s="1"/>
  <c r="I163" i="260" s="1"/>
  <c r="Y161" i="260"/>
  <c r="AB161" i="260" s="1"/>
  <c r="I161" i="260" s="1"/>
  <c r="Y80" i="260"/>
  <c r="AB80" i="260" s="1"/>
  <c r="Z84" i="260"/>
  <c r="AC84" i="260" s="1"/>
  <c r="J84" i="260" s="1"/>
  <c r="Z83" i="260"/>
  <c r="AC83" i="260" s="1"/>
  <c r="J83" i="260" s="1"/>
  <c r="Z163" i="260"/>
  <c r="AC163" i="260" s="1"/>
  <c r="J163" i="260" s="1"/>
  <c r="Z87" i="260"/>
  <c r="AC87" i="260" s="1"/>
  <c r="J87" i="260" s="1"/>
  <c r="Z167" i="260"/>
  <c r="AC167" i="260" s="1"/>
  <c r="J167" i="260" s="1"/>
  <c r="Z165" i="260"/>
  <c r="AC165" i="260" s="1"/>
  <c r="J165" i="260" s="1"/>
  <c r="Z44" i="260"/>
  <c r="AC44" i="260" s="1"/>
  <c r="J44" i="260" s="1"/>
  <c r="Z46" i="260"/>
  <c r="AC46" i="260" s="1"/>
  <c r="J46" i="260" s="1"/>
  <c r="AA46" i="260"/>
  <c r="AD46" i="260" s="1"/>
  <c r="K46" i="260" s="1"/>
  <c r="Y46" i="260"/>
  <c r="AB46" i="260" s="1"/>
  <c r="I46" i="260" s="1"/>
  <c r="AA86" i="260"/>
  <c r="AD86" i="260" s="1"/>
  <c r="K86" i="260" s="1"/>
  <c r="Z86" i="260"/>
  <c r="AC86" i="260" s="1"/>
  <c r="J86" i="260" s="1"/>
  <c r="Y86" i="260"/>
  <c r="AB86" i="260" s="1"/>
  <c r="I86" i="260" s="1"/>
  <c r="AA73" i="260"/>
  <c r="AD73" i="260" s="1"/>
  <c r="K73" i="260" s="1"/>
  <c r="AA153" i="260"/>
  <c r="AD153" i="260" s="1"/>
  <c r="K153" i="260" s="1"/>
  <c r="AA72" i="260"/>
  <c r="AD72" i="260" s="1"/>
  <c r="K72" i="260" s="1"/>
  <c r="AA152" i="260"/>
  <c r="AD152" i="260" s="1"/>
  <c r="K152" i="260" s="1"/>
  <c r="AA33" i="260"/>
  <c r="AD33" i="260" s="1"/>
  <c r="K33" i="260" s="1"/>
  <c r="AA36" i="260"/>
  <c r="AD36" i="260" s="1"/>
  <c r="K36" i="260" s="1"/>
  <c r="AA115" i="260"/>
  <c r="AD115" i="260" s="1"/>
  <c r="K115" i="260" s="1"/>
  <c r="AA151" i="260"/>
  <c r="AD151" i="260" s="1"/>
  <c r="K151" i="260" s="1"/>
  <c r="AA29" i="260"/>
  <c r="AD29" i="260" s="1"/>
  <c r="K29" i="260" s="1"/>
  <c r="AA38" i="260"/>
  <c r="AD38" i="260" s="1"/>
  <c r="K38" i="260" s="1"/>
  <c r="AA71" i="260"/>
  <c r="AD71" i="260" s="1"/>
  <c r="K71" i="260" s="1"/>
  <c r="AA117" i="260"/>
  <c r="AD117" i="260" s="1"/>
  <c r="K117" i="260" s="1"/>
  <c r="AA114" i="260"/>
  <c r="AD114" i="260" s="1"/>
  <c r="K114" i="260" s="1"/>
  <c r="AA159" i="260"/>
  <c r="AD159" i="260" s="1"/>
  <c r="K159" i="260" s="1"/>
  <c r="Z70" i="260"/>
  <c r="AC70" i="260" s="1"/>
  <c r="AA79" i="260"/>
  <c r="AD79" i="260" s="1"/>
  <c r="K79" i="260" s="1"/>
  <c r="AA77" i="260"/>
  <c r="AD77" i="260" s="1"/>
  <c r="K77" i="260" s="1"/>
  <c r="AA157" i="260"/>
  <c r="AD157" i="260" s="1"/>
  <c r="K157" i="260" s="1"/>
  <c r="AA150" i="260"/>
  <c r="AD150" i="260" s="1"/>
  <c r="AA158" i="260"/>
  <c r="AD158" i="260" s="1"/>
  <c r="AA28" i="260"/>
  <c r="AD28" i="260" s="1"/>
  <c r="K28" i="260" s="1"/>
  <c r="AA119" i="260"/>
  <c r="AD119" i="260" s="1"/>
  <c r="K119" i="260" s="1"/>
  <c r="AA74" i="260"/>
  <c r="AD74" i="260" s="1"/>
  <c r="K74" i="260" s="1"/>
  <c r="AA37" i="260"/>
  <c r="AD37" i="260" s="1"/>
  <c r="AA110" i="260"/>
  <c r="AD110" i="260" s="1"/>
  <c r="K110" i="260" s="1"/>
  <c r="AA32" i="260"/>
  <c r="AD32" i="260" s="1"/>
  <c r="K32" i="260" s="1"/>
  <c r="AA113" i="260"/>
  <c r="AD113" i="260" s="1"/>
  <c r="K113" i="260" s="1"/>
  <c r="AA112" i="260"/>
  <c r="AD112" i="260" s="1"/>
  <c r="K112" i="260" s="1"/>
  <c r="AA75" i="260"/>
  <c r="AD75" i="260" s="1"/>
  <c r="K75" i="260" s="1"/>
  <c r="AA155" i="260"/>
  <c r="AD155" i="260" s="1"/>
  <c r="K155" i="260" s="1"/>
  <c r="AA154" i="260"/>
  <c r="AD154" i="260" s="1"/>
  <c r="K154" i="260" s="1"/>
  <c r="AA31" i="260"/>
  <c r="AD31" i="260" s="1"/>
  <c r="K31" i="260" s="1"/>
  <c r="AA78" i="260"/>
  <c r="AD78" i="260" s="1"/>
  <c r="AA111" i="260"/>
  <c r="AD111" i="260" s="1"/>
  <c r="K111" i="260" s="1"/>
  <c r="AA118" i="260"/>
  <c r="AD118" i="260" s="1"/>
  <c r="AA30" i="260"/>
  <c r="AD30" i="260" s="1"/>
  <c r="K30" i="260" s="1"/>
  <c r="AA70" i="260"/>
  <c r="AD70" i="260" s="1"/>
  <c r="Y119" i="260"/>
  <c r="AB119" i="260" s="1"/>
  <c r="I119" i="260" s="1"/>
  <c r="Y151" i="260"/>
  <c r="AB151" i="260" s="1"/>
  <c r="I151" i="260" s="1"/>
  <c r="Y150" i="260"/>
  <c r="AB150" i="260" s="1"/>
  <c r="Y29" i="260"/>
  <c r="AB29" i="260" s="1"/>
  <c r="I29" i="260" s="1"/>
  <c r="Y78" i="260"/>
  <c r="AB78" i="260" s="1"/>
  <c r="I78" i="260" s="1"/>
  <c r="Z118" i="260"/>
  <c r="AC118" i="260" s="1"/>
  <c r="Y71" i="260"/>
  <c r="AB71" i="260" s="1"/>
  <c r="I71" i="260" s="1"/>
  <c r="Z117" i="260"/>
  <c r="AC117" i="260" s="1"/>
  <c r="J117" i="260" s="1"/>
  <c r="Z36" i="260"/>
  <c r="AC36" i="260" s="1"/>
  <c r="J36" i="260" s="1"/>
  <c r="Z115" i="260"/>
  <c r="AC115" i="260" s="1"/>
  <c r="J115" i="260" s="1"/>
  <c r="Z32" i="260"/>
  <c r="AC32" i="260" s="1"/>
  <c r="J32" i="260" s="1"/>
  <c r="Z79" i="260"/>
  <c r="AC79" i="260" s="1"/>
  <c r="J79" i="260" s="1"/>
  <c r="Z73" i="260"/>
  <c r="AC73" i="260" s="1"/>
  <c r="J73" i="260" s="1"/>
  <c r="Z157" i="260"/>
  <c r="AC157" i="260" s="1"/>
  <c r="J157" i="260" s="1"/>
  <c r="Z119" i="260"/>
  <c r="AC119" i="260" s="1"/>
  <c r="J119" i="260" s="1"/>
  <c r="Z158" i="260"/>
  <c r="AC158" i="260" s="1"/>
  <c r="Z29" i="260"/>
  <c r="AC29" i="260" s="1"/>
  <c r="J29" i="260" s="1"/>
  <c r="Y35" i="260"/>
  <c r="AB35" i="260" s="1"/>
  <c r="I35" i="260" s="1"/>
  <c r="Z71" i="260"/>
  <c r="AC71" i="260" s="1"/>
  <c r="J71" i="260" s="1"/>
  <c r="AA35" i="260"/>
  <c r="AD35" i="260" s="1"/>
  <c r="K35" i="260" s="1"/>
  <c r="Y75" i="260"/>
  <c r="AB75" i="260" s="1"/>
  <c r="I75" i="260" s="1"/>
  <c r="Y74" i="260"/>
  <c r="AB74" i="260" s="1"/>
  <c r="Y154" i="260"/>
  <c r="AB154" i="260" s="1"/>
  <c r="I154" i="260" s="1"/>
  <c r="Y73" i="260"/>
  <c r="AB73" i="260" s="1"/>
  <c r="I73" i="260" s="1"/>
  <c r="Y153" i="260"/>
  <c r="AB153" i="260" s="1"/>
  <c r="I153" i="260" s="1"/>
  <c r="Y152" i="260"/>
  <c r="AB152" i="260" s="1"/>
  <c r="I152" i="260" s="1"/>
  <c r="Y117" i="260"/>
  <c r="AB117" i="260" s="1"/>
  <c r="I117" i="260" s="1"/>
  <c r="Y77" i="260"/>
  <c r="AB77" i="260" s="1"/>
  <c r="I77" i="260" s="1"/>
  <c r="Y28" i="260"/>
  <c r="AB28" i="260" s="1"/>
  <c r="I28" i="260" s="1"/>
  <c r="Y31" i="260"/>
  <c r="AB31" i="260" s="1"/>
  <c r="I31" i="260" s="1"/>
  <c r="Z110" i="260"/>
  <c r="AC110" i="260" s="1"/>
  <c r="J110" i="260" s="1"/>
  <c r="Z78" i="260"/>
  <c r="AC78" i="260" s="1"/>
  <c r="Z72" i="260"/>
  <c r="AC72" i="260" s="1"/>
  <c r="J72" i="260" s="1"/>
  <c r="Z152" i="260"/>
  <c r="AC152" i="260" s="1"/>
  <c r="J152" i="260" s="1"/>
  <c r="Z74" i="260"/>
  <c r="AC74" i="260" s="1"/>
  <c r="J74" i="260" s="1"/>
  <c r="Z154" i="260"/>
  <c r="AC154" i="260" s="1"/>
  <c r="J154" i="260" s="1"/>
  <c r="Z113" i="260"/>
  <c r="AC113" i="260" s="1"/>
  <c r="J113" i="260" s="1"/>
  <c r="Z38" i="260"/>
  <c r="AC38" i="260" s="1"/>
  <c r="J38" i="260" s="1"/>
  <c r="Y70" i="260"/>
  <c r="AB70" i="260" s="1"/>
  <c r="Z111" i="260"/>
  <c r="AC111" i="260" s="1"/>
  <c r="J111" i="260" s="1"/>
  <c r="Z35" i="260"/>
  <c r="AC35" i="260" s="1"/>
  <c r="J35" i="260" s="1"/>
  <c r="Z30" i="260"/>
  <c r="AC30" i="260" s="1"/>
  <c r="J30" i="260" s="1"/>
  <c r="Y79" i="260"/>
  <c r="AB79" i="260" s="1"/>
  <c r="Y159" i="260"/>
  <c r="AB159" i="260" s="1"/>
  <c r="I159" i="260" s="1"/>
  <c r="Y72" i="260"/>
  <c r="AB72" i="260" s="1"/>
  <c r="I72" i="260" s="1"/>
  <c r="Y157" i="260"/>
  <c r="AB157" i="260" s="1"/>
  <c r="I157" i="260" s="1"/>
  <c r="Y112" i="260"/>
  <c r="AB112" i="260" s="1"/>
  <c r="I112" i="260" s="1"/>
  <c r="Y158" i="260"/>
  <c r="AB158" i="260" s="1"/>
  <c r="I158" i="260" s="1"/>
  <c r="Y37" i="260"/>
  <c r="AB37" i="260" s="1"/>
  <c r="I37" i="260" s="1"/>
  <c r="Y38" i="260"/>
  <c r="AB38" i="260" s="1"/>
  <c r="I38" i="260" s="1"/>
  <c r="Z77" i="260"/>
  <c r="AC77" i="260" s="1"/>
  <c r="J77" i="260" s="1"/>
  <c r="Z75" i="260"/>
  <c r="AC75" i="260" s="1"/>
  <c r="J75" i="260" s="1"/>
  <c r="Z155" i="260"/>
  <c r="AC155" i="260" s="1"/>
  <c r="J155" i="260" s="1"/>
  <c r="Z159" i="260"/>
  <c r="AC159" i="260" s="1"/>
  <c r="J159" i="260" s="1"/>
  <c r="Z150" i="260"/>
  <c r="AC150" i="260" s="1"/>
  <c r="Z31" i="260"/>
  <c r="AC31" i="260" s="1"/>
  <c r="J31" i="260" s="1"/>
  <c r="Z28" i="260"/>
  <c r="AC28" i="260" s="1"/>
  <c r="Y110" i="260"/>
  <c r="AB110" i="260" s="1"/>
  <c r="I110" i="260" s="1"/>
  <c r="Y36" i="260"/>
  <c r="AB36" i="260" s="1"/>
  <c r="Y115" i="260"/>
  <c r="AB115" i="260" s="1"/>
  <c r="I115" i="260" s="1"/>
  <c r="Y33" i="260"/>
  <c r="AB33" i="260" s="1"/>
  <c r="Y114" i="260"/>
  <c r="AB114" i="260" s="1"/>
  <c r="I114" i="260" s="1"/>
  <c r="Y32" i="260"/>
  <c r="AB32" i="260" s="1"/>
  <c r="Y113" i="260"/>
  <c r="AB113" i="260" s="1"/>
  <c r="I113" i="260" s="1"/>
  <c r="Y155" i="260"/>
  <c r="AB155" i="260" s="1"/>
  <c r="I155" i="260" s="1"/>
  <c r="Y30" i="260"/>
  <c r="AB30" i="260" s="1"/>
  <c r="I30" i="260" s="1"/>
  <c r="Y118" i="260"/>
  <c r="AB118" i="260" s="1"/>
  <c r="I118" i="260" s="1"/>
  <c r="Y111" i="260"/>
  <c r="AB111" i="260" s="1"/>
  <c r="I111" i="260" s="1"/>
  <c r="Z112" i="260"/>
  <c r="AC112" i="260" s="1"/>
  <c r="J112" i="260" s="1"/>
  <c r="Z33" i="260"/>
  <c r="AC33" i="260" s="1"/>
  <c r="J33" i="260" s="1"/>
  <c r="Z114" i="260"/>
  <c r="AC114" i="260" s="1"/>
  <c r="J114" i="260" s="1"/>
  <c r="Z153" i="260"/>
  <c r="AC153" i="260" s="1"/>
  <c r="J153" i="260" s="1"/>
  <c r="Z151" i="260"/>
  <c r="AC151" i="260" s="1"/>
  <c r="J151" i="260" s="1"/>
  <c r="Z37" i="260"/>
  <c r="AC37" i="260" s="1"/>
  <c r="AA76" i="260"/>
  <c r="AD76" i="260" s="1"/>
  <c r="K76" i="260" s="1"/>
  <c r="Y76" i="260"/>
  <c r="AB76" i="260" s="1"/>
  <c r="I76" i="260" s="1"/>
  <c r="Z76" i="260"/>
  <c r="AC76" i="260" s="1"/>
  <c r="J76" i="260" s="1"/>
  <c r="AA11" i="260"/>
  <c r="AD11" i="260" s="1"/>
  <c r="AA99" i="260"/>
  <c r="AD99" i="260" s="1"/>
  <c r="K99" i="260" s="1"/>
  <c r="AA97" i="260"/>
  <c r="AD97" i="260" s="1"/>
  <c r="K97" i="260" s="1"/>
  <c r="AA14" i="260"/>
  <c r="AA54" i="260"/>
  <c r="AD54" i="260" s="1"/>
  <c r="K54" i="260" s="1"/>
  <c r="AA94" i="260"/>
  <c r="AD94" i="260" s="1"/>
  <c r="K94" i="260" s="1"/>
  <c r="AA91" i="260"/>
  <c r="AD91" i="260" s="1"/>
  <c r="K91" i="260" s="1"/>
  <c r="AA51" i="260"/>
  <c r="AD51" i="260" s="1"/>
  <c r="K51" i="260" s="1"/>
  <c r="AA134" i="260"/>
  <c r="AD134" i="260" s="1"/>
  <c r="K134" i="260" s="1"/>
  <c r="AA90" i="260"/>
  <c r="AD90" i="260" s="1"/>
  <c r="Z98" i="260"/>
  <c r="AC98" i="260" s="1"/>
  <c r="AA53" i="260"/>
  <c r="AD53" i="260" s="1"/>
  <c r="K53" i="260" s="1"/>
  <c r="AA133" i="260"/>
  <c r="AD133" i="260" s="1"/>
  <c r="K133" i="260" s="1"/>
  <c r="AA10" i="260"/>
  <c r="AD10" i="260" s="1"/>
  <c r="AA52" i="260"/>
  <c r="AD52" i="260" s="1"/>
  <c r="K52" i="260" s="1"/>
  <c r="AA132" i="260"/>
  <c r="AD132" i="260" s="1"/>
  <c r="K132" i="260" s="1"/>
  <c r="AA95" i="260"/>
  <c r="AD95" i="260" s="1"/>
  <c r="K95" i="260" s="1"/>
  <c r="AA15" i="260"/>
  <c r="AD15" i="260" s="1"/>
  <c r="AA9" i="260"/>
  <c r="AA7" i="260"/>
  <c r="AA55" i="260"/>
  <c r="AD55" i="260" s="1"/>
  <c r="K55" i="260" s="1"/>
  <c r="AA135" i="260"/>
  <c r="AD135" i="260" s="1"/>
  <c r="K135" i="260" s="1"/>
  <c r="AA130" i="260"/>
  <c r="AD130" i="260" s="1"/>
  <c r="Z58" i="260"/>
  <c r="AC58" i="260" s="1"/>
  <c r="AA98" i="260"/>
  <c r="AD98" i="260" s="1"/>
  <c r="AA50" i="260"/>
  <c r="AD50" i="260" s="1"/>
  <c r="AA59" i="260"/>
  <c r="AD59" i="260" s="1"/>
  <c r="K59" i="260" s="1"/>
  <c r="AA139" i="260"/>
  <c r="AD139" i="260" s="1"/>
  <c r="K139" i="260" s="1"/>
  <c r="AA57" i="260"/>
  <c r="AD57" i="260" s="1"/>
  <c r="K57" i="260" s="1"/>
  <c r="AA137" i="260"/>
  <c r="AD137" i="260" s="1"/>
  <c r="K137" i="260" s="1"/>
  <c r="AA138" i="260"/>
  <c r="AD138" i="260" s="1"/>
  <c r="AA58" i="260"/>
  <c r="AD58" i="260" s="1"/>
  <c r="AA6" i="260"/>
  <c r="AA13" i="260"/>
  <c r="AA8" i="260"/>
  <c r="AD8" i="260" s="1"/>
  <c r="AA16" i="260"/>
  <c r="AD16" i="260" s="1"/>
  <c r="AA93" i="260"/>
  <c r="AD93" i="260" s="1"/>
  <c r="K93" i="260" s="1"/>
  <c r="AA92" i="260"/>
  <c r="AD92" i="260" s="1"/>
  <c r="K92" i="260" s="1"/>
  <c r="AA131" i="260"/>
  <c r="AD131" i="260" s="1"/>
  <c r="K131" i="260" s="1"/>
  <c r="Y95" i="260"/>
  <c r="AB95" i="260" s="1"/>
  <c r="Y94" i="260"/>
  <c r="AB94" i="260" s="1"/>
  <c r="I94" i="260" s="1"/>
  <c r="Y11" i="260"/>
  <c r="Y93" i="260"/>
  <c r="AB93" i="260" s="1"/>
  <c r="I93" i="260" s="1"/>
  <c r="Y130" i="260"/>
  <c r="AB130" i="260" s="1"/>
  <c r="Y92" i="260"/>
  <c r="AB92" i="260" s="1"/>
  <c r="I92" i="260" s="1"/>
  <c r="Y52" i="260"/>
  <c r="AB52" i="260" s="1"/>
  <c r="Y57" i="260"/>
  <c r="AB57" i="260" s="1"/>
  <c r="Z13" i="260"/>
  <c r="AC13" i="260" s="1"/>
  <c r="Z91" i="260"/>
  <c r="AC91" i="260" s="1"/>
  <c r="J91" i="260" s="1"/>
  <c r="Y16" i="260"/>
  <c r="Z92" i="260"/>
  <c r="AC92" i="260" s="1"/>
  <c r="J92" i="260" s="1"/>
  <c r="Z131" i="260"/>
  <c r="AC131" i="260" s="1"/>
  <c r="J131" i="260" s="1"/>
  <c r="Z94" i="260"/>
  <c r="AC94" i="260" s="1"/>
  <c r="J94" i="260" s="1"/>
  <c r="Z138" i="260"/>
  <c r="AC138" i="260" s="1"/>
  <c r="Z7" i="260"/>
  <c r="Z15" i="260"/>
  <c r="Y13" i="260"/>
  <c r="Y14" i="260"/>
  <c r="Y99" i="260"/>
  <c r="AB99" i="260" s="1"/>
  <c r="I99" i="260" s="1"/>
  <c r="Y15" i="260"/>
  <c r="Y51" i="260"/>
  <c r="AB51" i="260" s="1"/>
  <c r="Z6" i="260"/>
  <c r="Z51" i="260"/>
  <c r="AC51" i="260" s="1"/>
  <c r="J51" i="260" s="1"/>
  <c r="Z97" i="260"/>
  <c r="AC97" i="260" s="1"/>
  <c r="J97" i="260" s="1"/>
  <c r="Z95" i="260"/>
  <c r="AC95" i="260" s="1"/>
  <c r="J95" i="260" s="1"/>
  <c r="Z14" i="260"/>
  <c r="AC14" i="260" s="1"/>
  <c r="Z99" i="260"/>
  <c r="AC99" i="260" s="1"/>
  <c r="J99" i="260" s="1"/>
  <c r="Z130" i="260"/>
  <c r="AC130" i="260" s="1"/>
  <c r="Z8" i="260"/>
  <c r="AC8" i="260" s="1"/>
  <c r="Y98" i="260"/>
  <c r="AB98" i="260" s="1"/>
  <c r="I98" i="260" s="1"/>
  <c r="AA56" i="260"/>
  <c r="AD56" i="260" s="1"/>
  <c r="K56" i="260" s="1"/>
  <c r="Z90" i="260"/>
  <c r="AC90" i="260" s="1"/>
  <c r="Y56" i="260"/>
  <c r="AB56" i="260" s="1"/>
  <c r="I56" i="260" s="1"/>
  <c r="Y55" i="260"/>
  <c r="AB55" i="260" s="1"/>
  <c r="I55" i="260" s="1"/>
  <c r="Y135" i="260"/>
  <c r="AB135" i="260" s="1"/>
  <c r="I135" i="260" s="1"/>
  <c r="Y54" i="260"/>
  <c r="AB54" i="260" s="1"/>
  <c r="Y134" i="260"/>
  <c r="AB134" i="260" s="1"/>
  <c r="I134" i="260" s="1"/>
  <c r="Y53" i="260"/>
  <c r="AB53" i="260" s="1"/>
  <c r="I53" i="260" s="1"/>
  <c r="Y133" i="260"/>
  <c r="AB133" i="260" s="1"/>
  <c r="I133" i="260" s="1"/>
  <c r="Y132" i="260"/>
  <c r="AB132" i="260" s="1"/>
  <c r="I132" i="260" s="1"/>
  <c r="Y138" i="260"/>
  <c r="AB138" i="260" s="1"/>
  <c r="I138" i="260" s="1"/>
  <c r="Y9" i="260"/>
  <c r="Y90" i="260"/>
  <c r="AB90" i="260" s="1"/>
  <c r="Z10" i="260"/>
  <c r="AC10" i="260" s="1"/>
  <c r="Z52" i="260"/>
  <c r="AC52" i="260" s="1"/>
  <c r="J52" i="260" s="1"/>
  <c r="Z132" i="260"/>
  <c r="AC132" i="260" s="1"/>
  <c r="J132" i="260" s="1"/>
  <c r="Z54" i="260"/>
  <c r="AC54" i="260" s="1"/>
  <c r="J54" i="260" s="1"/>
  <c r="Z134" i="260"/>
  <c r="AC134" i="260" s="1"/>
  <c r="J134" i="260" s="1"/>
  <c r="Z133" i="260"/>
  <c r="AC133" i="260" s="1"/>
  <c r="J133" i="260" s="1"/>
  <c r="Z139" i="260"/>
  <c r="AC139" i="260" s="1"/>
  <c r="J139" i="260" s="1"/>
  <c r="Z9" i="260"/>
  <c r="Z50" i="260"/>
  <c r="AC50" i="260" s="1"/>
  <c r="Z56" i="260"/>
  <c r="AC56" i="260" s="1"/>
  <c r="J56" i="260" s="1"/>
  <c r="Z59" i="260"/>
  <c r="AC59" i="260" s="1"/>
  <c r="J59" i="260" s="1"/>
  <c r="Y59" i="260"/>
  <c r="AB59" i="260" s="1"/>
  <c r="I59" i="260" s="1"/>
  <c r="Y139" i="260"/>
  <c r="AB139" i="260" s="1"/>
  <c r="I139" i="260" s="1"/>
  <c r="Y97" i="260"/>
  <c r="AB97" i="260" s="1"/>
  <c r="I97" i="260" s="1"/>
  <c r="Y137" i="260"/>
  <c r="AB137" i="260" s="1"/>
  <c r="I137" i="260" s="1"/>
  <c r="Y131" i="260"/>
  <c r="AB131" i="260" s="1"/>
  <c r="I131" i="260" s="1"/>
  <c r="Y8" i="260"/>
  <c r="AB8" i="260" s="1"/>
  <c r="Y91" i="260"/>
  <c r="AB91" i="260" s="1"/>
  <c r="I91" i="260" s="1"/>
  <c r="Z16" i="260"/>
  <c r="AC16" i="260" s="1"/>
  <c r="Y50" i="260"/>
  <c r="AB50" i="260" s="1"/>
  <c r="I50" i="260" s="1"/>
  <c r="Z57" i="260"/>
  <c r="AC57" i="260" s="1"/>
  <c r="J57" i="260" s="1"/>
  <c r="Z137" i="260"/>
  <c r="AC137" i="260" s="1"/>
  <c r="J137" i="260" s="1"/>
  <c r="Z55" i="260"/>
  <c r="AC55" i="260" s="1"/>
  <c r="J55" i="260" s="1"/>
  <c r="Z135" i="260"/>
  <c r="AC135" i="260" s="1"/>
  <c r="J135" i="260" s="1"/>
  <c r="Z11" i="260"/>
  <c r="AC11" i="260" s="1"/>
  <c r="Z53" i="260"/>
  <c r="AC53" i="260" s="1"/>
  <c r="J53" i="260" s="1"/>
  <c r="Z93" i="260"/>
  <c r="AC93" i="260" s="1"/>
  <c r="J93" i="260" s="1"/>
  <c r="Y58" i="260"/>
  <c r="AB58" i="260" s="1"/>
  <c r="I58" i="260" s="1"/>
  <c r="AA96" i="260"/>
  <c r="AD96" i="260" s="1"/>
  <c r="K96" i="260" s="1"/>
  <c r="Y96" i="260"/>
  <c r="AB96" i="260" s="1"/>
  <c r="I96" i="260" s="1"/>
  <c r="Z96" i="260"/>
  <c r="AC96" i="260" s="1"/>
  <c r="J96" i="260" s="1"/>
  <c r="Z136" i="260"/>
  <c r="AC136" i="260" s="1"/>
  <c r="J136" i="260" s="1"/>
  <c r="Y116" i="260"/>
  <c r="AB116" i="260" s="1"/>
  <c r="I116" i="260" s="1"/>
  <c r="AA20" i="260"/>
  <c r="AA63" i="260"/>
  <c r="AD63" i="260" s="1"/>
  <c r="K63" i="260" s="1"/>
  <c r="AA143" i="260"/>
  <c r="AD143" i="260" s="1"/>
  <c r="K143" i="260" s="1"/>
  <c r="AA142" i="260"/>
  <c r="AD142" i="260" s="1"/>
  <c r="K142" i="260" s="1"/>
  <c r="AA102" i="260"/>
  <c r="AD102" i="260" s="1"/>
  <c r="K102" i="260" s="1"/>
  <c r="AA141" i="260"/>
  <c r="AD141" i="260" s="1"/>
  <c r="K141" i="260" s="1"/>
  <c r="AA68" i="260"/>
  <c r="AD68" i="260" s="1"/>
  <c r="AA108" i="260"/>
  <c r="AD108" i="260" s="1"/>
  <c r="AA25" i="260"/>
  <c r="AA22" i="260"/>
  <c r="AD22" i="260" s="1"/>
  <c r="AA109" i="260"/>
  <c r="AD109" i="260" s="1"/>
  <c r="K109" i="260" s="1"/>
  <c r="AA140" i="260"/>
  <c r="AD140" i="260" s="1"/>
  <c r="Z61" i="260"/>
  <c r="AC61" i="260" s="1"/>
  <c r="J61" i="260" s="1"/>
  <c r="AA27" i="260"/>
  <c r="AD27" i="260" s="1"/>
  <c r="AA105" i="260"/>
  <c r="AD105" i="260" s="1"/>
  <c r="K105" i="260" s="1"/>
  <c r="AA104" i="260"/>
  <c r="AD104" i="260" s="1"/>
  <c r="K104" i="260" s="1"/>
  <c r="AA69" i="260"/>
  <c r="AD69" i="260" s="1"/>
  <c r="K69" i="260" s="1"/>
  <c r="AA149" i="260"/>
  <c r="AD149" i="260" s="1"/>
  <c r="K149" i="260" s="1"/>
  <c r="AA62" i="260"/>
  <c r="AD62" i="260" s="1"/>
  <c r="K62" i="260" s="1"/>
  <c r="AA67" i="260"/>
  <c r="AD67" i="260" s="1"/>
  <c r="K67" i="260" s="1"/>
  <c r="AA18" i="260"/>
  <c r="AA100" i="260"/>
  <c r="AD100" i="260" s="1"/>
  <c r="K100" i="260" s="1"/>
  <c r="AA60" i="260"/>
  <c r="AD60" i="260" s="1"/>
  <c r="AA65" i="260"/>
  <c r="AD65" i="260" s="1"/>
  <c r="K65" i="260" s="1"/>
  <c r="AA64" i="260"/>
  <c r="AD64" i="260" s="1"/>
  <c r="K64" i="260" s="1"/>
  <c r="AA144" i="260"/>
  <c r="AD144" i="260" s="1"/>
  <c r="K144" i="260" s="1"/>
  <c r="AA19" i="260"/>
  <c r="AD19" i="260" s="1"/>
  <c r="K19" i="260" s="1"/>
  <c r="AA17" i="260"/>
  <c r="AA103" i="260"/>
  <c r="AD103" i="260" s="1"/>
  <c r="K103" i="260" s="1"/>
  <c r="AA107" i="260"/>
  <c r="AD107" i="260" s="1"/>
  <c r="K107" i="260" s="1"/>
  <c r="AA147" i="260"/>
  <c r="AD147" i="260" s="1"/>
  <c r="K147" i="260" s="1"/>
  <c r="AA148" i="260"/>
  <c r="AD148" i="260" s="1"/>
  <c r="AA26" i="260"/>
  <c r="AD26" i="260" s="1"/>
  <c r="AA101" i="260"/>
  <c r="AD101" i="260" s="1"/>
  <c r="K101" i="260" s="1"/>
  <c r="AA61" i="260"/>
  <c r="AD61" i="260" s="1"/>
  <c r="K61" i="260" s="1"/>
  <c r="AA145" i="260"/>
  <c r="AD145" i="260" s="1"/>
  <c r="K145" i="260" s="1"/>
  <c r="AA21" i="260"/>
  <c r="AD21" i="260" s="1"/>
  <c r="Z68" i="260"/>
  <c r="AC68" i="260" s="1"/>
  <c r="Y69" i="260"/>
  <c r="AB69" i="260" s="1"/>
  <c r="I69" i="260" s="1"/>
  <c r="Y149" i="260"/>
  <c r="AB149" i="260" s="1"/>
  <c r="I149" i="260" s="1"/>
  <c r="Y67" i="260"/>
  <c r="AB67" i="260" s="1"/>
  <c r="I67" i="260" s="1"/>
  <c r="Y147" i="260"/>
  <c r="AB147" i="260" s="1"/>
  <c r="I147" i="260" s="1"/>
  <c r="Y65" i="260"/>
  <c r="AB65" i="260" s="1"/>
  <c r="I65" i="260" s="1"/>
  <c r="Y145" i="260"/>
  <c r="AB145" i="260" s="1"/>
  <c r="I145" i="260" s="1"/>
  <c r="Y148" i="260"/>
  <c r="AB148" i="260" s="1"/>
  <c r="Z60" i="260"/>
  <c r="AC60" i="260" s="1"/>
  <c r="Y108" i="260"/>
  <c r="AB108" i="260" s="1"/>
  <c r="Z25" i="260"/>
  <c r="AC25" i="260" s="1"/>
  <c r="Z64" i="260"/>
  <c r="AC64" i="260" s="1"/>
  <c r="J64" i="260" s="1"/>
  <c r="Z144" i="260"/>
  <c r="AC144" i="260" s="1"/>
  <c r="J144" i="260" s="1"/>
  <c r="Z63" i="260"/>
  <c r="AC63" i="260" s="1"/>
  <c r="J63" i="260" s="1"/>
  <c r="Z143" i="260"/>
  <c r="AC143" i="260" s="1"/>
  <c r="J143" i="260" s="1"/>
  <c r="Z67" i="260"/>
  <c r="AC67" i="260" s="1"/>
  <c r="J67" i="260" s="1"/>
  <c r="Z147" i="260"/>
  <c r="AC147" i="260" s="1"/>
  <c r="J147" i="260" s="1"/>
  <c r="Z20" i="260"/>
  <c r="Z141" i="260"/>
  <c r="AC141" i="260" s="1"/>
  <c r="J141" i="260" s="1"/>
  <c r="Z140" i="260"/>
  <c r="AC140" i="260" s="1"/>
  <c r="Z101" i="260"/>
  <c r="AC101" i="260" s="1"/>
  <c r="J101" i="260" s="1"/>
  <c r="Y24" i="260"/>
  <c r="Z148" i="260"/>
  <c r="AC148" i="260" s="1"/>
  <c r="Y17" i="260"/>
  <c r="AB17" i="260" s="1"/>
  <c r="Y103" i="260"/>
  <c r="AB103" i="260" s="1"/>
  <c r="I103" i="260" s="1"/>
  <c r="Y102" i="260"/>
  <c r="AB102" i="260" s="1"/>
  <c r="I102" i="260" s="1"/>
  <c r="Y19" i="260"/>
  <c r="Y20" i="260"/>
  <c r="Y104" i="260"/>
  <c r="AB104" i="260" s="1"/>
  <c r="I104" i="260" s="1"/>
  <c r="Y140" i="260"/>
  <c r="AB140" i="260" s="1"/>
  <c r="Y101" i="260"/>
  <c r="AB101" i="260" s="1"/>
  <c r="I101" i="260" s="1"/>
  <c r="Z69" i="260"/>
  <c r="AC69" i="260" s="1"/>
  <c r="J69" i="260" s="1"/>
  <c r="Z149" i="260"/>
  <c r="AC149" i="260" s="1"/>
  <c r="J149" i="260" s="1"/>
  <c r="Z102" i="260"/>
  <c r="AC102" i="260" s="1"/>
  <c r="J102" i="260" s="1"/>
  <c r="Z27" i="260"/>
  <c r="AC27" i="260" s="1"/>
  <c r="Z105" i="260"/>
  <c r="AC105" i="260" s="1"/>
  <c r="J105" i="260" s="1"/>
  <c r="Z145" i="260"/>
  <c r="AC145" i="260" s="1"/>
  <c r="J145" i="260" s="1"/>
  <c r="Z18" i="260"/>
  <c r="Z24" i="260"/>
  <c r="AC24" i="260" s="1"/>
  <c r="Y22" i="260"/>
  <c r="Y109" i="260"/>
  <c r="AB109" i="260" s="1"/>
  <c r="I109" i="260" s="1"/>
  <c r="Y21" i="260"/>
  <c r="Y107" i="260"/>
  <c r="AB107" i="260" s="1"/>
  <c r="I107" i="260" s="1"/>
  <c r="Y25" i="260"/>
  <c r="Y27" i="260"/>
  <c r="Y105" i="260"/>
  <c r="AB105" i="260" s="1"/>
  <c r="I105" i="260" s="1"/>
  <c r="Y144" i="260"/>
  <c r="AB144" i="260" s="1"/>
  <c r="I144" i="260" s="1"/>
  <c r="Y141" i="260"/>
  <c r="AB141" i="260" s="1"/>
  <c r="I141" i="260" s="1"/>
  <c r="Y100" i="260"/>
  <c r="AB100" i="260" s="1"/>
  <c r="I100" i="260" s="1"/>
  <c r="Y68" i="260"/>
  <c r="AB68" i="260" s="1"/>
  <c r="Z104" i="260"/>
  <c r="AC104" i="260" s="1"/>
  <c r="J104" i="260" s="1"/>
  <c r="Z17" i="260"/>
  <c r="Z103" i="260"/>
  <c r="AC103" i="260" s="1"/>
  <c r="J103" i="260" s="1"/>
  <c r="Z26" i="260"/>
  <c r="Z21" i="260"/>
  <c r="AC21" i="260" s="1"/>
  <c r="Z107" i="260"/>
  <c r="AC107" i="260" s="1"/>
  <c r="J107" i="260" s="1"/>
  <c r="Z65" i="260"/>
  <c r="AC65" i="260" s="1"/>
  <c r="J65" i="260" s="1"/>
  <c r="AA24" i="260"/>
  <c r="Y63" i="260"/>
  <c r="AB63" i="260" s="1"/>
  <c r="I63" i="260" s="1"/>
  <c r="Y143" i="260"/>
  <c r="AB143" i="260" s="1"/>
  <c r="I143" i="260" s="1"/>
  <c r="Y62" i="260"/>
  <c r="AB62" i="260" s="1"/>
  <c r="Y142" i="260"/>
  <c r="AB142" i="260" s="1"/>
  <c r="I142" i="260" s="1"/>
  <c r="Y64" i="260"/>
  <c r="AB64" i="260" s="1"/>
  <c r="Y26" i="260"/>
  <c r="Y18" i="260"/>
  <c r="Z100" i="260"/>
  <c r="AC100" i="260" s="1"/>
  <c r="J100" i="260" s="1"/>
  <c r="Y61" i="260"/>
  <c r="AB61" i="260" s="1"/>
  <c r="I61" i="260" s="1"/>
  <c r="Z108" i="260"/>
  <c r="AC108" i="260" s="1"/>
  <c r="Z19" i="260"/>
  <c r="AC19" i="260" s="1"/>
  <c r="J19" i="260" s="1"/>
  <c r="Z22" i="260"/>
  <c r="AC22" i="260" s="1"/>
  <c r="Z109" i="260"/>
  <c r="AC109" i="260" s="1"/>
  <c r="J109" i="260" s="1"/>
  <c r="Z62" i="260"/>
  <c r="AC62" i="260" s="1"/>
  <c r="J62" i="260" s="1"/>
  <c r="Z142" i="260"/>
  <c r="AC142" i="260" s="1"/>
  <c r="J142" i="260" s="1"/>
  <c r="Z66" i="260"/>
  <c r="AC66" i="260" s="1"/>
  <c r="J66" i="260" s="1"/>
  <c r="AA66" i="260"/>
  <c r="AD66" i="260" s="1"/>
  <c r="K66" i="260" s="1"/>
  <c r="Y66" i="260"/>
  <c r="AB66" i="260" s="1"/>
  <c r="I66" i="260" s="1"/>
  <c r="Y106" i="260"/>
  <c r="AB106" i="260" s="1"/>
  <c r="I106" i="260" s="1"/>
  <c r="Z106" i="260"/>
  <c r="AC106" i="260" s="1"/>
  <c r="J106" i="260" s="1"/>
  <c r="AA106" i="260"/>
  <c r="AD106" i="260" s="1"/>
  <c r="K106" i="260" s="1"/>
  <c r="AA136" i="260"/>
  <c r="AD136" i="260" s="1"/>
  <c r="K136" i="260" s="1"/>
  <c r="AA116" i="260"/>
  <c r="AD116" i="260" s="1"/>
  <c r="K116" i="260" s="1"/>
  <c r="Y146" i="260"/>
  <c r="AB146" i="260" s="1"/>
  <c r="I146" i="260" s="1"/>
  <c r="Z146" i="260"/>
  <c r="AC146" i="260" s="1"/>
  <c r="J146" i="260" s="1"/>
  <c r="AA146" i="260"/>
  <c r="AD146" i="260" s="1"/>
  <c r="K146" i="260" s="1"/>
  <c r="Y126" i="260"/>
  <c r="AB126" i="260" s="1"/>
  <c r="I126" i="260" s="1"/>
  <c r="Z126" i="260"/>
  <c r="AC126" i="260" s="1"/>
  <c r="J126" i="260" s="1"/>
  <c r="AA126" i="260"/>
  <c r="AD126" i="260" s="1"/>
  <c r="K126" i="260" s="1"/>
  <c r="G45" i="269"/>
  <c r="F29" i="221"/>
  <c r="AD74" i="264"/>
  <c r="AD60" i="264"/>
  <c r="AB174" i="260"/>
  <c r="V48" i="267"/>
  <c r="H65" i="221"/>
  <c r="H29" i="221" s="1"/>
  <c r="F68" i="221"/>
  <c r="F32" i="221" s="1"/>
  <c r="H68" i="221"/>
  <c r="H32" i="221" s="1"/>
  <c r="G65" i="221"/>
  <c r="G29" i="221" s="1"/>
  <c r="F70" i="221"/>
  <c r="F34" i="221" s="1"/>
  <c r="G68" i="221"/>
  <c r="G32" i="221" s="1"/>
  <c r="H67" i="221"/>
  <c r="H31" i="221" s="1"/>
  <c r="G67" i="221"/>
  <c r="G31" i="221" s="1"/>
  <c r="V46" i="267"/>
  <c r="V47" i="267"/>
  <c r="V49" i="267"/>
  <c r="H73" i="221"/>
  <c r="H37" i="221" s="1"/>
  <c r="F35" i="221"/>
  <c r="G73" i="221"/>
  <c r="G37" i="221" s="1"/>
  <c r="G70" i="221"/>
  <c r="G34" i="221" s="1"/>
  <c r="H70" i="221"/>
  <c r="H34" i="221" s="1"/>
  <c r="F37" i="221"/>
  <c r="I8" i="269"/>
  <c r="Z2" i="260" l="1"/>
  <c r="T12" i="260"/>
  <c r="T23" i="260"/>
  <c r="T45" i="260"/>
  <c r="T34" i="260"/>
  <c r="Y11" i="270"/>
  <c r="AB11" i="270" s="1"/>
  <c r="Y15" i="270"/>
  <c r="AB15" i="270" s="1"/>
  <c r="Y19" i="270"/>
  <c r="AB19" i="270" s="1"/>
  <c r="Z7" i="270"/>
  <c r="AC7" i="270" s="1"/>
  <c r="K7" i="270" s="1"/>
  <c r="Z11" i="270"/>
  <c r="AC11" i="270" s="1"/>
  <c r="Z15" i="270"/>
  <c r="AC15" i="270" s="1"/>
  <c r="Z19" i="270"/>
  <c r="AC19" i="270" s="1"/>
  <c r="Y7" i="270"/>
  <c r="AB7" i="270" s="1"/>
  <c r="J7" i="270" s="1"/>
  <c r="X7" i="270"/>
  <c r="AA7" i="270" s="1"/>
  <c r="AI54" i="264" s="1"/>
  <c r="X19" i="270"/>
  <c r="AA19" i="270" s="1"/>
  <c r="X15" i="270"/>
  <c r="AA15" i="270" s="1"/>
  <c r="X11" i="270"/>
  <c r="AA11" i="270" s="1"/>
  <c r="Z10" i="270"/>
  <c r="AC10" i="270" s="1"/>
  <c r="Z14" i="270"/>
  <c r="AC14" i="270" s="1"/>
  <c r="Z18" i="270"/>
  <c r="AC18" i="270" s="1"/>
  <c r="Z22" i="270"/>
  <c r="AC22" i="270" s="1"/>
  <c r="Y10" i="270"/>
  <c r="AB10" i="270" s="1"/>
  <c r="Y14" i="270"/>
  <c r="AB14" i="270" s="1"/>
  <c r="Y18" i="270"/>
  <c r="AB18" i="270" s="1"/>
  <c r="Y22" i="270"/>
  <c r="AB22" i="270" s="1"/>
  <c r="X10" i="270"/>
  <c r="AA10" i="270" s="1"/>
  <c r="X14" i="270"/>
  <c r="AA14" i="270" s="1"/>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AA17" i="270" s="1"/>
  <c r="X21" i="270"/>
  <c r="AA21" i="270" s="1"/>
  <c r="Y20" i="270"/>
  <c r="AB20" i="270" s="1"/>
  <c r="Y8" i="270"/>
  <c r="AB8" i="270" s="1"/>
  <c r="Z8" i="270"/>
  <c r="AC8" i="270" s="1"/>
  <c r="AK61" i="264" s="1"/>
  <c r="Z12" i="270"/>
  <c r="AC12" i="270" s="1"/>
  <c r="Z16" i="270"/>
  <c r="AC16" i="270" s="1"/>
  <c r="Z20" i="270"/>
  <c r="AC20" i="270" s="1"/>
  <c r="Y12" i="270"/>
  <c r="AB12" i="270" s="1"/>
  <c r="Y16" i="270"/>
  <c r="AB16" i="270" s="1"/>
  <c r="X8" i="270"/>
  <c r="AA8" i="270" s="1"/>
  <c r="X20" i="270"/>
  <c r="AA20" i="270" s="1"/>
  <c r="X12" i="270"/>
  <c r="AA12" i="270" s="1"/>
  <c r="X16" i="270"/>
  <c r="AA16" i="270" s="1"/>
  <c r="AB196" i="260"/>
  <c r="AD196" i="260"/>
  <c r="AC196" i="260"/>
  <c r="T137" i="260"/>
  <c r="T149" i="260"/>
  <c r="T159" i="260"/>
  <c r="T158" i="260"/>
  <c r="T146" i="260"/>
  <c r="T141" i="260"/>
  <c r="T147" i="260"/>
  <c r="T164" i="260"/>
  <c r="T134" i="260"/>
  <c r="T154" i="260"/>
  <c r="T169" i="260"/>
  <c r="AB206" i="260"/>
  <c r="AC206" i="260"/>
  <c r="AD206" i="260"/>
  <c r="AA156" i="260"/>
  <c r="AD156" i="260" s="1"/>
  <c r="K156" i="260" s="1"/>
  <c r="Y156" i="260"/>
  <c r="AB156" i="260" s="1"/>
  <c r="I156" i="260" s="1"/>
  <c r="Z156" i="260"/>
  <c r="AC156" i="260" s="1"/>
  <c r="J156" i="260" s="1"/>
  <c r="J130" i="260"/>
  <c r="T162" i="260"/>
  <c r="T161" i="260"/>
  <c r="J140" i="260"/>
  <c r="I140" i="260"/>
  <c r="I150" i="260"/>
  <c r="J150" i="260"/>
  <c r="K150" i="260"/>
  <c r="I130" i="260"/>
  <c r="K130" i="260"/>
  <c r="I160" i="260"/>
  <c r="J160" i="260"/>
  <c r="K160" i="260"/>
  <c r="K140" i="260"/>
  <c r="T145" i="260"/>
  <c r="T138" i="260"/>
  <c r="T136" i="260"/>
  <c r="T132" i="260"/>
  <c r="T133" i="260"/>
  <c r="T165" i="260"/>
  <c r="T139" i="260"/>
  <c r="T144" i="260"/>
  <c r="T37" i="260"/>
  <c r="T157" i="260"/>
  <c r="T143" i="260"/>
  <c r="T142" i="260"/>
  <c r="T152" i="260"/>
  <c r="T163" i="260"/>
  <c r="T151" i="260"/>
  <c r="T155" i="260"/>
  <c r="T167" i="260"/>
  <c r="T131" i="260"/>
  <c r="T135" i="260"/>
  <c r="T153" i="260"/>
  <c r="K80" i="260"/>
  <c r="T78" i="260"/>
  <c r="I82" i="260"/>
  <c r="T82" i="260" s="1"/>
  <c r="I70" i="260"/>
  <c r="I64" i="260"/>
  <c r="T64" i="260" s="1"/>
  <c r="I87" i="260"/>
  <c r="T87" i="260" s="1"/>
  <c r="I85" i="260"/>
  <c r="T85" i="260" s="1"/>
  <c r="I62" i="260"/>
  <c r="T62" i="260" s="1"/>
  <c r="I57" i="260"/>
  <c r="T57" i="260" s="1"/>
  <c r="I54" i="260"/>
  <c r="T54" i="260" s="1"/>
  <c r="I36" i="260"/>
  <c r="T36" i="260" s="1"/>
  <c r="I123" i="260"/>
  <c r="T123" i="260" s="1"/>
  <c r="J28" i="260"/>
  <c r="T28" i="260" s="1"/>
  <c r="J60" i="260"/>
  <c r="K70" i="260"/>
  <c r="K90" i="260"/>
  <c r="I44" i="260"/>
  <c r="T44" i="260" s="1"/>
  <c r="I80" i="260"/>
  <c r="I129" i="260"/>
  <c r="T129" i="260" s="1"/>
  <c r="J90" i="260"/>
  <c r="I33" i="260"/>
  <c r="T33" i="260" s="1"/>
  <c r="I52" i="260"/>
  <c r="T52" i="260" s="1"/>
  <c r="J80" i="260"/>
  <c r="K60" i="260"/>
  <c r="J50" i="260"/>
  <c r="T58" i="260"/>
  <c r="K50" i="260"/>
  <c r="T179" i="260"/>
  <c r="T118" i="260"/>
  <c r="I95" i="260"/>
  <c r="T95" i="260" s="1"/>
  <c r="I51" i="260"/>
  <c r="T51" i="260" s="1"/>
  <c r="J70" i="260"/>
  <c r="I74" i="260"/>
  <c r="T74" i="260" s="1"/>
  <c r="T98" i="260"/>
  <c r="I90" i="260"/>
  <c r="I79" i="260"/>
  <c r="T79" i="260" s="1"/>
  <c r="I32" i="260"/>
  <c r="T32" i="260" s="1"/>
  <c r="I89" i="260"/>
  <c r="T89" i="260" s="1"/>
  <c r="I60" i="260"/>
  <c r="T107" i="260"/>
  <c r="T71" i="260"/>
  <c r="T114" i="260"/>
  <c r="T69" i="260"/>
  <c r="T41" i="260"/>
  <c r="T101" i="260"/>
  <c r="T81" i="260"/>
  <c r="T39" i="260"/>
  <c r="T93" i="260"/>
  <c r="T111" i="260"/>
  <c r="T110" i="260"/>
  <c r="T126" i="260"/>
  <c r="T94" i="260"/>
  <c r="T105" i="260"/>
  <c r="T42" i="260"/>
  <c r="T40" i="260"/>
  <c r="T106" i="260"/>
  <c r="T122" i="260"/>
  <c r="T120" i="260"/>
  <c r="T113" i="260"/>
  <c r="T121" i="260"/>
  <c r="T124" i="260"/>
  <c r="T73" i="260"/>
  <c r="T125" i="260"/>
  <c r="T76" i="260"/>
  <c r="T67" i="260"/>
  <c r="T59" i="260"/>
  <c r="T43" i="260"/>
  <c r="T56" i="260"/>
  <c r="T97" i="260"/>
  <c r="T119" i="260"/>
  <c r="T104" i="260"/>
  <c r="T99" i="260"/>
  <c r="T84" i="260"/>
  <c r="T72" i="260"/>
  <c r="T116" i="260"/>
  <c r="T102" i="260"/>
  <c r="T47" i="260"/>
  <c r="T77" i="260"/>
  <c r="T112" i="260"/>
  <c r="T63" i="260"/>
  <c r="T109" i="260"/>
  <c r="T29" i="260"/>
  <c r="T61" i="260"/>
  <c r="T115" i="260"/>
  <c r="T31" i="260"/>
  <c r="T75" i="260"/>
  <c r="T65" i="260"/>
  <c r="T127" i="260"/>
  <c r="T92" i="260"/>
  <c r="T86" i="260"/>
  <c r="T66" i="260"/>
  <c r="T117" i="260"/>
  <c r="T38" i="260"/>
  <c r="T55" i="260"/>
  <c r="T103" i="260"/>
  <c r="T83" i="260"/>
  <c r="T49" i="260"/>
  <c r="T91" i="260"/>
  <c r="T30" i="260"/>
  <c r="T53" i="260"/>
  <c r="T96" i="260"/>
  <c r="T35" i="260"/>
  <c r="BE38" i="264"/>
  <c r="BD38" i="264"/>
  <c r="BF38" i="264"/>
  <c r="H71" i="221"/>
  <c r="H35" i="221" s="1"/>
  <c r="G71" i="221"/>
  <c r="G35" i="221" s="1"/>
  <c r="T150" i="260" l="1"/>
  <c r="T140" i="260"/>
  <c r="T156" i="260"/>
  <c r="Y166" i="260"/>
  <c r="AB166" i="260" s="1"/>
  <c r="Z166" i="260"/>
  <c r="AC166" i="260" s="1"/>
  <c r="AA166" i="260"/>
  <c r="AD166" i="260" s="1"/>
  <c r="T80" i="260"/>
  <c r="T130" i="260"/>
  <c r="T160" i="260"/>
  <c r="T50" i="260"/>
  <c r="T70" i="260"/>
  <c r="T90" i="260"/>
  <c r="J18" i="270"/>
  <c r="AP75" i="264"/>
  <c r="AS75" i="264" s="1"/>
  <c r="AS74" i="264" s="1"/>
  <c r="I18" i="270"/>
  <c r="AO75" i="264"/>
  <c r="AR75" i="264" s="1"/>
  <c r="AR74" i="264" s="1"/>
  <c r="K18" i="270"/>
  <c r="AQ75" i="264"/>
  <c r="AT75" i="264" s="1"/>
  <c r="AT74" i="264" s="1"/>
  <c r="J17" i="270"/>
  <c r="AP68" i="264"/>
  <c r="AS68" i="264" s="1"/>
  <c r="AS67" i="264" s="1"/>
  <c r="I17" i="270"/>
  <c r="AO68" i="264"/>
  <c r="AR68" i="264" s="1"/>
  <c r="AR67" i="264" s="1"/>
  <c r="K17" i="270"/>
  <c r="AQ68" i="264"/>
  <c r="AT68" i="264" s="1"/>
  <c r="AT67" i="264" s="1"/>
  <c r="T60" i="260"/>
  <c r="I15" i="270"/>
  <c r="AO54" i="264"/>
  <c r="J15" i="270"/>
  <c r="AP54" i="264"/>
  <c r="K15" i="270"/>
  <c r="AQ54" i="264"/>
  <c r="AT54" i="264" s="1"/>
  <c r="AT53" i="264" s="1"/>
  <c r="I16" i="270"/>
  <c r="AO61" i="264"/>
  <c r="J16" i="270"/>
  <c r="AP61" i="264"/>
  <c r="K16" i="270"/>
  <c r="AQ61" i="264"/>
  <c r="T100" i="260"/>
  <c r="T46" i="260"/>
  <c r="I11" i="270"/>
  <c r="AL54" i="264"/>
  <c r="AL53" i="264" s="1"/>
  <c r="AJ54" i="264"/>
  <c r="BE54" i="264" s="1"/>
  <c r="AK54" i="264"/>
  <c r="BF54" i="264" s="1"/>
  <c r="J14" i="270"/>
  <c r="AM75" i="264"/>
  <c r="AM74" i="264" s="1"/>
  <c r="AP74" i="264"/>
  <c r="K14" i="270"/>
  <c r="AN75" i="264"/>
  <c r="AN74" i="264" s="1"/>
  <c r="I13" i="270"/>
  <c r="AL68" i="264"/>
  <c r="AL67" i="264" s="1"/>
  <c r="K13" i="270"/>
  <c r="AQ67" i="264"/>
  <c r="AN68" i="264"/>
  <c r="AN67" i="264" s="1"/>
  <c r="I14" i="270"/>
  <c r="AL75" i="264"/>
  <c r="AL74" i="264" s="1"/>
  <c r="J13" i="270"/>
  <c r="AM68" i="264"/>
  <c r="AM67" i="264" s="1"/>
  <c r="K11" i="270"/>
  <c r="AN54" i="264"/>
  <c r="AN53" i="264" s="1"/>
  <c r="I7" i="270"/>
  <c r="J12" i="270"/>
  <c r="AM61" i="264"/>
  <c r="AM60" i="264" s="1"/>
  <c r="J11" i="270"/>
  <c r="AM54" i="264"/>
  <c r="AM53" i="264" s="1"/>
  <c r="K12" i="270"/>
  <c r="AN61" i="264"/>
  <c r="AN60" i="264" s="1"/>
  <c r="I12" i="270"/>
  <c r="AL61" i="264"/>
  <c r="AL60" i="264" s="1"/>
  <c r="BD81" i="264"/>
  <c r="AI61" i="264"/>
  <c r="BE81" i="264"/>
  <c r="AJ61" i="264"/>
  <c r="BE61" i="264" s="1"/>
  <c r="BD54" i="264"/>
  <c r="J10" i="270"/>
  <c r="AJ75" i="264"/>
  <c r="BE75" i="264" s="1"/>
  <c r="K10" i="270"/>
  <c r="AK75" i="264"/>
  <c r="BF75" i="264" s="1"/>
  <c r="AA9" i="270"/>
  <c r="BD82" i="264"/>
  <c r="AB9" i="270"/>
  <c r="BE82" i="264"/>
  <c r="AC9" i="270"/>
  <c r="BF82" i="264"/>
  <c r="I10" i="270"/>
  <c r="AI75" i="264"/>
  <c r="I8" i="270"/>
  <c r="AI53" i="264"/>
  <c r="BD53" i="264" s="1"/>
  <c r="J8" i="270"/>
  <c r="K8" i="270"/>
  <c r="BF61" i="264"/>
  <c r="BF81" i="264"/>
  <c r="AD9" i="260"/>
  <c r="AC9" i="260"/>
  <c r="AC18" i="260"/>
  <c r="AD18" i="260"/>
  <c r="AD7" i="260"/>
  <c r="K7" i="260" s="1"/>
  <c r="AB16" i="260"/>
  <c r="AC15" i="260"/>
  <c r="AD20" i="260"/>
  <c r="K20" i="260" s="1"/>
  <c r="AC7" i="260"/>
  <c r="J7" i="260" s="1"/>
  <c r="AD14" i="260"/>
  <c r="AD13" i="260"/>
  <c r="AB27" i="260"/>
  <c r="AC26" i="260"/>
  <c r="AD25" i="260"/>
  <c r="AD24" i="260"/>
  <c r="AC20" i="260"/>
  <c r="J20" i="260" s="1"/>
  <c r="AB7" i="260"/>
  <c r="I7" i="260" s="1"/>
  <c r="AB19" i="260"/>
  <c r="AB26" i="260"/>
  <c r="AB15" i="260"/>
  <c r="AO74" i="264" l="1"/>
  <c r="AQ53" i="264"/>
  <c r="AP67" i="264"/>
  <c r="AO67" i="264"/>
  <c r="K166" i="260"/>
  <c r="AQ74" i="264"/>
  <c r="J166" i="260"/>
  <c r="I166" i="260"/>
  <c r="AP60" i="264"/>
  <c r="AS61" i="264"/>
  <c r="AS60" i="264" s="1"/>
  <c r="AO53" i="264"/>
  <c r="AR54" i="264"/>
  <c r="AR53" i="264" s="1"/>
  <c r="AQ60" i="264"/>
  <c r="AT61" i="264"/>
  <c r="AT60" i="264" s="1"/>
  <c r="AO60" i="264"/>
  <c r="AR61" i="264"/>
  <c r="AR60" i="264" s="1"/>
  <c r="AP53" i="264"/>
  <c r="AS54" i="264"/>
  <c r="AS53" i="264" s="1"/>
  <c r="I19" i="260"/>
  <c r="T19" i="260" s="1"/>
  <c r="AK53" i="264"/>
  <c r="BF53" i="264" s="1"/>
  <c r="AJ53" i="264"/>
  <c r="BE53" i="264" s="1"/>
  <c r="AI60" i="264"/>
  <c r="BD60" i="264" s="1"/>
  <c r="BD61" i="264"/>
  <c r="I9" i="270"/>
  <c r="AI68" i="264"/>
  <c r="K9" i="270"/>
  <c r="AK68" i="264"/>
  <c r="J9" i="270"/>
  <c r="AJ68" i="264"/>
  <c r="AJ60" i="264"/>
  <c r="BE60" i="264" s="1"/>
  <c r="AK60" i="264"/>
  <c r="BF60" i="264" s="1"/>
  <c r="T7" i="260"/>
  <c r="BD75" i="264"/>
  <c r="AI74" i="264"/>
  <c r="BD74" i="264" s="1"/>
  <c r="AK74" i="264"/>
  <c r="BF74" i="264" s="1"/>
  <c r="AJ74" i="264"/>
  <c r="BE74" i="264" s="1"/>
  <c r="AC17" i="260"/>
  <c r="AD6" i="260"/>
  <c r="AD17" i="260"/>
  <c r="AC6" i="260"/>
  <c r="AB14" i="260"/>
  <c r="AB20" i="260"/>
  <c r="AB25" i="260"/>
  <c r="AB18" i="260"/>
  <c r="AB24" i="260"/>
  <c r="AB13" i="260"/>
  <c r="T166" i="260" l="1"/>
  <c r="BE37" i="264"/>
  <c r="I20" i="260"/>
  <c r="T20"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7" i="260" l="1"/>
  <c r="F69" i="260"/>
  <c r="F109" i="260" s="1"/>
  <c r="C69" i="260"/>
  <c r="C109" i="260" s="1"/>
  <c r="O26" i="260"/>
  <c r="T26" i="260" s="1"/>
  <c r="G68" i="260"/>
  <c r="G108" i="260" s="1"/>
  <c r="F68" i="260"/>
  <c r="F108" i="260" s="1"/>
  <c r="C68" i="260"/>
  <c r="C108" i="260" s="1"/>
  <c r="O25" i="260"/>
  <c r="F25" i="260"/>
  <c r="F67" i="260" s="1"/>
  <c r="F107" i="260" s="1"/>
  <c r="C67" i="260"/>
  <c r="C107" i="260" s="1"/>
  <c r="O24" i="260"/>
  <c r="G66" i="260"/>
  <c r="G106" i="260" s="1"/>
  <c r="F24" i="260"/>
  <c r="F66" i="260" s="1"/>
  <c r="F106" i="260" s="1"/>
  <c r="C66" i="260"/>
  <c r="C106" i="260" s="1"/>
  <c r="O22" i="260"/>
  <c r="G65" i="260"/>
  <c r="G105" i="260" s="1"/>
  <c r="F22" i="260"/>
  <c r="F65" i="260" s="1"/>
  <c r="F105" i="260" s="1"/>
  <c r="C65" i="260"/>
  <c r="C105" i="260" s="1"/>
  <c r="O21" i="260"/>
  <c r="G64" i="260"/>
  <c r="G104" i="260" s="1"/>
  <c r="F21" i="260"/>
  <c r="F64" i="260" s="1"/>
  <c r="F104" i="260" s="1"/>
  <c r="C64" i="260"/>
  <c r="C104" i="260" s="1"/>
  <c r="G62" i="260"/>
  <c r="G102" i="260" s="1"/>
  <c r="F19" i="260"/>
  <c r="F62" i="260" s="1"/>
  <c r="F102" i="260" s="1"/>
  <c r="C62" i="260"/>
  <c r="C102" i="260" s="1"/>
  <c r="O18" i="260"/>
  <c r="G61" i="260"/>
  <c r="G101" i="260" s="1"/>
  <c r="F18" i="260"/>
  <c r="F61" i="260" s="1"/>
  <c r="F101" i="260" s="1"/>
  <c r="C61" i="260"/>
  <c r="C101" i="260" s="1"/>
  <c r="O17" i="260"/>
  <c r="G60" i="260"/>
  <c r="G100" i="260" s="1"/>
  <c r="F17" i="260"/>
  <c r="F60" i="260" s="1"/>
  <c r="F100" i="260" s="1"/>
  <c r="C60" i="260"/>
  <c r="C100" i="260" s="1"/>
  <c r="O16" i="260"/>
  <c r="F59" i="260"/>
  <c r="F99" i="260" s="1"/>
  <c r="C59" i="260"/>
  <c r="C99" i="260" s="1"/>
  <c r="O15" i="260"/>
  <c r="I15" i="260" s="1"/>
  <c r="G15" i="260"/>
  <c r="G58" i="260" s="1"/>
  <c r="G98" i="260" s="1"/>
  <c r="F15" i="260"/>
  <c r="F58" i="260" s="1"/>
  <c r="F98" i="260" s="1"/>
  <c r="C58" i="260"/>
  <c r="C98" i="260" s="1"/>
  <c r="O14" i="260"/>
  <c r="G14" i="260"/>
  <c r="F14" i="260"/>
  <c r="F57" i="260" s="1"/>
  <c r="F97" i="260" s="1"/>
  <c r="C57" i="260"/>
  <c r="C97" i="260" s="1"/>
  <c r="O13" i="260"/>
  <c r="G13" i="260"/>
  <c r="G56" i="260" s="1"/>
  <c r="G96" i="260" s="1"/>
  <c r="F13" i="260"/>
  <c r="F56" i="260" s="1"/>
  <c r="F96" i="260" s="1"/>
  <c r="C56" i="260"/>
  <c r="C96" i="260" s="1"/>
  <c r="O11" i="260"/>
  <c r="G11" i="260"/>
  <c r="G55" i="260" s="1"/>
  <c r="G95" i="260" s="1"/>
  <c r="F11" i="260"/>
  <c r="F55" i="260" s="1"/>
  <c r="F95" i="260" s="1"/>
  <c r="C55" i="260"/>
  <c r="C95" i="260" s="1"/>
  <c r="O10" i="260"/>
  <c r="G10" i="260"/>
  <c r="G54" i="260" s="1"/>
  <c r="G94" i="260" s="1"/>
  <c r="F10" i="260"/>
  <c r="F54" i="260" s="1"/>
  <c r="F94" i="260" s="1"/>
  <c r="C54" i="260"/>
  <c r="C94" i="260" s="1"/>
  <c r="O9" i="260"/>
  <c r="G9" i="260"/>
  <c r="G53" i="260" s="1"/>
  <c r="G93" i="260" s="1"/>
  <c r="F9" i="260"/>
  <c r="F53" i="260" s="1"/>
  <c r="F93" i="260" s="1"/>
  <c r="C53" i="260"/>
  <c r="C93" i="260" s="1"/>
  <c r="O8" i="260"/>
  <c r="G8" i="260"/>
  <c r="G52" i="260" s="1"/>
  <c r="G92" i="260" s="1"/>
  <c r="F8" i="260"/>
  <c r="F52" i="260" s="1"/>
  <c r="F92" i="260" s="1"/>
  <c r="C52" i="260"/>
  <c r="C92" i="260" s="1"/>
  <c r="G7" i="260"/>
  <c r="G51" i="260" s="1"/>
  <c r="G91" i="260" s="1"/>
  <c r="F7" i="260"/>
  <c r="F51" i="260" s="1"/>
  <c r="F91" i="260" s="1"/>
  <c r="C51" i="260"/>
  <c r="C91" i="260" s="1"/>
  <c r="O6" i="260"/>
  <c r="G50" i="260"/>
  <c r="G90" i="260" s="1"/>
  <c r="F50" i="260"/>
  <c r="F90" i="260" s="1"/>
  <c r="C50" i="260"/>
  <c r="C90" i="260" s="1"/>
  <c r="F181" i="260" l="1"/>
  <c r="F141" i="260"/>
  <c r="G181" i="260"/>
  <c r="G141" i="260"/>
  <c r="C182" i="260"/>
  <c r="C142" i="260"/>
  <c r="F175" i="260"/>
  <c r="F135" i="260"/>
  <c r="G182" i="260"/>
  <c r="G142" i="260"/>
  <c r="F174" i="260"/>
  <c r="F134" i="260"/>
  <c r="G184" i="260"/>
  <c r="G144" i="260"/>
  <c r="K18" i="260"/>
  <c r="J18" i="260"/>
  <c r="I18" i="260"/>
  <c r="K21" i="260"/>
  <c r="J21" i="260"/>
  <c r="C185" i="260"/>
  <c r="C145" i="260"/>
  <c r="F185" i="260"/>
  <c r="F145" i="260"/>
  <c r="C184" i="260"/>
  <c r="C144" i="260"/>
  <c r="G185" i="260"/>
  <c r="G145" i="260"/>
  <c r="F182" i="260"/>
  <c r="F142" i="260"/>
  <c r="F177" i="260"/>
  <c r="F137" i="260"/>
  <c r="J22" i="260"/>
  <c r="K22" i="260"/>
  <c r="G175" i="260"/>
  <c r="G135" i="260"/>
  <c r="C186" i="260"/>
  <c r="C146" i="260"/>
  <c r="F176" i="260"/>
  <c r="F136" i="260"/>
  <c r="F186" i="260"/>
  <c r="F146" i="260"/>
  <c r="G176" i="260"/>
  <c r="G136" i="260"/>
  <c r="G186" i="260"/>
  <c r="G146" i="260"/>
  <c r="F178" i="260"/>
  <c r="F138" i="260"/>
  <c r="J24" i="260"/>
  <c r="K24" i="260"/>
  <c r="I24" i="260"/>
  <c r="C175" i="260"/>
  <c r="C135" i="260"/>
  <c r="K11" i="260"/>
  <c r="J11" i="260"/>
  <c r="J13" i="260"/>
  <c r="K13" i="260"/>
  <c r="I13" i="260"/>
  <c r="C187" i="260"/>
  <c r="C147" i="260"/>
  <c r="K10" i="260"/>
  <c r="J10" i="260"/>
  <c r="G171" i="260"/>
  <c r="G131" i="260"/>
  <c r="F187" i="260"/>
  <c r="F147" i="260"/>
  <c r="C170" i="260"/>
  <c r="C130" i="260"/>
  <c r="C178" i="260"/>
  <c r="C138" i="260"/>
  <c r="C172" i="260"/>
  <c r="C132" i="260"/>
  <c r="C179" i="260"/>
  <c r="C139" i="260"/>
  <c r="J25" i="260"/>
  <c r="K25" i="260"/>
  <c r="I25" i="260"/>
  <c r="F184" i="260"/>
  <c r="F144" i="260"/>
  <c r="F172" i="260"/>
  <c r="F132" i="260"/>
  <c r="F179" i="260"/>
  <c r="F139" i="260"/>
  <c r="C188" i="260"/>
  <c r="C148" i="260"/>
  <c r="C174" i="260"/>
  <c r="C134" i="260"/>
  <c r="G178" i="260"/>
  <c r="G138" i="260"/>
  <c r="G172" i="260"/>
  <c r="G132" i="260"/>
  <c r="J16" i="260"/>
  <c r="K16" i="260"/>
  <c r="I16" i="260"/>
  <c r="F188" i="260"/>
  <c r="F148" i="260"/>
  <c r="F170" i="260"/>
  <c r="F130" i="260"/>
  <c r="C171" i="260"/>
  <c r="C131" i="260"/>
  <c r="I8" i="260"/>
  <c r="J8" i="260"/>
  <c r="K8" i="260"/>
  <c r="G188" i="260"/>
  <c r="G148" i="260"/>
  <c r="F171" i="260"/>
  <c r="F131" i="260"/>
  <c r="F180" i="260"/>
  <c r="F140" i="260"/>
  <c r="C173" i="260"/>
  <c r="C133" i="260"/>
  <c r="G180" i="260"/>
  <c r="G140" i="260"/>
  <c r="C189" i="260"/>
  <c r="C149" i="260"/>
  <c r="G174" i="260"/>
  <c r="G134" i="260"/>
  <c r="C177" i="260"/>
  <c r="C137" i="260"/>
  <c r="C180" i="260"/>
  <c r="C140" i="260"/>
  <c r="G173" i="260"/>
  <c r="G133" i="260"/>
  <c r="I17" i="260"/>
  <c r="K17" i="260"/>
  <c r="J17" i="260"/>
  <c r="F189" i="260"/>
  <c r="F149" i="260"/>
  <c r="C176" i="260"/>
  <c r="C136" i="260"/>
  <c r="G170" i="260"/>
  <c r="G130" i="260"/>
  <c r="J14" i="260"/>
  <c r="K14" i="260"/>
  <c r="I14" i="260"/>
  <c r="I6" i="260"/>
  <c r="K6" i="260"/>
  <c r="J6" i="260"/>
  <c r="F173" i="260"/>
  <c r="F133" i="260"/>
  <c r="J9" i="260"/>
  <c r="K9" i="260"/>
  <c r="C181" i="260"/>
  <c r="C141" i="260"/>
  <c r="K27" i="260"/>
  <c r="J27" i="260"/>
  <c r="I27" i="260"/>
  <c r="T15" i="260"/>
  <c r="G57" i="260"/>
  <c r="G97" i="260" s="1"/>
  <c r="G16" i="260"/>
  <c r="G59" i="260" s="1"/>
  <c r="G99" i="260" s="1"/>
  <c r="G67" i="260"/>
  <c r="G107" i="260" s="1"/>
  <c r="G27" i="260"/>
  <c r="G69" i="260" s="1"/>
  <c r="G109" i="260" s="1"/>
  <c r="E109" i="231"/>
  <c r="C15" i="232" s="1"/>
  <c r="B15" i="232"/>
  <c r="E15" i="232"/>
  <c r="T6" i="260" l="1"/>
  <c r="T18" i="260"/>
  <c r="T13" i="260"/>
  <c r="T16" i="260"/>
  <c r="T24" i="260"/>
  <c r="T14" i="260"/>
  <c r="G187" i="260"/>
  <c r="G147" i="260"/>
  <c r="G179" i="260"/>
  <c r="G139" i="260"/>
  <c r="G189" i="260"/>
  <c r="G149" i="260"/>
  <c r="G177" i="260"/>
  <c r="G137" i="260"/>
  <c r="T17" i="260"/>
  <c r="T8" i="260"/>
  <c r="T27" i="260"/>
  <c r="T25" i="260"/>
  <c r="I11" i="234"/>
  <c r="I10" i="234" l="1"/>
  <c r="I9" i="234"/>
  <c r="I8" i="234"/>
  <c r="I7" i="234"/>
  <c r="I6" i="234"/>
  <c r="I12" i="234" l="1"/>
  <c r="D9" i="232" l="1"/>
  <c r="D12" i="232"/>
  <c r="D13" i="232"/>
  <c r="D14" i="232"/>
  <c r="D16" i="232" l="1"/>
  <c r="E13" i="232" l="1"/>
  <c r="B73" i="260"/>
  <c r="B113" i="260" s="1"/>
  <c r="E107" i="231"/>
  <c r="C13" i="232" s="1"/>
  <c r="B13" i="232"/>
  <c r="B193" i="260" l="1"/>
  <c r="B153" i="260"/>
  <c r="B53" i="260"/>
  <c r="B93" i="260" s="1"/>
  <c r="B173" i="260" l="1"/>
  <c r="B133" i="260"/>
  <c r="B86" i="260"/>
  <c r="B126" i="260" s="1"/>
  <c r="B206" i="260" l="1"/>
  <c r="B166" i="260"/>
  <c r="B11" i="270"/>
  <c r="B77" i="260"/>
  <c r="B117" i="260" s="1"/>
  <c r="B12" i="270"/>
  <c r="B87" i="260"/>
  <c r="B127" i="260" s="1"/>
  <c r="B56" i="260"/>
  <c r="B96" i="260" s="1"/>
  <c r="B57" i="260"/>
  <c r="B97" i="260" s="1"/>
  <c r="B66" i="260"/>
  <c r="B106" i="260" s="1"/>
  <c r="B67" i="260"/>
  <c r="B107" i="260" s="1"/>
  <c r="E18" i="232"/>
  <c r="E112" i="231"/>
  <c r="B18" i="232"/>
  <c r="C18" i="232" l="1"/>
  <c r="B186" i="260"/>
  <c r="B146" i="260"/>
  <c r="B207" i="260"/>
  <c r="B167" i="260"/>
  <c r="B197" i="260"/>
  <c r="B157" i="260"/>
  <c r="B177" i="260"/>
  <c r="B137" i="260"/>
  <c r="B187" i="260"/>
  <c r="B147" i="260"/>
  <c r="B176" i="260"/>
  <c r="B136" i="260"/>
  <c r="B20" i="270"/>
  <c r="B16" i="270"/>
  <c r="B19" i="270"/>
  <c r="B15" i="270"/>
  <c r="D29" i="232"/>
  <c r="D28" i="232"/>
  <c r="D26" i="232"/>
  <c r="D25" i="232"/>
  <c r="B72" i="260" l="1"/>
  <c r="B112" i="260" s="1"/>
  <c r="E28" i="232"/>
  <c r="E25" i="232"/>
  <c r="E120" i="231"/>
  <c r="C28" i="232" s="1"/>
  <c r="E119" i="231"/>
  <c r="C25" i="232" s="1"/>
  <c r="B28" i="232"/>
  <c r="B25" i="232"/>
  <c r="B24" i="232"/>
  <c r="B23" i="232"/>
  <c r="E118" i="231"/>
  <c r="C24" i="232" s="1"/>
  <c r="E117" i="231"/>
  <c r="E110" i="231"/>
  <c r="C16" i="232" s="1"/>
  <c r="E108" i="231"/>
  <c r="E106" i="231"/>
  <c r="C12" i="232" s="1"/>
  <c r="E104" i="231"/>
  <c r="C9" i="232" s="1"/>
  <c r="B13" i="270"/>
  <c r="B12" i="232"/>
  <c r="B14" i="232"/>
  <c r="B16" i="232"/>
  <c r="E24" i="232"/>
  <c r="B85" i="260"/>
  <c r="B125" i="260" s="1"/>
  <c r="B89" i="260"/>
  <c r="B129" i="260" s="1"/>
  <c r="B88" i="260"/>
  <c r="B128" i="260" s="1"/>
  <c r="B84" i="260"/>
  <c r="B124" i="260" s="1"/>
  <c r="B82" i="260"/>
  <c r="B122" i="260" s="1"/>
  <c r="B81" i="260"/>
  <c r="B121" i="260" s="1"/>
  <c r="B80" i="260"/>
  <c r="B120" i="260" s="1"/>
  <c r="B75" i="260"/>
  <c r="B115" i="260" s="1"/>
  <c r="B79" i="260"/>
  <c r="B119" i="260" s="1"/>
  <c r="B78" i="260"/>
  <c r="B118" i="260" s="1"/>
  <c r="B74" i="260"/>
  <c r="B114" i="260" s="1"/>
  <c r="B71" i="260"/>
  <c r="B111" i="260" s="1"/>
  <c r="AT7" i="238"/>
  <c r="AR7" i="238"/>
  <c r="AP7" i="238"/>
  <c r="AN7" i="238"/>
  <c r="AL7" i="238"/>
  <c r="AJ7" i="238"/>
  <c r="E16" i="232"/>
  <c r="E23" i="232"/>
  <c r="E14" i="232"/>
  <c r="E12" i="232"/>
  <c r="E9" i="232"/>
  <c r="E6" i="232"/>
  <c r="D8" i="221"/>
  <c r="D16" i="221" s="1"/>
  <c r="D7" i="221"/>
  <c r="D15" i="221" s="1"/>
  <c r="D6" i="221"/>
  <c r="D14" i="221" s="1"/>
  <c r="D5" i="221"/>
  <c r="D13" i="221" s="1"/>
  <c r="B8" i="221"/>
  <c r="B7" i="221"/>
  <c r="B6" i="221"/>
  <c r="B5" i="221"/>
  <c r="C23"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201" i="260"/>
  <c r="B161" i="260"/>
  <c r="B204" i="260"/>
  <c r="B164" i="260"/>
  <c r="B209" i="260"/>
  <c r="B169" i="260"/>
  <c r="B202" i="260"/>
  <c r="B162" i="260"/>
  <c r="B191" i="260"/>
  <c r="B151" i="260"/>
  <c r="B200" i="260"/>
  <c r="B160" i="260"/>
  <c r="B205" i="260"/>
  <c r="B165" i="260"/>
  <c r="B194" i="260"/>
  <c r="B154" i="260"/>
  <c r="B195" i="260"/>
  <c r="B155" i="260"/>
  <c r="B208" i="260"/>
  <c r="B168" i="260"/>
  <c r="B198" i="260"/>
  <c r="B158" i="260"/>
  <c r="B199" i="260"/>
  <c r="B159" i="260"/>
  <c r="B192" i="260"/>
  <c r="B152"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62" i="260"/>
  <c r="B102" i="260" s="1"/>
  <c r="B68" i="260"/>
  <c r="B108" i="260" s="1"/>
  <c r="B64" i="260"/>
  <c r="B104" i="260" s="1"/>
  <c r="B51" i="260"/>
  <c r="B91" i="260" s="1"/>
  <c r="B69" i="260"/>
  <c r="B109" i="260" s="1"/>
  <c r="B54" i="260"/>
  <c r="B94" i="260" s="1"/>
  <c r="B59" i="260"/>
  <c r="B99" i="260" s="1"/>
  <c r="B55" i="260"/>
  <c r="B95" i="260" s="1"/>
  <c r="B58" i="260"/>
  <c r="B98" i="260" s="1"/>
  <c r="B60" i="260"/>
  <c r="B100" i="260" s="1"/>
  <c r="B65" i="260"/>
  <c r="B105" i="260" s="1"/>
  <c r="B61" i="260"/>
  <c r="B101" i="260" s="1"/>
  <c r="B52" i="260"/>
  <c r="B92"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5" i="260"/>
  <c r="B135" i="260"/>
  <c r="B181" i="260"/>
  <c r="B141" i="260"/>
  <c r="B174" i="260"/>
  <c r="B134" i="260"/>
  <c r="B185" i="260"/>
  <c r="B145" i="260"/>
  <c r="B184" i="260"/>
  <c r="B144" i="260"/>
  <c r="B171" i="260"/>
  <c r="B131" i="260"/>
  <c r="B189" i="260"/>
  <c r="B149" i="260"/>
  <c r="B178" i="260"/>
  <c r="B138" i="260"/>
  <c r="B188" i="260"/>
  <c r="B148" i="260"/>
  <c r="B182" i="260"/>
  <c r="B142" i="260"/>
  <c r="B179" i="260"/>
  <c r="B139" i="260"/>
  <c r="B180" i="260"/>
  <c r="B140" i="260"/>
  <c r="B172" i="260"/>
  <c r="B132"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1" i="260"/>
  <c r="I21" i="260" l="1"/>
  <c r="T21"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2" i="260"/>
  <c r="AI17" i="264" s="1"/>
  <c r="AL63" i="264" l="1"/>
  <c r="AL62" i="264" s="1"/>
  <c r="I22" i="260"/>
  <c r="T22"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l="1"/>
  <c r="AP63" i="264"/>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T9" i="260"/>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AI10" i="264" l="1"/>
  <c r="I11" i="260"/>
  <c r="T11" i="260" s="1"/>
  <c r="I10" i="260"/>
  <c r="T10" i="260" s="1"/>
  <c r="AJ62" i="264"/>
  <c r="BE62" i="264" s="1"/>
  <c r="BE63" i="264"/>
  <c r="BF63" i="264"/>
  <c r="AK62" i="264"/>
  <c r="BF62" i="264" s="1"/>
  <c r="AI62" i="264"/>
  <c r="BD62" i="264" s="1"/>
  <c r="BD63"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4" i="264" s="1"/>
  <c r="AK55" i="264"/>
  <c r="BF55" i="264" s="1"/>
  <c r="BF83" i="264" s="1"/>
  <c r="BF85" i="264" s="1"/>
  <c r="BE70" i="264"/>
  <c r="BE84" i="264" s="1"/>
  <c r="AJ55" i="264"/>
  <c r="BE55" i="264" s="1"/>
  <c r="BE83" i="264" s="1"/>
  <c r="BE85" i="264" s="1"/>
  <c r="AI55" i="264"/>
  <c r="BD55" i="264" s="1"/>
  <c r="BD83" i="264" s="1"/>
  <c r="BD85" i="264" s="1"/>
  <c r="BD70" i="264"/>
  <c r="BD84" i="264" s="1"/>
  <c r="BD18" i="264"/>
  <c r="AI16" i="264"/>
  <c r="BD16" i="264" s="1"/>
  <c r="BD39" i="264" l="1"/>
  <c r="BD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L6" authorId="0" shapeId="0" xr:uid="{05C301E1-9D95-431A-B577-AA528C9EAE7E}">
      <text>
        <r>
          <rPr>
            <b/>
            <sz val="9"/>
            <color rgb="FF000000"/>
            <rFont val="Tahoma"/>
            <family val="2"/>
          </rPr>
          <t>Mikkel Bosack:</t>
        </r>
        <r>
          <rPr>
            <sz val="9"/>
            <color rgb="FF000000"/>
            <rFont val="Tahoma"/>
            <family val="2"/>
          </rPr>
          <t xml:space="preserve">
</t>
        </r>
        <r>
          <rPr>
            <sz val="9"/>
            <color rgb="FF000000"/>
            <rFont val="Tahoma"/>
            <family val="2"/>
          </rPr>
          <t>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38" authorId="0" shapeId="0" xr:uid="{F625180B-9758-4DFD-9801-DA3E6876D907}">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shapeId="0" xr:uid="{838F1E00-2824-411B-B048-A86E177F33DC}">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04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<sst xmlns="http://schemas.openxmlformats.org/spreadsheetml/2006/main" count="4766" uniqueCount="998">
  <si>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</si>
  <si>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</si>
  <si>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</si>
  <si>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</si>
  <si>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</si>
  <si>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</si>
  <si>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</si>
  <si>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</si>
  <si>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</si>
  <si>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</si>
  <si>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</si>
  <si>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</si>
  <si>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</si>
  <si>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</si>
  <si>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</si>
  <si>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</si>
  <si>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</si>
  <si>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</si>
  <si>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</si>
  <si>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</si>
  <si>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</si>
  <si>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</si>
  <si>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</si>
  <si>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</si>
  <si>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</si>
  <si>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</si>
  <si>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</si>
  <si>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</si>
  <si>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</si>
  <si>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</si>
  <si>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</si>
  <si>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</si>
  <si>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</si>
  <si>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</si>
  <si>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</si>
  <si>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</si>
  <si>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</si>
  <si>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</si>
  <si>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</si>
  <si>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</si>
  <si>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</si>
  <si>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</si>
  <si>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</si>
  <si>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</si>
  <si>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</si>
  <si>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</si>
  <si>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</si>
  <si>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</si>
  <si>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</si>
  <si>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</si>
  <si>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</si>
  <si>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</si>
  <si>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</si>
  <si>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</si>
  <si>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</si>
  <si>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</si>
  <si>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</si>
  <si>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</si>
  <si>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</si>
  <si>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</si>
  <si>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</si>
  <si>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</si>
  <si>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</si>
  <si>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</si>
  <si>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</si>
  <si>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</si>
  <si>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</si>
  <si>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</si>
  <si>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</si>
  <si>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</si>
  <si>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</si>
  <si>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</si>
  <si>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</si>
  <si>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</si>
  <si>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</si>
  <si>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</si>
  <si>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</si>
  <si>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</si>
  <si>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</si>
  <si>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</si>
  <si>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</si>
  <si>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</si>
  <si>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</si>
  <si>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</si>
  <si>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</si>
  <si>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</si>
  <si>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</si>
  <si>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</si>
  <si>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</si>
  <si>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</si>
  <si>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</si>
  <si>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</si>
  <si>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Total</t>
  </si>
  <si>
    <t>LIFE</t>
  </si>
  <si>
    <t>Year</t>
  </si>
  <si>
    <t>ELCC</t>
  </si>
  <si>
    <t>Name</t>
  </si>
  <si>
    <t>Mm2/PJ</t>
  </si>
  <si>
    <t>DAYNITE</t>
  </si>
  <si>
    <t>ELC</t>
  </si>
  <si>
    <t>CAP2ACT</t>
  </si>
  <si>
    <t>FX</t>
  </si>
  <si>
    <t>Detached</t>
  </si>
  <si>
    <t>YEAR</t>
  </si>
  <si>
    <t>ENV</t>
  </si>
  <si>
    <t>kt</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</si>
  <si>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</si>
  <si>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</si>
  <si>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</si>
  <si>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</si>
  <si>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</si>
  <si>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</si>
  <si>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</si>
  <si>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</si>
  <si>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</si>
  <si>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</si>
  <si>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</si>
  <si>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</si>
  <si>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</si>
  <si>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</si>
  <si>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</si>
  <si>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</si>
  <si>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</si>
  <si>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</si>
  <si>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</si>
  <si>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</si>
  <si>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</si>
  <si>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</si>
  <si>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</si>
  <si>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</si>
  <si>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</si>
  <si>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</si>
  <si>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</si>
  <si>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</si>
  <si>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</si>
  <si>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</si>
  <si>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</si>
  <si>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</si>
  <si>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</si>
  <si>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</si>
  <si>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</si>
  <si>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</si>
  <si>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</si>
  <si>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</si>
  <si>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</si>
  <si>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</si>
  <si>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</si>
  <si>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</si>
  <si>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</si>
  <si>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</si>
  <si>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</si>
  <si>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</si>
  <si>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</si>
  <si>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</si>
  <si>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</si>
  <si>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</si>
  <si>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</si>
  <si>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</si>
  <si>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</si>
  <si>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</si>
  <si>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</si>
  <si>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</si>
  <si>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</si>
  <si>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</si>
  <si>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</si>
  <si>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</si>
  <si>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</si>
  <si>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</si>
  <si>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</si>
  <si>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</si>
  <si>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</si>
  <si>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</si>
  <si>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</si>
  <si>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</si>
  <si>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</si>
  <si>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</si>
  <si>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</si>
  <si>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</si>
  <si>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</si>
  <si>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</si>
  <si>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</si>
  <si>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</si>
  <si>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</si>
  <si>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</si>
  <si>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</si>
  <si>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</si>
  <si>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</si>
  <si>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</si>
  <si>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</si>
  <si>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</si>
  <si>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</si>
  <si>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</si>
  <si>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</si>
  <si>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</si>
  <si>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</si>
  <si>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</si>
  <si>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</si>
  <si>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</si>
  <si>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</si>
  <si>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</si>
  <si>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</si>
  <si>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In-depth review of the energy-efficiency of the replublic of Azerbaijan</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</si>
  <si>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</si>
  <si>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</si>
  <si>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</si>
  <si>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</si>
  <si>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</si>
  <si>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</si>
  <si>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</si>
  <si>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</si>
  <si>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</si>
  <si>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</si>
  <si>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</si>
  <si>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</si>
  <si>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</si>
  <si>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</si>
  <si>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</si>
  <si>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</si>
  <si>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</si>
  <si>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</si>
  <si>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</si>
  <si>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</si>
  <si>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</si>
  <si>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</si>
  <si>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</si>
  <si>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</si>
  <si>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</si>
  <si>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</si>
  <si>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</si>
  <si>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</si>
  <si>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</si>
  <si>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</si>
  <si>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</si>
  <si>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</si>
  <si>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</si>
  <si>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</si>
  <si>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</si>
  <si>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</si>
  <si>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</si>
  <si>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</si>
  <si>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</si>
  <si>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</si>
  <si>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</si>
  <si>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</si>
  <si>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</si>
  <si>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</si>
  <si>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</si>
  <si>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</si>
  <si>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</si>
  <si>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</si>
  <si>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</si>
  <si>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</si>
  <si>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</si>
  <si>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</si>
  <si>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</si>
  <si>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</si>
  <si>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</si>
  <si>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</si>
  <si>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</si>
  <si>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</si>
  <si>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</si>
  <si>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</si>
  <si>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</si>
  <si>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</si>
  <si>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</si>
  <si>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</si>
  <si>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</si>
  <si>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Overview Fuel Consumption</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</si>
  <si>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</si>
  <si>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</si>
  <si>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</si>
  <si>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</si>
  <si>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</si>
  <si>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</si>
  <si>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</si>
  <si>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</si>
  <si>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</si>
  <si>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</si>
  <si>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</si>
  <si>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</si>
  <si>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</si>
  <si>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</si>
  <si>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</si>
  <si>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</si>
  <si>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</si>
  <si>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</si>
  <si>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</si>
  <si>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</si>
  <si>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</si>
  <si>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</si>
  <si>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</si>
  <si>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</si>
  <si>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</si>
  <si>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</si>
  <si>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</si>
  <si>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</si>
  <si>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</si>
  <si>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</si>
  <si>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</si>
  <si>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</si>
  <si>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</si>
  <si>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</si>
  <si>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</si>
  <si>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</si>
  <si>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</si>
  <si>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</si>
  <si>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</si>
  <si>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</si>
  <si>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</si>
  <si>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</si>
  <si>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</si>
  <si>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</si>
  <si>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</si>
  <si>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</si>
  <si>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</si>
  <si>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</si>
  <si>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</si>
  <si>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</si>
  <si>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</si>
  <si>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</si>
  <si>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</si>
  <si>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</si>
  <si>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</si>
  <si>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</si>
  <si>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</si>
  <si>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</si>
  <si>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</si>
  <si>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</si>
  <si>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</si>
  <si>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</si>
  <si>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</si>
  <si>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</si>
  <si>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</si>
  <si>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</si>
  <si>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</si>
  <si>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</si>
  <si>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</si>
  <si>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</si>
  <si>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</si>
  <si>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</si>
  <si>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</si>
  <si>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</si>
  <si>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</si>
  <si>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</si>
  <si>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</si>
  <si>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</si>
  <si>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</si>
  <si>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</si>
  <si>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</si>
  <si>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</si>
  <si>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</si>
  <si>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</si>
  <si>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</si>
  <si>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</si>
  <si>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</si>
  <si>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</si>
  <si>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</si>
  <si>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</si>
  <si>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</si>
  <si>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</si>
  <si>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</si>
  <si>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</si>
  <si>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</si>
  <si>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</si>
  <si>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</si>
  <si>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</si>
  <si>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</si>
  <si>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</si>
  <si>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</si>
  <si>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</si>
  <si>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</si>
  <si>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</si>
  <si>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</si>
  <si>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</si>
  <si>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</si>
  <si>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</si>
  <si>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</si>
  <si>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</si>
  <si>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</si>
  <si>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</si>
  <si>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</si>
  <si>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</si>
  <si>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</si>
  <si>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</si>
  <si>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</si>
  <si>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</si>
  <si>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</si>
  <si>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</si>
  <si>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</si>
  <si>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</si>
  <si>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</si>
  <si>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</si>
  <si>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</si>
  <si>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</si>
  <si>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</si>
  <si>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</si>
  <si>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</si>
  <si>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</si>
  <si>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</si>
  <si>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</si>
  <si>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</si>
  <si>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</si>
  <si>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</si>
  <si>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</si>
  <si>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</si>
  <si>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</si>
  <si>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</si>
  <si>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</si>
  <si>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</si>
  <si>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</si>
  <si>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</si>
  <si>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</si>
  <si>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</si>
  <si>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</si>
  <si>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</si>
  <si>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</si>
  <si>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</si>
  <si>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</si>
  <si>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</si>
  <si>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</si>
  <si>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</si>
  <si>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</si>
  <si>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</si>
  <si>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</si>
  <si>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</si>
  <si>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</si>
  <si>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</si>
  <si>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</si>
  <si>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</si>
  <si>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</si>
  <si>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</si>
  <si>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</si>
  <si>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</si>
  <si>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</si>
  <si>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</si>
  <si>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</si>
  <si>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</si>
  <si>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</si>
  <si>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</si>
  <si>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</si>
  <si>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</si>
  <si>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</si>
  <si>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</si>
  <si>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</si>
  <si>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</si>
  <si>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</si>
  <si>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</si>
  <si>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</si>
  <si>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</si>
  <si>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</si>
  <si>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</si>
  <si>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</si>
  <si>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</si>
  <si>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</si>
  <si>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</si>
  <si>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</si>
  <si>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</si>
  <si>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</si>
  <si>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</si>
  <si>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</si>
  <si>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</si>
  <si>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</si>
  <si>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</si>
  <si>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</si>
  <si>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</si>
  <si>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</si>
  <si>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</si>
  <si>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</si>
  <si>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</si>
  <si>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</si>
  <si>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</si>
  <si>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</si>
  <si>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</si>
  <si>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</si>
  <si>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</si>
  <si>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</si>
  <si>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</si>
  <si>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</si>
  <si>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</si>
  <si>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</si>
  <si>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</si>
  <si>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</si>
  <si>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</si>
  <si>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</si>
  <si>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</si>
  <si>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</si>
  <si>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</si>
  <si>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</si>
  <si>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</si>
  <si>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</si>
  <si>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</si>
  <si>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</si>
  <si>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</si>
  <si>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</si>
  <si>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</si>
  <si>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</si>
  <si>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</si>
  <si>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</si>
  <si>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</si>
  <si>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</si>
  <si>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</si>
  <si>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</si>
  <si>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</si>
  <si>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</si>
  <si>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</si>
  <si>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</si>
  <si>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</si>
  <si>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</si>
  <si>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</si>
  <si>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</si>
  <si>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</si>
  <si>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</si>
  <si>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</si>
  <si>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</si>
  <si>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</si>
  <si>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</si>
  <si>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</si>
  <si>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</si>
  <si>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</si>
  <si>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</si>
  <si>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</si>
  <si>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</si>
  <si>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</si>
  <si>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</si>
  <si>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</si>
  <si>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</si>
  <si>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</si>
  <si>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</si>
  <si>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</si>
  <si>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</si>
  <si>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</si>
  <si>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</si>
  <si>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</si>
  <si>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</si>
  <si>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</si>
  <si>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</si>
  <si>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</si>
  <si>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</si>
  <si>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</si>
  <si>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</si>
  <si>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</si>
  <si>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</si>
  <si>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</si>
  <si>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</si>
  <si>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</si>
  <si>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</si>
  <si>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</si>
  <si>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</si>
  <si>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</si>
  <si>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</si>
  <si>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</si>
  <si>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</si>
  <si>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</si>
  <si>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</si>
  <si>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</si>
  <si>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</si>
  <si>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</si>
  <si>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</si>
  <si>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</si>
  <si>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</si>
  <si>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</si>
  <si>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</si>
  <si>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</si>
  <si>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</si>
  <si>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</si>
  <si>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</si>
  <si>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</si>
  <si>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</si>
  <si>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</si>
  <si>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</si>
  <si>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</si>
  <si>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</si>
  <si>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</si>
  <si>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</si>
  <si>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</si>
  <si>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</si>
  <si>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</si>
  <si>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</si>
  <si>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</si>
  <si>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</si>
  <si>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</si>
  <si>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</si>
  <si>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</si>
  <si>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</si>
  <si>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</si>
  <si>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</si>
  <si>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</si>
  <si>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</si>
  <si>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</si>
  <si>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</si>
  <si>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</si>
  <si>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</si>
  <si>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</si>
  <si>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</si>
  <si>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</si>
  <si>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</si>
  <si>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</si>
  <si>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</si>
  <si>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</si>
  <si>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</si>
  <si>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</si>
  <si>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</si>
  <si>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</si>
  <si>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</si>
  <si>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</si>
  <si>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</si>
  <si>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</si>
  <si>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</si>
  <si>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</si>
  <si>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</si>
  <si>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</si>
  <si>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</si>
  <si>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</si>
  <si>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</si>
  <si>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</si>
  <si>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</si>
  <si>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</si>
  <si>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</si>
  <si>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</si>
  <si>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</si>
  <si>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</si>
  <si>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</si>
  <si>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</si>
  <si>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</si>
  <si>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</si>
  <si>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</si>
  <si>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</si>
  <si>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</si>
  <si>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</si>
  <si>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</si>
  <si>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</si>
  <si>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</si>
  <si>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</si>
  <si>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</si>
  <si>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</si>
  <si>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</si>
  <si>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</si>
  <si>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</si>
  <si>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</si>
  <si>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</si>
  <si>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</si>
  <si>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</si>
  <si>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</si>
  <si>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</si>
  <si>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</si>
  <si>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</si>
  <si>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</si>
  <si>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</si>
  <si>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</si>
  <si>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</si>
  <si>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</si>
  <si>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</si>
  <si>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</si>
  <si>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</si>
  <si>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</si>
  <si>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</si>
  <si>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</si>
  <si>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</si>
  <si>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</si>
  <si>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</si>
  <si>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</si>
  <si>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</si>
  <si>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</si>
  <si>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</si>
  <si>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</si>
  <si>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</si>
  <si>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</si>
  <si>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</si>
  <si>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</si>
  <si>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</si>
  <si>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</si>
  <si>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</si>
  <si>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</si>
  <si>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</si>
  <si>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</si>
  <si>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</si>
  <si>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</si>
  <si>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</si>
  <si>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</si>
  <si>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</si>
  <si>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</si>
  <si>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</si>
  <si>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</si>
  <si>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</si>
  <si>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</si>
  <si>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</si>
  <si>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</si>
  <si>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</si>
  <si>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</si>
  <si>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</si>
  <si>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</si>
  <si>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</si>
  <si>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</si>
  <si>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</si>
  <si>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</si>
  <si>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</si>
  <si>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</si>
  <si>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</si>
  <si>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</si>
  <si>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</si>
  <si>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</si>
  <si>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</si>
  <si>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</si>
  <si>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</si>
  <si>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</si>
  <si>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</si>
  <si>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</si>
  <si>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</si>
  <si>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</si>
  <si>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</si>
  <si>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</si>
  <si>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</si>
  <si>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</si>
  <si>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</si>
  <si>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</si>
  <si>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</si>
  <si>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</si>
  <si>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</si>
  <si>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</si>
  <si>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</si>
  <si>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</si>
  <si>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</si>
  <si>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</si>
  <si>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</si>
  <si>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</si>
  <si>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</si>
  <si>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</si>
  <si>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</si>
  <si>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</si>
  <si>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</si>
  <si>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</si>
  <si>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</si>
  <si>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</si>
  <si>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</si>
  <si>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</si>
  <si>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</si>
  <si>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</si>
  <si>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</si>
  <si>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</si>
  <si>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</si>
  <si>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</si>
  <si>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</si>
  <si>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</si>
  <si>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</si>
  <si>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</si>
  <si>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</si>
  <si>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</si>
  <si>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</si>
  <si>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</si>
  <si>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</si>
  <si>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</si>
  <si>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</si>
  <si>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</si>
  <si>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</si>
  <si>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</si>
  <si>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</si>
  <si>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</si>
  <si>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</si>
  <si>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</si>
  <si>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</si>
  <si>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</si>
  <si>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</si>
  <si>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</si>
  <si>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</si>
  <si>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</si>
  <si>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</si>
  <si>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</si>
  <si>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</si>
  <si>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</si>
  <si>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</si>
  <si>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</si>
  <si>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</si>
  <si>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</si>
  <si>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</si>
  <si>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</si>
  <si>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</si>
  <si>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</si>
  <si>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</si>
  <si>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</si>
  <si>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</si>
  <si>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</si>
  <si>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</si>
  <si>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</si>
  <si>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</si>
  <si>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</si>
  <si>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</si>
  <si>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</si>
  <si>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</si>
  <si>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</si>
  <si>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</si>
  <si>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</si>
  <si>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</si>
  <si>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</si>
  <si>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</si>
  <si>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</si>
  <si>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</si>
  <si>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</si>
  <si>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</si>
  <si>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</si>
  <si>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</si>
  <si>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</si>
  <si>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</si>
  <si>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</si>
  <si>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</si>
  <si>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HETCP</t>
  </si>
  <si>
    <t>ELCLOW</t>
  </si>
  <si>
    <t>NGAD</t>
  </si>
  <si>
    <t>Residenatial spatial heat savings</t>
  </si>
  <si>
    <t>HSE</t>
  </si>
  <si>
    <t>District heating SubUrban</t>
  </si>
  <si>
    <t>Calibration factor</t>
  </si>
  <si>
    <t>*Calibration factor</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</si>
  <si>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</si>
  <si>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</si>
  <si>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</si>
  <si>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</si>
  <si>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</si>
  <si>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</si>
  <si>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</si>
  <si>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</si>
  <si>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</si>
  <si>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</si>
  <si>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</si>
  <si>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</si>
  <si>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</si>
  <si>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</si>
  <si>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</si>
  <si>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NRG_BAL (Labels)</t>
  </si>
  <si>
    <t>2019</t>
  </si>
  <si>
    <t>2018</t>
  </si>
  <si>
    <t>2017</t>
  </si>
  <si>
    <t>2016</t>
  </si>
  <si>
    <t>2015</t>
  </si>
  <si>
    <t>2014</t>
  </si>
  <si>
    <t>2013</t>
  </si>
  <si>
    <t>2012</t>
  </si>
  <si>
    <t>2011</t>
  </si>
  <si>
    <t>TIME</t>
  </si>
  <si>
    <t>Terajoule</t>
  </si>
  <si>
    <t>Unit of measure</t>
  </si>
  <si>
    <t>Annual</t>
  </si>
  <si>
    <t>Time frequency</t>
  </si>
  <si>
    <t>Oil products</t>
  </si>
  <si>
    <t>Natural gas and biogas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</si>
  <si>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</si>
  <si>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</si>
  <si>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</si>
  <si>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</si>
  <si>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</si>
  <si>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</si>
  <si>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</si>
  <si>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</si>
  <si>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</si>
  <si>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</si>
  <si>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</si>
  <si>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</si>
  <si>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</si>
  <si>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</si>
  <si>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</si>
  <si>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COM</t>
  </si>
  <si>
    <t>COM_fuel</t>
  </si>
  <si>
    <t>COM sheet contains detailed graphical representation, but not heat savings.</t>
  </si>
  <si>
    <t>COMCO2</t>
  </si>
  <si>
    <t>COMHSAV</t>
  </si>
  <si>
    <t>COMELCH</t>
  </si>
  <si>
    <t>FT-COMNGA</t>
  </si>
  <si>
    <t>FT-COMOIL</t>
  </si>
  <si>
    <t>FT-COMWOO</t>
  </si>
  <si>
    <t>FT-COMSTW</t>
  </si>
  <si>
    <t>FT-COMSOL</t>
  </si>
  <si>
    <t>FT-COMELC</t>
  </si>
  <si>
    <t>FT-COMSHCE</t>
  </si>
  <si>
    <t>FT-COMSHDD</t>
  </si>
  <si>
    <t>COMHDB</t>
  </si>
  <si>
    <t>COMHCD</t>
  </si>
  <si>
    <t>COMHDD</t>
  </si>
  <si>
    <t>COMHMB</t>
  </si>
  <si>
    <t>COMHCM</t>
  </si>
  <si>
    <t>COMHDM</t>
  </si>
  <si>
    <t>not applicable</t>
  </si>
  <si>
    <t>z</t>
  </si>
  <si>
    <t>Available flags:</t>
  </si>
  <si>
    <t>:</t>
  </si>
  <si>
    <t>Fossil energy</t>
  </si>
  <si>
    <t>Bioenergy</t>
  </si>
  <si>
    <t>Non-renewable waste</t>
  </si>
  <si>
    <t>Non-renewable municipal waste</t>
  </si>
  <si>
    <t>Renewable municipal waste</t>
  </si>
  <si>
    <t>Other liquid biofuels</t>
  </si>
  <si>
    <t>Blended biodiesels</t>
  </si>
  <si>
    <t>Charcoal</t>
  </si>
  <si>
    <t>Geothermal</t>
  </si>
  <si>
    <t>Gas oil and diesel oil (excluding biofuel portion)</t>
  </si>
  <si>
    <t>Motor gasoline (excluding biofuel portion)</t>
  </si>
  <si>
    <t>Liquefied petroleum gases</t>
  </si>
  <si>
    <t>Oil and petroleum products (excluding biofuel portion)</t>
  </si>
  <si>
    <t>Oil shale and oil sands</t>
  </si>
  <si>
    <t>Peat products</t>
  </si>
  <si>
    <t>Peat</t>
  </si>
  <si>
    <t>Peat and peat products</t>
  </si>
  <si>
    <t>Other recovered gases</t>
  </si>
  <si>
    <t>Blast furnace gas</t>
  </si>
  <si>
    <t>Gas works gas</t>
  </si>
  <si>
    <t>Coke oven gas</t>
  </si>
  <si>
    <t>Manufactured gases</t>
  </si>
  <si>
    <t>Coal tar</t>
  </si>
  <si>
    <t>Brown coal briquettes</t>
  </si>
  <si>
    <t>Patent fuel</t>
  </si>
  <si>
    <t>Gas coke</t>
  </si>
  <si>
    <t>Coke oven coke</t>
  </si>
  <si>
    <t>Lignite</t>
  </si>
  <si>
    <t>Sub-bituminous coal</t>
  </si>
  <si>
    <t>Other bituminous coal</t>
  </si>
  <si>
    <t>Anthracite</t>
  </si>
  <si>
    <t>Solid fossil fuels</t>
  </si>
  <si>
    <t>Final consumption - other sectors - commercial and public services - energy use</t>
  </si>
  <si>
    <t>2020</t>
  </si>
  <si>
    <t>04/03/2022 11:00</t>
  </si>
  <si>
    <t xml:space="preserve">Last updated: </t>
  </si>
  <si>
    <t>Complete energy balances [NRG_BAL_C__custom_2332164]</t>
  </si>
  <si>
    <t xml:space="preserve">Dataset: </t>
  </si>
  <si>
    <t>Data extracted on 22/03/2022 11:31:58 from [ESTAT]</t>
  </si>
  <si>
    <t>liquid biofuels</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</si>
  <si>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</si>
  <si>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Gammel data</t>
  </si>
  <si>
    <t>https://ec.europa.eu/energy/eu-buildings-factsheets_en</t>
  </si>
  <si>
    <t>STOCK~DE1</t>
  </si>
  <si>
    <t>STOCK~2015~DE1</t>
  </si>
  <si>
    <t>STOCK~2017~DE1</t>
  </si>
  <si>
    <t>ACTBND~LO~DE1</t>
  </si>
  <si>
    <t>ACTBND~LO~DE1~2015</t>
  </si>
  <si>
    <t>ACTBND~LO~DE1~2017</t>
  </si>
  <si>
    <t>ACTBND~LO~DE1~2100</t>
  </si>
  <si>
    <t>ACTBND~LO~DE1~0</t>
  </si>
  <si>
    <t>EFF~DE1</t>
  </si>
  <si>
    <t>EFF~DE1~2015</t>
  </si>
  <si>
    <t>EFF~DE1~2018</t>
  </si>
  <si>
    <t>EFF~DE1~2019</t>
  </si>
  <si>
    <t>DE1</t>
  </si>
  <si>
    <t>STOCK~DE2</t>
  </si>
  <si>
    <t>STOCK~2015~DE2</t>
  </si>
  <si>
    <t>STOCK~2017~DE2</t>
  </si>
  <si>
    <t>ACTBND~LO~DE2</t>
  </si>
  <si>
    <t>ACTBND~LO~DE2~2015</t>
  </si>
  <si>
    <t>ACTBND~LO~DE2~2017</t>
  </si>
  <si>
    <t>ACTBND~LO~DE2~2100</t>
  </si>
  <si>
    <t>ACTBND~LO~DE2~0</t>
  </si>
  <si>
    <t>EFF~DE2</t>
  </si>
  <si>
    <t>DE2</t>
  </si>
  <si>
    <t>DEMAND~DE1</t>
  </si>
  <si>
    <t>DEMAND~DE2</t>
  </si>
  <si>
    <t>DE3</t>
  </si>
  <si>
    <t>STOCK~DE3</t>
  </si>
  <si>
    <t>EFF~DE3</t>
  </si>
  <si>
    <t>STOCK~2015~DE3</t>
  </si>
  <si>
    <t>STOCK~2017~DE3</t>
  </si>
  <si>
    <t>ACTBND~LO~DE3</t>
  </si>
  <si>
    <t>ACTBND~LO~DE3~2015</t>
  </si>
  <si>
    <t>ACTBND~LO~DE3~2017</t>
  </si>
  <si>
    <t>ACTBND~LO~DE3~2100</t>
  </si>
  <si>
    <t>ACTBND~LO~DE3~0</t>
  </si>
  <si>
    <t>DEMAND~DE3</t>
  </si>
  <si>
    <t>Share of fuel in subsector based on RES-distribution</t>
  </si>
  <si>
    <t>Total energy consumption in the commercial sector</t>
  </si>
  <si>
    <t>Energy consumption for spatial heating in the commercial sector</t>
  </si>
  <si>
    <t>Gas oil and diesel oil and biodiesel</t>
  </si>
  <si>
    <t>GEO</t>
  </si>
  <si>
    <t xml:space="preserve">Geothermal </t>
  </si>
  <si>
    <t>https://www.dena.de/fileadmin/dena/Dokumente/Pdf/9268_dena_concise_2018_building_report.pdf</t>
  </si>
  <si>
    <t>Construction of VT file containing all Commercial demands, including structure for Commercial cooling build upon the building sotck projections</t>
  </si>
  <si>
    <t>Topology for processes and commodities used for Other Commercial energy contumpiton</t>
  </si>
  <si>
    <t>Energy balance of the Commercial sector - Raw data input</t>
  </si>
  <si>
    <t>Commercial</t>
  </si>
  <si>
    <t>CO2 Commercial</t>
  </si>
  <si>
    <t xml:space="preserve">Overview Commercial Stock </t>
  </si>
  <si>
    <t>Total Commercial housing area of Azerbaijan</t>
  </si>
  <si>
    <t>Share of Commercial stock</t>
  </si>
  <si>
    <t>Share of total Commercial fuel</t>
  </si>
  <si>
    <t>Energy consumption for Hot water in Commercial sector</t>
  </si>
  <si>
    <t>Energy consumption for Cooking in Commercial sector</t>
  </si>
  <si>
    <t>Energy consumption for appliances and others in Commercial sector</t>
  </si>
  <si>
    <t>Energy consumption for Cooling in Commercial sector</t>
  </si>
  <si>
    <t>Sources used for Commercial heating</t>
  </si>
  <si>
    <t>Natural gas is the main source for heating and cooking in the Commercial sector and only 2.6% of Commercial buildings in Azerbaijan had access to district heating services in 2017. As for healthcare and education facilities, the district heating sector covered 26% of hospitals, 8.7% of pre-schools and 6.2 % of schools in 2017. Deeper analysis of natural gas consumption by Commercial consumers shows that about 70% of natural gas or about 2 bcm was used for space heating and 30% or approximately 1 bcm for cooking and hot water preparation in 2018.</t>
  </si>
  <si>
    <t>https://ec.europa.eu/eurostat/statistics-explained/index.php?title=File:Final_energy_consumption_in_the_Commercial_sector_by_use,_EU-27,_2018.png</t>
  </si>
  <si>
    <t>https://www.oecd.org/els/family/HM1-1-Housing-stock-and-construction.pdf</t>
  </si>
  <si>
    <t>*EFF~DE2</t>
  </si>
  <si>
    <t>*EFF~DE3</t>
  </si>
  <si>
    <t>*EFF~DE2~2015</t>
  </si>
  <si>
    <t>*EFF~DE3~2015</t>
  </si>
  <si>
    <t>*EFF~DE2~2018</t>
  </si>
  <si>
    <t>*EFF~DE3~2018</t>
  </si>
  <si>
    <t>*EFF~DE2~2019</t>
  </si>
  <si>
    <t>*EFF~DE3~2019</t>
  </si>
  <si>
    <t>*DE2</t>
  </si>
  <si>
    <t>*DE3</t>
  </si>
  <si>
    <t>Liquefied petroleum gas</t>
  </si>
  <si>
    <t>Liquefied petroluem 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</si>
</sst>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41" formatCode="_-* #,##0_-;\-* #,##0_-;_-* &quot;-&quot;_-;_-@_-"/>
    <numFmt numFmtId="43" formatCode="_-* #,##0.00_-;\-* #,##0.00_-;_-* &quot;-&quot;??_-;_-@_-"/>
    <numFmt numFmtId="164" formatCode="_(* #,##0_);_(* \(#,##0\);_(* &quot;-&quot;_);_(@_)"/>
    <numFmt numFmtId="165" formatCode="_(* #,##0.00_);_(* \(#,##0.00\);_(* &quot;-&quot;??_);_(@_)"/>
    <numFmt numFmtId="166" formatCode="_-* #,##0.00\ _k_r_-;\-* #,##0.00\ _k_r_-;_-* &quot;-&quot;??\ _k_r_-;_-@_-"/>
    <numFmt numFmtId="167" formatCode="_ * #,##0.00_ ;_ * \-#,##0.00_ ;_ * &quot;-&quot;??_ ;_ @_ "/>
    <numFmt numFmtId="168" formatCode="_-&quot;€&quot;\ * #,##0.00_-;\-&quot;€&quot;\ * #,##0.00_-;_-&quot;€&quot;\ * &quot;-&quot;??_-;_-@_-"/>
    <numFmt numFmtId="169" formatCode="0.0000000"/>
    <numFmt numFmtId="170" formatCode="#,##0;\-\ #,##0;_-\ &quot;- &quot;"/>
    <numFmt numFmtId="171" formatCode="_-[$€-2]\ * #,##0.00_-;\-[$€-2]\ * #,##0.00_-;_-[$€-2]\ * &quot;-&quot;??_-"/>
    <numFmt numFmtId="172" formatCode="_-* #,##0_-;\-* #,##0_-;_-* &quot;-&quot;??_-;_-@_-"/>
    <numFmt numFmtId="173" formatCode="_-* #,##0.0_-;\-* #,##0.0_-;_-* &quot;-&quot;??_-;_-@_-"/>
    <numFmt numFmtId="174" formatCode="0.000"/>
    <numFmt numFmtId="175" formatCode="_(* #,##0.0_);_(* \(#,##0.0\);_(* &quot;-&quot;??_);_(@_)"/>
    <numFmt numFmtId="176" formatCode="_([$€]* #,##0.00_);_([$€]* \(#,##0.00\);_([$€]* &quot;-&quot;??_);_(@_)"/>
    <numFmt numFmtId="177" formatCode="0.0;\-0.0;0"/>
    <numFmt numFmtId="178" formatCode="\Te\x\t"/>
    <numFmt numFmtId="179" formatCode="_-[$€-2]* #,##0.00_-;\-[$€-2]* #,##0.00_-;_-[$€-2]* &quot;-&quot;??_-"/>
    <numFmt numFmtId="180" formatCode="0_ ;\-0\ "/>
    <numFmt numFmtId="181" formatCode="_(* #,##0_);_(* \(#,##0\);_(* &quot;-&quot;??_);_(@_)"/>
    <numFmt numFmtId="182" formatCode="_(* #,##0.000_);_(* \(#,##0.000\);_(* &quot;-&quot;??_);_(@_)"/>
    <numFmt numFmtId="183" formatCode="0.00000"/>
    <numFmt numFmtId="184" formatCode="0.0"/>
    <numFmt numFmtId="185" formatCode="#,##0.0"/>
    <numFmt numFmtId="186" formatCode="#\ ###\ ###.0"/>
    <numFmt numFmtId="187" formatCode="#,##0.0;[Red]\-#,##0.0"/>
    <numFmt numFmtId="188" formatCode="#,##0.0;[Red]\-#,###.0"/>
    <numFmt numFmtId="189" formatCode="0.000000"/>
    <numFmt numFmtId="190" formatCode="_-* #,##0.0000_-;\-* #,##0.0000_-;_-* &quot;-&quot;??_-;_-@_-"/>
    <numFmt numFmtId="191" formatCode="_(* #,##0.0000_);_(* \(#,##0.0000\);_(* &quot;-&quot;??_);_(@_)"/>
    <numFmt numFmtId="192" formatCode="#,##0.##########"/>
    <numFmt numFmtId="193" formatCode="#,##0.000"/>
    <numFmt numFmtId="194" formatCode="#,##0.0000000000"/>
  </numFmts>
  <fonts count="130">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amily val="2"/>
    </font>
    <font>
      <b/>
      <sz val="9"/>
      <name val="Arial"/>
      <family val="2"/>
    </font>
    <font>
      <b/>
      <sz val="9"/>
      <color indexed="9"/>
      <name val="Arial"/>
      <family val="2"/>
    </font>
    <font>
      <sz val="8"/>
      <name val="Arial"/>
      <family val="2"/>
    </font>
    <font>
      <sz val="10"/>
      <name val="Arial"/>
      <family val="2"/>
    </font>
    <font>
      <b/>
      <sz val="9"/>
      <name val="Arial"/>
      <family val="2"/>
    </font>
    <font>
      <u/>
      <sz val="10"/>
      <color theme="10"/>
      <name val="Arial"/>
      <family val="2"/>
    </font>
    <font>
      <b/>
      <sz val="9"/>
      <color rgb="FF000000"/>
      <name val="Tahoma"/>
      <family val="2"/>
    </font>
    <font>
      <sz val="9"/>
      <color rgb="FF000000"/>
      <name val="Tahoma"/>
      <family val="2"/>
    </font>
  </fonts>
  <fills count="9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
      <patternFill patternType="solid">
        <fgColor theme="4" tint="0.79998168889431442"/>
        <bgColor indexed="64"/>
      </patternFill>
    </fill>
  </fills>
  <borders count="128">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s>
  <cellStyleXfs count="4353">
    <xf numFmtId="0" fontId="0" fillId="0" borderId="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9" fillId="0" borderId="0" applyNumberFormat="0" applyFont="0" applyFill="0" applyBorder="0" applyProtection="0">
      <alignment horizontal="left" vertical="center" indent="5"/>
    </xf>
    <xf numFmtId="0" fontId="12" fillId="12"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4" fontId="38" fillId="20" borderId="1">
      <alignment horizontal="right" vertical="center"/>
    </xf>
    <xf numFmtId="4" fontId="38" fillId="20" borderId="1">
      <alignment horizontal="right" vertical="center"/>
    </xf>
    <xf numFmtId="0" fontId="50" fillId="39" borderId="0" applyNumberFormat="0" applyBorder="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4" fillId="0" borderId="3" applyNumberFormat="0" applyFill="0" applyAlignment="0" applyProtection="0"/>
    <xf numFmtId="0" fontId="15" fillId="22" borderId="4" applyNumberFormat="0" applyAlignment="0" applyProtection="0"/>
    <xf numFmtId="0" fontId="12" fillId="16"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9" borderId="0" applyNumberFormat="0" applyBorder="0" applyAlignment="0" applyProtection="0"/>
    <xf numFmtId="165" fontId="8"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41"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6" fontId="9" fillId="0" borderId="0" applyFont="0" applyFill="0" applyBorder="0" applyAlignment="0" applyProtection="0"/>
    <xf numFmtId="0" fontId="43" fillId="0" borderId="0"/>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171" fontId="8"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76" fontId="9" fillId="0" borderId="0" applyFont="0" applyFill="0" applyBorder="0" applyAlignment="0" applyProtection="0"/>
    <xf numFmtId="171" fontId="9" fillId="0" borderId="0" applyFont="0" applyFill="0" applyBorder="0" applyAlignment="0" applyProtection="0"/>
    <xf numFmtId="171" fontId="41" fillId="0" borderId="0" applyFont="0" applyFill="0" applyBorder="0" applyAlignment="0" applyProtection="0"/>
    <xf numFmtId="171" fontId="36" fillId="0" borderId="0" applyFont="0" applyFill="0" applyBorder="0" applyAlignment="0" applyProtection="0"/>
    <xf numFmtId="171" fontId="9" fillId="0" borderId="0" applyFont="0" applyFill="0" applyBorder="0" applyAlignment="0" applyProtection="0"/>
    <xf numFmtId="0" fontId="9" fillId="0" borderId="0" applyFont="0" applyFill="0" applyBorder="0" applyAlignment="0" applyProtection="0"/>
    <xf numFmtId="171" fontId="9"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71"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0" fontId="43" fillId="0" borderId="0"/>
    <xf numFmtId="0" fontId="51" fillId="0" borderId="0" applyNumberFormat="0" applyFill="0" applyBorder="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4" fontId="39" fillId="0" borderId="0" applyBorder="0">
      <alignment horizontal="right" vertical="center"/>
    </xf>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165" fontId="9"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0" fontId="18" fillId="23" borderId="0" applyNumberFormat="0" applyBorder="0" applyAlignment="0" applyProtection="0"/>
    <xf numFmtId="0" fontId="9" fillId="0" borderId="0"/>
    <xf numFmtId="0" fontId="9" fillId="0" borderId="0"/>
    <xf numFmtId="0" fontId="43" fillId="0" borderId="0"/>
    <xf numFmtId="0" fontId="49" fillId="0" borderId="0"/>
    <xf numFmtId="0" fontId="9" fillId="0" borderId="0"/>
    <xf numFmtId="0" fontId="49" fillId="0" borderId="0"/>
    <xf numFmtId="0" fontId="49" fillId="0" borderId="0"/>
    <xf numFmtId="0" fontId="49" fillId="0" borderId="0"/>
    <xf numFmtId="0" fontId="52" fillId="0" borderId="0"/>
    <xf numFmtId="0" fontId="53" fillId="0" borderId="0"/>
    <xf numFmtId="0" fontId="49" fillId="0" borderId="0"/>
    <xf numFmtId="0" fontId="53" fillId="0" borderId="0"/>
    <xf numFmtId="0" fontId="36" fillId="0" borderId="0"/>
    <xf numFmtId="0" fontId="9" fillId="0" borderId="0"/>
    <xf numFmtId="4" fontId="39" fillId="0" borderId="1" applyFill="0" applyBorder="0" applyProtection="0">
      <alignment horizontal="right" vertical="center"/>
    </xf>
    <xf numFmtId="4" fontId="39" fillId="0" borderId="1" applyFill="0" applyBorder="0" applyProtection="0">
      <alignment horizontal="right" vertical="center"/>
    </xf>
    <xf numFmtId="0" fontId="40" fillId="0" borderId="0" applyNumberFormat="0" applyFill="0" applyBorder="0" applyProtection="0">
      <alignment horizontal="left" vertical="center"/>
    </xf>
    <xf numFmtId="0" fontId="9" fillId="24" borderId="0" applyNumberFormat="0" applyFont="0" applyBorder="0" applyAlignment="0" applyProtection="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11" fillId="0" borderId="0"/>
    <xf numFmtId="0" fontId="11"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37" fillId="0" borderId="0"/>
    <xf numFmtId="0" fontId="8"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41"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170" fontId="8"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43" fillId="0" borderId="0"/>
    <xf numFmtId="9" fontId="9"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4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0" fontId="9" fillId="0" borderId="0"/>
    <xf numFmtId="0" fontId="20"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3" fillId="0" borderId="6" applyNumberFormat="0" applyFill="0" applyAlignment="0" applyProtection="0"/>
    <xf numFmtId="0" fontId="24" fillId="0" borderId="7"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0" applyNumberFormat="0" applyFill="0" applyBorder="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7" fillId="3" borderId="0" applyNumberFormat="0" applyBorder="0" applyAlignment="0" applyProtection="0"/>
    <xf numFmtId="0" fontId="28" fillId="4" borderId="0" applyNumberFormat="0" applyBorder="0" applyAlignment="0" applyProtection="0"/>
    <xf numFmtId="4" fontId="39" fillId="0" borderId="0"/>
    <xf numFmtId="0" fontId="7" fillId="0" borderId="0"/>
    <xf numFmtId="179" fontId="8" fillId="0" borderId="0"/>
    <xf numFmtId="179" fontId="8" fillId="0" borderId="0"/>
    <xf numFmtId="3" fontId="8" fillId="42" borderId="56" applyFont="0" applyFill="0" applyBorder="0" applyAlignment="0" applyProtection="0"/>
    <xf numFmtId="3" fontId="8" fillId="42" borderId="56" applyFont="0" applyFill="0" applyBorder="0" applyAlignment="0" applyProtection="0"/>
    <xf numFmtId="0" fontId="8" fillId="0" borderId="0" applyNumberFormat="0" applyFont="0" applyFill="0" applyBorder="0" applyProtection="0">
      <alignment horizontal="left" vertical="center" indent="5"/>
    </xf>
    <xf numFmtId="0" fontId="50" fillId="39" borderId="0" applyNumberFormat="0" applyBorder="0" applyAlignment="0" applyProtection="0"/>
    <xf numFmtId="3" fontId="60" fillId="43" borderId="56" applyNumberFormat="0" applyBorder="0" applyAlignment="0" applyProtection="0"/>
    <xf numFmtId="0" fontId="57" fillId="41" borderId="56" applyNumberFormat="0" applyAlignment="0" applyProtection="0"/>
    <xf numFmtId="0" fontId="30" fillId="42" borderId="56" applyNumberFormat="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6" fillId="0" borderId="0" applyFont="0" applyFill="0" applyBorder="0" applyAlignment="0" applyProtection="0"/>
    <xf numFmtId="167" fontId="36"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6" fillId="0" borderId="0" applyFont="0" applyFill="0" applyBorder="0" applyAlignment="0" applyProtection="0"/>
    <xf numFmtId="167" fontId="61" fillId="0" borderId="0" applyFont="0" applyFill="0" applyBorder="0" applyAlignment="0" applyProtection="0"/>
    <xf numFmtId="167" fontId="6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7" fontId="36"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6"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0"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79" fontId="8" fillId="0" borderId="0" applyFont="0" applyFill="0" applyBorder="0" applyAlignment="0" applyProtection="0"/>
    <xf numFmtId="179"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0" fontId="16" fillId="7" borderId="57" applyNumberFormat="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0" fontId="51" fillId="0" borderId="0" applyNumberFormat="0" applyFill="0" applyBorder="0" applyAlignment="0" applyProtection="0"/>
    <xf numFmtId="180" fontId="62" fillId="44" borderId="0" applyNumberFormat="0" applyBorder="0" applyAlignment="0" applyProtection="0">
      <alignment horizontal="center" vertical="top" wrapText="1"/>
    </xf>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7" fillId="0" borderId="0"/>
    <xf numFmtId="0" fontId="8" fillId="0" borderId="0"/>
    <xf numFmtId="0" fontId="8" fillId="0" borderId="0"/>
    <xf numFmtId="0" fontId="7" fillId="0" borderId="0"/>
    <xf numFmtId="0" fontId="43" fillId="0" borderId="0"/>
    <xf numFmtId="0" fontId="8" fillId="0" borderId="0"/>
    <xf numFmtId="0" fontId="8" fillId="0" borderId="0"/>
    <xf numFmtId="0" fontId="8" fillId="0" borderId="0"/>
    <xf numFmtId="0" fontId="7" fillId="0" borderId="0"/>
    <xf numFmtId="0" fontId="8" fillId="0" borderId="0"/>
    <xf numFmtId="0" fontId="7" fillId="0" borderId="0"/>
    <xf numFmtId="0" fontId="7" fillId="0" borderId="0"/>
    <xf numFmtId="0" fontId="8" fillId="0" borderId="0"/>
    <xf numFmtId="0" fontId="8" fillId="0" borderId="0"/>
    <xf numFmtId="0" fontId="53" fillId="0" borderId="0"/>
    <xf numFmtId="0" fontId="53" fillId="0" borderId="0"/>
    <xf numFmtId="0" fontId="53" fillId="0" borderId="0"/>
    <xf numFmtId="0" fontId="7" fillId="0" borderId="0"/>
    <xf numFmtId="0" fontId="8" fillId="0" borderId="0"/>
    <xf numFmtId="0" fontId="7" fillId="0" borderId="0"/>
    <xf numFmtId="0" fontId="53" fillId="0" borderId="0"/>
    <xf numFmtId="0" fontId="7" fillId="0" borderId="0"/>
    <xf numFmtId="0" fontId="7" fillId="0" borderId="0"/>
    <xf numFmtId="0" fontId="8" fillId="24" borderId="0" applyNumberFormat="0" applyFon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25" borderId="58" applyNumberFormat="0" applyFont="0" applyAlignment="0" applyProtection="0"/>
    <xf numFmtId="0" fontId="8" fillId="25" borderId="58" applyNumberFormat="0" applyFont="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0" fontId="19" fillId="21" borderId="59" applyNumberFormat="0" applyAlignment="0" applyProtection="0"/>
    <xf numFmtId="0" fontId="63" fillId="45" borderId="0" applyNumberFormat="0" applyAlignment="0" applyProtection="0"/>
    <xf numFmtId="0" fontId="64" fillId="46" borderId="0" applyNumberFormat="0" applyAlignment="0" applyProtection="0"/>
    <xf numFmtId="0" fontId="65" fillId="47" borderId="0" applyNumberFormat="0" applyAlignment="0" applyProtection="0"/>
    <xf numFmtId="180" fontId="48" fillId="48" borderId="0" applyNumberFormat="0" applyFill="0" applyBorder="0" applyAlignment="0">
      <alignment horizontal="center"/>
    </xf>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66" fillId="41" borderId="56" applyNumberFormat="0" applyFill="0" applyBorder="0" applyAlignment="0" applyProtection="0"/>
    <xf numFmtId="0" fontId="67" fillId="41" borderId="56" applyFill="0" applyBorder="0" applyAlignment="0" applyProtection="0"/>
    <xf numFmtId="0" fontId="6" fillId="0" borderId="0"/>
    <xf numFmtId="166" fontId="8" fillId="0" borderId="0" applyFont="0" applyFill="0" applyBorder="0" applyAlignment="0" applyProtection="0"/>
    <xf numFmtId="0" fontId="5" fillId="0" borderId="0"/>
    <xf numFmtId="0" fontId="5" fillId="56" borderId="0" applyNumberFormat="0" applyBorder="0" applyAlignment="0" applyProtection="0"/>
    <xf numFmtId="0" fontId="5" fillId="56"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70" fillId="58" borderId="0" applyNumberFormat="0" applyBorder="0" applyAlignment="0" applyProtection="0"/>
    <xf numFmtId="0" fontId="70" fillId="62" borderId="0" applyNumberFormat="0" applyBorder="0" applyAlignment="0" applyProtection="0"/>
    <xf numFmtId="0" fontId="70" fillId="66" borderId="0" applyNumberFormat="0" applyBorder="0" applyAlignment="0" applyProtection="0"/>
    <xf numFmtId="0" fontId="70" fillId="70" borderId="0" applyNumberFormat="0" applyBorder="0" applyAlignment="0" applyProtection="0"/>
    <xf numFmtId="0" fontId="70" fillId="74" borderId="0" applyNumberFormat="0" applyBorder="0" applyAlignment="0" applyProtection="0"/>
    <xf numFmtId="0" fontId="70" fillId="78" borderId="0" applyNumberFormat="0" applyBorder="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165" fontId="36"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7" fontId="5" fillId="0" borderId="0" applyFont="0" applyFill="0" applyBorder="0" applyAlignment="0" applyProtection="0"/>
    <xf numFmtId="165" fontId="8" fillId="0" borderId="0" applyFont="0" applyFill="0" applyBorder="0" applyAlignment="0" applyProtection="0"/>
    <xf numFmtId="167" fontId="5" fillId="0" borderId="0" applyFont="0" applyFill="0" applyBorder="0" applyAlignment="0" applyProtection="0"/>
    <xf numFmtId="0" fontId="39" fillId="0" borderId="61">
      <alignment horizontal="left" vertical="center" wrapText="1" indent="2"/>
    </xf>
    <xf numFmtId="0" fontId="39" fillId="0" borderId="61">
      <alignment horizontal="left" vertical="center" wrapText="1" indent="2"/>
    </xf>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76" fontId="8" fillId="0" borderId="0" applyFont="0" applyFill="0" applyBorder="0" applyAlignment="0" applyProtection="0"/>
    <xf numFmtId="171" fontId="36" fillId="0" borderId="0" applyFont="0" applyFill="0" applyBorder="0" applyAlignment="0" applyProtection="0"/>
    <xf numFmtId="171"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0" fontId="71" fillId="51" borderId="0" applyNumberFormat="0" applyBorder="0" applyAlignment="0" applyProtection="0"/>
    <xf numFmtId="0" fontId="72" fillId="0" borderId="0" applyNumberFormat="0" applyFill="0" applyBorder="0" applyAlignment="0" applyProtection="0"/>
    <xf numFmtId="0" fontId="51" fillId="0" borderId="0" applyNumberFormat="0" applyFill="0" applyBorder="0" applyAlignment="0" applyProtection="0"/>
    <xf numFmtId="0" fontId="73" fillId="0" borderId="0" applyNumberFormat="0" applyFill="0" applyBorder="0" applyAlignment="0" applyProtection="0">
      <alignment vertical="top"/>
      <protection locked="0"/>
    </xf>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167" fontId="43" fillId="0" borderId="0" applyFont="0" applyFill="0" applyBorder="0" applyAlignment="0" applyProtection="0"/>
    <xf numFmtId="0" fontId="69" fillId="53" borderId="62" applyNumberFormat="0" applyAlignment="0" applyProtection="0"/>
    <xf numFmtId="0" fontId="70" fillId="55" borderId="0" applyNumberFormat="0" applyBorder="0" applyAlignment="0" applyProtection="0"/>
    <xf numFmtId="0" fontId="70" fillId="59" borderId="0" applyNumberFormat="0" applyBorder="0" applyAlignment="0" applyProtection="0"/>
    <xf numFmtId="0" fontId="70" fillId="63" borderId="0" applyNumberFormat="0" applyBorder="0" applyAlignment="0" applyProtection="0"/>
    <xf numFmtId="0" fontId="70" fillId="67" borderId="0" applyNumberFormat="0" applyBorder="0" applyAlignment="0" applyProtection="0"/>
    <xf numFmtId="0" fontId="70" fillId="71" borderId="0" applyNumberFormat="0" applyBorder="0" applyAlignment="0" applyProtection="0"/>
    <xf numFmtId="0" fontId="70" fillId="75" borderId="0" applyNumberFormat="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0" fontId="74" fillId="52" borderId="0" applyNumberFormat="0" applyBorder="0" applyAlignment="0" applyProtection="0"/>
    <xf numFmtId="0" fontId="53" fillId="0" borderId="0"/>
    <xf numFmtId="0" fontId="5" fillId="0" borderId="0"/>
    <xf numFmtId="0" fontId="8" fillId="0" borderId="0"/>
    <xf numFmtId="0" fontId="8" fillId="0" borderId="0"/>
    <xf numFmtId="0" fontId="5" fillId="0" borderId="0"/>
    <xf numFmtId="0" fontId="8" fillId="0" borderId="0"/>
    <xf numFmtId="0" fontId="5" fillId="0" borderId="0"/>
    <xf numFmtId="0" fontId="8" fillId="0" borderId="0"/>
    <xf numFmtId="0" fontId="8" fillId="0" borderId="0"/>
    <xf numFmtId="0" fontId="8" fillId="0" borderId="0"/>
    <xf numFmtId="0" fontId="8" fillId="0" borderId="0"/>
    <xf numFmtId="0" fontId="5"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8" fillId="0" borderId="0"/>
    <xf numFmtId="0" fontId="53" fillId="0" borderId="0"/>
    <xf numFmtId="0" fontId="5" fillId="0" borderId="0"/>
    <xf numFmtId="0" fontId="5" fillId="0" borderId="0"/>
    <xf numFmtId="0" fontId="8" fillId="0" borderId="0"/>
    <xf numFmtId="0" fontId="8" fillId="0" borderId="0"/>
    <xf numFmtId="0" fontId="8"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2" fillId="0" borderId="0"/>
    <xf numFmtId="0" fontId="52" fillId="0" borderId="0"/>
    <xf numFmtId="0" fontId="8" fillId="0" borderId="0"/>
    <xf numFmtId="0" fontId="8" fillId="0" borderId="0"/>
    <xf numFmtId="0" fontId="8" fillId="0" borderId="0"/>
    <xf numFmtId="0" fontId="8" fillId="0" borderId="0"/>
    <xf numFmtId="0" fontId="8" fillId="0" borderId="0"/>
    <xf numFmtId="0" fontId="53" fillId="0" borderId="0"/>
    <xf numFmtId="0" fontId="53" fillId="0" borderId="0"/>
    <xf numFmtId="0" fontId="53" fillId="0" borderId="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36" fillId="0" borderId="0"/>
    <xf numFmtId="0" fontId="5" fillId="0" borderId="0"/>
    <xf numFmtId="0" fontId="5" fillId="0" borderId="0"/>
    <xf numFmtId="0" fontId="5" fillId="0" borderId="0"/>
    <xf numFmtId="0" fontId="53" fillId="0" borderId="0"/>
    <xf numFmtId="4" fontId="39" fillId="0" borderId="60" applyFill="0" applyBorder="0" applyProtection="0">
      <alignment horizontal="right" vertical="center"/>
    </xf>
    <xf numFmtId="4" fontId="39" fillId="0" borderId="60" applyFill="0" applyBorder="0" applyProtection="0">
      <alignment horizontal="right" vertical="center"/>
    </xf>
    <xf numFmtId="4" fontId="39" fillId="0" borderId="60" applyFill="0" applyBorder="0" applyProtection="0">
      <alignment horizontal="right" vertical="center"/>
    </xf>
    <xf numFmtId="0" fontId="11" fillId="0" borderId="0"/>
    <xf numFmtId="0" fontId="11" fillId="0" borderId="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6" fillId="25" borderId="67" applyNumberFormat="0" applyFont="0" applyAlignment="0" applyProtection="0"/>
    <xf numFmtId="0" fontId="36"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6" fillId="25" borderId="67" applyNumberFormat="0" applyFont="0" applyAlignment="0" applyProtection="0"/>
    <xf numFmtId="0" fontId="36" fillId="25" borderId="67" applyNumberFormat="0" applyFont="0" applyAlignment="0" applyProtection="0"/>
    <xf numFmtId="0" fontId="8" fillId="25" borderId="67"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5"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23" fillId="0" borderId="69" applyNumberFormat="0" applyFill="0" applyAlignment="0" applyProtection="0"/>
    <xf numFmtId="0" fontId="23" fillId="0" borderId="69" applyNumberFormat="0" applyFill="0" applyAlignment="0" applyProtection="0"/>
    <xf numFmtId="0" fontId="24" fillId="0" borderId="70" applyNumberFormat="0" applyFill="0" applyAlignment="0" applyProtection="0"/>
    <xf numFmtId="0" fontId="24" fillId="0" borderId="70"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80" fillId="48" borderId="72">
      <alignment vertical="top" wrapText="1"/>
    </xf>
    <xf numFmtId="0" fontId="4" fillId="0" borderId="0"/>
    <xf numFmtId="0" fontId="77" fillId="0" borderId="0" applyNumberFormat="0" applyBorder="0" applyAlignment="0"/>
    <xf numFmtId="165" fontId="4" fillId="0" borderId="0" applyFont="0" applyFill="0" applyBorder="0" applyAlignment="0" applyProtection="0"/>
    <xf numFmtId="9" fontId="4" fillId="0" borderId="0" applyFont="0" applyFill="0" applyBorder="0" applyAlignment="0" applyProtection="0"/>
    <xf numFmtId="0" fontId="80" fillId="48" borderId="72">
      <alignment horizontal="center" vertical="center"/>
    </xf>
    <xf numFmtId="0" fontId="80" fillId="0" borderId="72">
      <alignment horizontal="left" vertical="center" wrapText="1"/>
    </xf>
    <xf numFmtId="0" fontId="99" fillId="0" borderId="0"/>
    <xf numFmtId="0" fontId="36" fillId="0" borderId="0"/>
    <xf numFmtId="0" fontId="120" fillId="0" borderId="0"/>
    <xf numFmtId="9" fontId="125" fillId="0" borderId="0" applyFont="0" applyFill="0" applyBorder="0" applyAlignment="0" applyProtection="0"/>
    <xf numFmtId="0" fontId="127" fillId="0" borderId="0" applyNumberFormat="0" applyFill="0" applyBorder="0" applyAlignment="0" applyProtection="0"/>
  </cellStyleXfs>
  <cellXfs count="702">
    <xf numFmtId="0" fontId="0" fillId="0" borderId="0" xfId="0"/>
    <xf numFmtId="0" fontId="0" fillId="0" borderId="0" xfId="0" applyBorder="1"/>
    <xf numFmtId="0" fontId="10" fillId="0" borderId="0" xfId="0" applyFont="1"/>
    <xf numFmtId="0" fontId="0" fillId="0" borderId="0" xfId="0" applyFill="1" applyBorder="1"/>
    <xf numFmtId="0" fontId="0" fillId="0" borderId="0" xfId="0" applyBorder="1" applyAlignment="1">
      <alignment horizontal="left"/>
    </xf>
    <xf numFmtId="0" fontId="10"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9" fillId="0" borderId="0" xfId="0" applyFont="1"/>
    <xf numFmtId="0" fontId="30" fillId="27" borderId="13" xfId="0" applyFont="1" applyFill="1" applyBorder="1" applyAlignment="1">
      <alignment horizontal="left" vertical="center" wrapText="1"/>
    </xf>
    <xf numFmtId="0" fontId="30" fillId="0" borderId="0" xfId="0" applyFont="1" applyFill="1"/>
    <xf numFmtId="0" fontId="0" fillId="28" borderId="0" xfId="0" applyFill="1"/>
    <xf numFmtId="0" fontId="30" fillId="27" borderId="14" xfId="0" applyFont="1" applyFill="1" applyBorder="1" applyAlignment="1">
      <alignment horizontal="left" vertical="center" wrapText="1"/>
    </xf>
    <xf numFmtId="0" fontId="30" fillId="27" borderId="13" xfId="0" applyFont="1" applyFill="1" applyBorder="1" applyAlignment="1">
      <alignment horizontal="center" vertical="center" wrapText="1"/>
    </xf>
    <xf numFmtId="0" fontId="31" fillId="29" borderId="12" xfId="0" applyFont="1" applyFill="1" applyBorder="1" applyAlignment="1">
      <alignment horizontal="left" vertical="center" wrapText="1"/>
    </xf>
    <xf numFmtId="0" fontId="31" fillId="29" borderId="12" xfId="0" applyFont="1" applyFill="1" applyBorder="1" applyAlignment="1">
      <alignment horizontal="right" vertical="center" wrapText="1"/>
    </xf>
    <xf numFmtId="0" fontId="31" fillId="29" borderId="15" xfId="0" applyFont="1" applyFill="1" applyBorder="1" applyAlignment="1">
      <alignment horizontal="right" vertical="center" wrapText="1"/>
    </xf>
    <xf numFmtId="0" fontId="31"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30" fillId="27" borderId="18" xfId="0" applyFont="1" applyFill="1" applyBorder="1" applyAlignment="1">
      <alignment horizontal="left" vertical="center" wrapText="1"/>
    </xf>
    <xf numFmtId="0" fontId="0" fillId="0" borderId="17" xfId="0" applyFill="1" applyBorder="1"/>
    <xf numFmtId="0" fontId="9"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8" fillId="0" borderId="24" xfId="1813" applyFill="1" applyBorder="1"/>
    <xf numFmtId="0" fontId="28"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6" fillId="0" borderId="0" xfId="0" applyFont="1"/>
    <xf numFmtId="0" fontId="47" fillId="0" borderId="0" xfId="0" applyFont="1"/>
    <xf numFmtId="165" fontId="36" fillId="0" borderId="0" xfId="38" applyFont="1" applyFill="1" applyBorder="1" applyAlignment="1">
      <alignment horizontal="left"/>
    </xf>
    <xf numFmtId="0" fontId="53" fillId="0" borderId="0" xfId="876"/>
    <xf numFmtId="0" fontId="45" fillId="0" borderId="0" xfId="876" applyFont="1"/>
    <xf numFmtId="0" fontId="42" fillId="35" borderId="0" xfId="876" applyFont="1" applyFill="1"/>
    <xf numFmtId="0" fontId="53" fillId="28" borderId="0" xfId="876" applyFill="1"/>
    <xf numFmtId="0" fontId="45" fillId="0" borderId="0" xfId="876" applyFont="1" applyFill="1"/>
    <xf numFmtId="0" fontId="45" fillId="0" borderId="0" xfId="876" applyFont="1" applyAlignment="1">
      <alignment horizontal="right"/>
    </xf>
    <xf numFmtId="0" fontId="42" fillId="0" borderId="0" xfId="876" applyFont="1" applyFill="1"/>
    <xf numFmtId="0" fontId="30" fillId="27" borderId="18" xfId="876" applyFont="1" applyFill="1" applyBorder="1" applyAlignment="1">
      <alignment horizontal="left" vertical="center" wrapText="1"/>
    </xf>
    <xf numFmtId="1" fontId="30" fillId="36" borderId="18" xfId="876" applyNumberFormat="1" applyFont="1" applyFill="1" applyBorder="1" applyAlignment="1">
      <alignment horizontal="right"/>
    </xf>
    <xf numFmtId="0" fontId="30" fillId="26" borderId="27" xfId="876" applyFont="1" applyFill="1" applyBorder="1" applyAlignment="1">
      <alignment horizontal="left" wrapText="1"/>
    </xf>
    <xf numFmtId="0" fontId="30" fillId="26" borderId="27" xfId="876" applyFont="1" applyFill="1" applyBorder="1" applyAlignment="1">
      <alignment horizontal="right" wrapText="1"/>
    </xf>
    <xf numFmtId="0" fontId="30" fillId="37" borderId="0" xfId="876" applyFont="1" applyFill="1"/>
    <xf numFmtId="177" fontId="30" fillId="37" borderId="0" xfId="876" applyNumberFormat="1" applyFont="1" applyFill="1"/>
    <xf numFmtId="178" fontId="10" fillId="0" borderId="0" xfId="0" applyNumberFormat="1" applyFont="1"/>
    <xf numFmtId="178" fontId="0" fillId="0" borderId="0" xfId="0" applyNumberFormat="1"/>
    <xf numFmtId="178" fontId="30" fillId="27" borderId="13" xfId="0" applyNumberFormat="1" applyFont="1" applyFill="1" applyBorder="1" applyAlignment="1">
      <alignment horizontal="left" vertical="center" wrapText="1"/>
    </xf>
    <xf numFmtId="178" fontId="31" fillId="26" borderId="12" xfId="0" quotePrefix="1" applyNumberFormat="1" applyFont="1" applyFill="1" applyBorder="1" applyAlignment="1">
      <alignment horizontal="left" vertical="top" wrapText="1"/>
    </xf>
    <xf numFmtId="178" fontId="0" fillId="0" borderId="0" xfId="38" applyNumberFormat="1" applyFont="1"/>
    <xf numFmtId="178" fontId="9" fillId="0" borderId="0" xfId="0" applyNumberFormat="1" applyFont="1" applyFill="1" applyBorder="1"/>
    <xf numFmtId="178" fontId="0" fillId="0" borderId="0" xfId="0" applyNumberFormat="1" applyFill="1"/>
    <xf numFmtId="178" fontId="0" fillId="0" borderId="17" xfId="0" applyNumberFormat="1" applyBorder="1"/>
    <xf numFmtId="178" fontId="9" fillId="0" borderId="17" xfId="0" applyNumberFormat="1" applyFont="1" applyFill="1" applyBorder="1"/>
    <xf numFmtId="178" fontId="0" fillId="0" borderId="17" xfId="0" applyNumberFormat="1" applyFill="1" applyBorder="1"/>
    <xf numFmtId="178" fontId="9" fillId="0" borderId="0" xfId="0" applyNumberFormat="1" applyFont="1"/>
    <xf numFmtId="178" fontId="36" fillId="0" borderId="0" xfId="0" applyNumberFormat="1" applyFont="1" applyBorder="1"/>
    <xf numFmtId="178" fontId="36" fillId="0" borderId="17" xfId="0" applyNumberFormat="1" applyFont="1" applyBorder="1"/>
    <xf numFmtId="178" fontId="9" fillId="0" borderId="0" xfId="0" applyNumberFormat="1" applyFont="1" applyBorder="1"/>
    <xf numFmtId="178" fontId="0" fillId="0" borderId="0" xfId="0" applyNumberFormat="1" applyBorder="1"/>
    <xf numFmtId="178" fontId="0" fillId="0" borderId="0" xfId="0" applyNumberFormat="1" applyFill="1" applyBorder="1"/>
    <xf numFmtId="178" fontId="36" fillId="0" borderId="0" xfId="0" applyNumberFormat="1" applyFont="1"/>
    <xf numFmtId="178" fontId="0" fillId="0" borderId="0" xfId="0" applyNumberFormat="1" applyFont="1" applyFill="1" applyBorder="1"/>
    <xf numFmtId="178" fontId="9" fillId="0" borderId="0" xfId="38" applyNumberFormat="1" applyFont="1"/>
    <xf numFmtId="178" fontId="9" fillId="0" borderId="0" xfId="38" applyNumberFormat="1" applyFont="1" applyBorder="1"/>
    <xf numFmtId="178" fontId="0" fillId="0" borderId="0" xfId="0" applyNumberFormat="1" applyBorder="1" applyAlignment="1">
      <alignment horizontal="left"/>
    </xf>
    <xf numFmtId="178" fontId="9" fillId="0" borderId="17" xfId="38" applyNumberFormat="1" applyFont="1" applyBorder="1"/>
    <xf numFmtId="178" fontId="9" fillId="0" borderId="0" xfId="0" applyNumberFormat="1" applyFont="1" applyFill="1"/>
    <xf numFmtId="178" fontId="9" fillId="0" borderId="0" xfId="38" applyNumberFormat="1" applyFont="1" applyFill="1"/>
    <xf numFmtId="178" fontId="9" fillId="0" borderId="0" xfId="38" applyNumberFormat="1" applyFont="1" applyFill="1" applyBorder="1"/>
    <xf numFmtId="178" fontId="9" fillId="0" borderId="17" xfId="38" applyNumberFormat="1" applyFont="1" applyFill="1" applyBorder="1"/>
    <xf numFmtId="178" fontId="0" fillId="0" borderId="0" xfId="0" applyNumberFormat="1" applyFont="1" applyFill="1"/>
    <xf numFmtId="0" fontId="35" fillId="0" borderId="0" xfId="877" applyFont="1"/>
    <xf numFmtId="178" fontId="35" fillId="0" borderId="0" xfId="877" applyNumberFormat="1" applyFont="1" applyFill="1" applyBorder="1"/>
    <xf numFmtId="0" fontId="36" fillId="0" borderId="0" xfId="877"/>
    <xf numFmtId="14" fontId="36" fillId="0" borderId="0" xfId="877" applyNumberFormat="1" applyFont="1" applyAlignment="1">
      <alignment horizontal="left"/>
    </xf>
    <xf numFmtId="178" fontId="36" fillId="0" borderId="0" xfId="877" applyNumberFormat="1" applyFont="1" applyFill="1" applyBorder="1" applyAlignment="1">
      <alignment horizontal="left"/>
    </xf>
    <xf numFmtId="0" fontId="36" fillId="0" borderId="0" xfId="877" applyFont="1" applyAlignment="1">
      <alignment horizontal="left"/>
    </xf>
    <xf numFmtId="178" fontId="36" fillId="0" borderId="0" xfId="877" applyNumberFormat="1" applyFill="1" applyBorder="1" applyAlignment="1">
      <alignment horizontal="left"/>
    </xf>
    <xf numFmtId="0" fontId="9" fillId="0" borderId="0" xfId="877" applyFont="1" applyFill="1" applyBorder="1" applyAlignment="1">
      <alignment horizontal="left"/>
    </xf>
    <xf numFmtId="14" fontId="36" fillId="0" borderId="0" xfId="877" applyNumberFormat="1" applyFill="1" applyAlignment="1">
      <alignment horizontal="left"/>
    </xf>
    <xf numFmtId="0" fontId="9" fillId="0" borderId="0" xfId="877" applyFont="1"/>
    <xf numFmtId="0" fontId="9" fillId="0" borderId="0" xfId="877" applyFont="1" applyAlignment="1">
      <alignment horizontal="left"/>
    </xf>
    <xf numFmtId="178" fontId="9" fillId="0" borderId="0" xfId="877" applyNumberFormat="1" applyFont="1" applyFill="1" applyBorder="1" applyAlignment="1">
      <alignment horizontal="left"/>
    </xf>
    <xf numFmtId="14" fontId="9" fillId="0" borderId="0" xfId="877" applyNumberFormat="1" applyFont="1" applyAlignment="1">
      <alignment horizontal="left"/>
    </xf>
    <xf numFmtId="0" fontId="30" fillId="30" borderId="18" xfId="0" applyFont="1" applyFill="1" applyBorder="1" applyAlignment="1">
      <alignment horizontal="left" vertical="center" wrapText="1"/>
    </xf>
    <xf numFmtId="169" fontId="0" fillId="30" borderId="0" xfId="0" applyNumberFormat="1" applyFill="1" applyAlignment="1">
      <alignment horizontal="left"/>
    </xf>
    <xf numFmtId="178" fontId="0" fillId="0" borderId="17" xfId="0" applyNumberFormat="1" applyFill="1" applyBorder="1" applyAlignment="1">
      <alignment horizontal="left"/>
    </xf>
    <xf numFmtId="0" fontId="8" fillId="0" borderId="0" xfId="0" applyFont="1"/>
    <xf numFmtId="1" fontId="0" fillId="0" borderId="0" xfId="0" applyNumberFormat="1" applyBorder="1"/>
    <xf numFmtId="0" fontId="54" fillId="0" borderId="38" xfId="0" applyFont="1" applyBorder="1" applyAlignment="1">
      <alignment horizontal="center"/>
    </xf>
    <xf numFmtId="0" fontId="55" fillId="0" borderId="39" xfId="0" applyFont="1" applyBorder="1" applyAlignment="1">
      <alignment horizontal="center" vertical="center" wrapText="1"/>
    </xf>
    <xf numFmtId="0" fontId="54" fillId="0" borderId="16" xfId="0" applyFont="1" applyBorder="1" applyAlignment="1">
      <alignment horizontal="left" vertical="center" wrapText="1"/>
    </xf>
    <xf numFmtId="0" fontId="54" fillId="0" borderId="0" xfId="0" applyFont="1" applyBorder="1" applyAlignment="1">
      <alignment horizontal="center" vertical="center" wrapText="1"/>
    </xf>
    <xf numFmtId="0" fontId="54" fillId="0" borderId="31" xfId="0" applyFont="1" applyBorder="1" applyAlignment="1">
      <alignment horizontal="center" vertical="center" wrapText="1"/>
    </xf>
    <xf numFmtId="0" fontId="54" fillId="0" borderId="35" xfId="0" applyFont="1" applyBorder="1" applyAlignment="1">
      <alignment horizontal="left" vertical="center" wrapText="1"/>
    </xf>
    <xf numFmtId="0" fontId="54" fillId="0" borderId="36" xfId="0" applyFont="1" applyBorder="1" applyAlignment="1">
      <alignment horizontal="center" vertical="center" wrapText="1"/>
    </xf>
    <xf numFmtId="0" fontId="54" fillId="0" borderId="37" xfId="0" applyFont="1" applyBorder="1" applyAlignment="1">
      <alignment horizontal="center" vertical="center" wrapText="1"/>
    </xf>
    <xf numFmtId="0" fontId="54" fillId="0" borderId="43" xfId="0" applyFont="1" applyBorder="1" applyAlignment="1">
      <alignment horizontal="left" vertical="center" wrapText="1"/>
    </xf>
    <xf numFmtId="0" fontId="54" fillId="0" borderId="26" xfId="0" applyFont="1" applyBorder="1" applyAlignment="1">
      <alignment horizontal="center" vertical="center" wrapText="1"/>
    </xf>
    <xf numFmtId="0" fontId="54" fillId="0" borderId="44" xfId="0" applyFont="1" applyBorder="1" applyAlignment="1">
      <alignment horizontal="center" vertical="center" wrapText="1"/>
    </xf>
    <xf numFmtId="0" fontId="54" fillId="0" borderId="46" xfId="0" applyFont="1" applyBorder="1" applyAlignment="1">
      <alignment horizontal="left" vertical="center" wrapText="1"/>
    </xf>
    <xf numFmtId="0" fontId="54" fillId="0" borderId="27" xfId="0" applyFont="1" applyBorder="1" applyAlignment="1">
      <alignment horizontal="center" vertical="center" wrapText="1"/>
    </xf>
    <xf numFmtId="0" fontId="54" fillId="0" borderId="47" xfId="0" applyFont="1" applyBorder="1" applyAlignment="1">
      <alignment horizontal="center" vertical="center" wrapText="1"/>
    </xf>
    <xf numFmtId="0" fontId="54" fillId="0" borderId="28" xfId="0" applyFont="1" applyBorder="1" applyAlignment="1">
      <alignment horizontal="center" vertical="center" wrapText="1"/>
    </xf>
    <xf numFmtId="0" fontId="54" fillId="0" borderId="30" xfId="0" applyFont="1" applyBorder="1" applyAlignment="1">
      <alignment horizontal="center" vertical="center" wrapText="1"/>
    </xf>
    <xf numFmtId="0" fontId="54" fillId="0" borderId="48" xfId="0" applyFont="1" applyBorder="1" applyAlignment="1">
      <alignment horizontal="center" vertical="center" wrapText="1"/>
    </xf>
    <xf numFmtId="0" fontId="54" fillId="0" borderId="49" xfId="0" applyFont="1" applyBorder="1" applyAlignment="1">
      <alignment horizontal="center" vertical="center" wrapText="1"/>
    </xf>
    <xf numFmtId="0" fontId="8" fillId="0" borderId="0" xfId="0" applyFont="1" applyFill="1"/>
    <xf numFmtId="0" fontId="8" fillId="0" borderId="0" xfId="0" applyFont="1" applyFill="1" applyBorder="1"/>
    <xf numFmtId="178" fontId="8" fillId="0" borderId="50" xfId="0" applyNumberFormat="1" applyFont="1" applyBorder="1"/>
    <xf numFmtId="178" fontId="0" fillId="0" borderId="52" xfId="0" applyNumberFormat="1" applyBorder="1"/>
    <xf numFmtId="178" fontId="31" fillId="26" borderId="51" xfId="0" applyNumberFormat="1" applyFont="1" applyFill="1" applyBorder="1" applyAlignment="1">
      <alignment horizontal="left" vertical="top" wrapText="1"/>
    </xf>
    <xf numFmtId="178" fontId="31" fillId="26" borderId="51" xfId="0" quotePrefix="1" applyNumberFormat="1" applyFont="1" applyFill="1" applyBorder="1" applyAlignment="1">
      <alignment horizontal="left" vertical="top" wrapText="1"/>
    </xf>
    <xf numFmtId="0" fontId="35" fillId="0" borderId="0" xfId="0" applyFont="1"/>
    <xf numFmtId="178" fontId="8" fillId="0" borderId="0" xfId="0" applyNumberFormat="1" applyFont="1" applyFill="1" applyBorder="1"/>
    <xf numFmtId="0" fontId="56" fillId="0" borderId="0" xfId="0" applyFont="1"/>
    <xf numFmtId="178" fontId="8" fillId="0" borderId="0" xfId="0" applyNumberFormat="1" applyFont="1" applyBorder="1"/>
    <xf numFmtId="178" fontId="8" fillId="0" borderId="0" xfId="38" applyNumberFormat="1" applyFont="1" applyFill="1" applyBorder="1"/>
    <xf numFmtId="0" fontId="59" fillId="0" borderId="0" xfId="1815" applyFont="1"/>
    <xf numFmtId="0" fontId="7" fillId="0" borderId="0" xfId="1815"/>
    <xf numFmtId="0" fontId="58" fillId="0" borderId="0" xfId="1815" applyFont="1"/>
    <xf numFmtId="0" fontId="58" fillId="0" borderId="55" xfId="1815" applyFont="1" applyBorder="1"/>
    <xf numFmtId="178" fontId="8" fillId="0" borderId="0" xfId="877" applyNumberFormat="1" applyFont="1" applyFill="1" applyBorder="1" applyAlignment="1">
      <alignment horizontal="left"/>
    </xf>
    <xf numFmtId="0" fontId="58" fillId="49" borderId="0" xfId="1815" applyFont="1" applyFill="1"/>
    <xf numFmtId="0" fontId="68" fillId="33" borderId="0" xfId="0" applyFont="1" applyFill="1" applyAlignment="1">
      <alignment horizontal="center"/>
    </xf>
    <xf numFmtId="0" fontId="68" fillId="33" borderId="22" xfId="0" applyFont="1" applyFill="1" applyBorder="1"/>
    <xf numFmtId="14" fontId="8" fillId="0" borderId="0" xfId="877" applyNumberFormat="1" applyFont="1" applyAlignment="1">
      <alignment horizontal="left"/>
    </xf>
    <xf numFmtId="178" fontId="8" fillId="0" borderId="0" xfId="877" applyNumberFormat="1" applyFont="1" applyFill="1" applyBorder="1"/>
    <xf numFmtId="0" fontId="8" fillId="0" borderId="0" xfId="2584"/>
    <xf numFmtId="178" fontId="8" fillId="0" borderId="0" xfId="38" applyNumberFormat="1" applyFont="1" applyFill="1"/>
    <xf numFmtId="178" fontId="8" fillId="0" borderId="0" xfId="0" applyNumberFormat="1" applyFont="1"/>
    <xf numFmtId="0" fontId="8" fillId="0" borderId="0" xfId="877" applyFont="1" applyAlignment="1">
      <alignment horizontal="left"/>
    </xf>
    <xf numFmtId="178" fontId="8" fillId="0" borderId="0" xfId="38" applyNumberFormat="1" applyFont="1" applyFill="1" applyAlignment="1">
      <alignment horizontal="left"/>
    </xf>
    <xf numFmtId="178" fontId="8" fillId="0" borderId="0" xfId="0" applyNumberFormat="1" applyFont="1" applyFill="1" applyBorder="1" applyAlignment="1">
      <alignment horizontal="left"/>
    </xf>
    <xf numFmtId="178" fontId="8" fillId="0" borderId="0" xfId="0" applyNumberFormat="1" applyFont="1" applyAlignment="1">
      <alignment horizontal="left"/>
    </xf>
    <xf numFmtId="0" fontId="10" fillId="0" borderId="0" xfId="2584" applyFont="1" applyAlignment="1">
      <alignment horizontal="left"/>
    </xf>
    <xf numFmtId="0" fontId="8" fillId="0" borderId="0" xfId="2584" applyAlignment="1">
      <alignment horizontal="center"/>
    </xf>
    <xf numFmtId="0" fontId="8" fillId="0" borderId="0" xfId="2584" applyAlignment="1">
      <alignment horizontal="left"/>
    </xf>
    <xf numFmtId="0" fontId="10" fillId="0" borderId="0" xfId="2584" applyFont="1"/>
    <xf numFmtId="2" fontId="10" fillId="0" borderId="0" xfId="2584" applyNumberFormat="1" applyFont="1" applyAlignment="1">
      <alignment horizontal="left"/>
    </xf>
    <xf numFmtId="0" fontId="30" fillId="27" borderId="51" xfId="2584" applyFont="1" applyFill="1" applyBorder="1" applyAlignment="1">
      <alignment horizontal="left" vertical="center" wrapText="1"/>
    </xf>
    <xf numFmtId="0" fontId="8" fillId="0" borderId="50" xfId="2584" applyBorder="1"/>
    <xf numFmtId="0" fontId="31" fillId="26" borderId="64" xfId="2584" applyFont="1" applyFill="1" applyBorder="1" applyAlignment="1">
      <alignment horizontal="left" vertical="top" wrapText="1"/>
    </xf>
    <xf numFmtId="0" fontId="8" fillId="0" borderId="0" xfId="2584" applyBorder="1"/>
    <xf numFmtId="2" fontId="8" fillId="0" borderId="0" xfId="2584" applyNumberFormat="1" applyBorder="1" applyAlignment="1">
      <alignment horizontal="center"/>
    </xf>
    <xf numFmtId="0" fontId="8" fillId="0" borderId="55" xfId="2584" applyBorder="1" applyAlignment="1">
      <alignment horizontal="left"/>
    </xf>
    <xf numFmtId="0" fontId="8" fillId="0" borderId="51" xfId="2584" applyBorder="1"/>
    <xf numFmtId="0" fontId="8" fillId="0" borderId="51" xfId="2584" applyBorder="1" applyAlignment="1">
      <alignment horizontal="left"/>
    </xf>
    <xf numFmtId="2" fontId="8" fillId="0" borderId="51" xfId="2584" applyNumberFormat="1" applyBorder="1" applyAlignment="1">
      <alignment horizontal="center"/>
    </xf>
    <xf numFmtId="0" fontId="8" fillId="0" borderId="0" xfId="2584" applyFill="1" applyBorder="1"/>
    <xf numFmtId="165" fontId="8" fillId="0" borderId="0" xfId="2584" applyNumberFormat="1" applyBorder="1" applyAlignment="1">
      <alignment horizontal="center"/>
    </xf>
    <xf numFmtId="0" fontId="78" fillId="0" borderId="0" xfId="0" applyFont="1" applyFill="1" applyProtection="1"/>
    <xf numFmtId="0" fontId="0" fillId="0" borderId="0" xfId="0" applyFill="1" applyProtection="1"/>
    <xf numFmtId="0" fontId="56" fillId="0" borderId="0" xfId="0" applyFont="1" applyFill="1" applyProtection="1"/>
    <xf numFmtId="0" fontId="0" fillId="0" borderId="53" xfId="0" applyFill="1" applyBorder="1" applyProtection="1"/>
    <xf numFmtId="0" fontId="56" fillId="0" borderId="50" xfId="0" applyFont="1" applyFill="1" applyBorder="1" applyProtection="1"/>
    <xf numFmtId="0" fontId="0" fillId="0" borderId="50" xfId="0" applyFill="1" applyBorder="1" applyProtection="1"/>
    <xf numFmtId="0" fontId="0" fillId="0" borderId="29" xfId="0" applyFill="1" applyBorder="1" applyProtection="1"/>
    <xf numFmtId="0" fontId="56" fillId="0" borderId="73" xfId="0" applyFont="1" applyFill="1" applyBorder="1" applyProtection="1"/>
    <xf numFmtId="181"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6" fillId="0" borderId="79" xfId="0" applyFont="1" applyFill="1" applyBorder="1" applyProtection="1"/>
    <xf numFmtId="181"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8" fillId="0" borderId="0" xfId="877" applyNumberFormat="1" applyFont="1"/>
    <xf numFmtId="0" fontId="3" fillId="0" borderId="0" xfId="1815" applyFont="1"/>
    <xf numFmtId="0" fontId="0" fillId="0" borderId="83" xfId="0" applyBorder="1"/>
    <xf numFmtId="174" fontId="0" fillId="0" borderId="0" xfId="0" applyNumberFormat="1" applyFill="1"/>
    <xf numFmtId="178" fontId="36" fillId="0" borderId="0" xfId="0" applyNumberFormat="1" applyFont="1" applyFill="1" applyBorder="1"/>
    <xf numFmtId="0" fontId="8" fillId="0" borderId="0" xfId="2584" applyBorder="1" applyAlignment="1">
      <alignment horizontal="center"/>
    </xf>
    <xf numFmtId="0" fontId="8" fillId="0" borderId="0" xfId="2584" applyBorder="1" applyAlignment="1">
      <alignment horizontal="left"/>
    </xf>
    <xf numFmtId="0" fontId="35"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30" fillId="27" borderId="18" xfId="0" applyFont="1" applyFill="1" applyBorder="1" applyAlignment="1">
      <alignment horizontal="center" vertical="center" wrapText="1"/>
    </xf>
    <xf numFmtId="0" fontId="30" fillId="0" borderId="0" xfId="2584" applyFont="1" applyFill="1" applyBorder="1" applyAlignment="1">
      <alignment horizontal="left" vertical="center" wrapText="1"/>
    </xf>
    <xf numFmtId="0" fontId="8" fillId="0" borderId="0" xfId="2584" applyFill="1"/>
    <xf numFmtId="0" fontId="31" fillId="0" borderId="0" xfId="2584" applyFont="1" applyFill="1" applyBorder="1" applyAlignment="1">
      <alignment horizontal="left" vertical="top" wrapText="1"/>
    </xf>
    <xf numFmtId="175" fontId="8" fillId="0" borderId="0" xfId="38" applyNumberFormat="1"/>
    <xf numFmtId="165" fontId="8" fillId="0" borderId="16" xfId="38" applyNumberFormat="1" applyBorder="1"/>
    <xf numFmtId="165" fontId="8" fillId="0" borderId="0" xfId="38" applyNumberFormat="1" applyBorder="1"/>
    <xf numFmtId="0" fontId="30" fillId="29" borderId="51" xfId="2584" applyFont="1" applyFill="1" applyBorder="1" applyAlignment="1">
      <alignment horizontal="center" vertical="center" wrapText="1"/>
    </xf>
    <xf numFmtId="0" fontId="30" fillId="30" borderId="51" xfId="2584" applyFont="1" applyFill="1" applyBorder="1" applyAlignment="1">
      <alignment horizontal="center" vertical="center" wrapText="1"/>
    </xf>
    <xf numFmtId="0" fontId="31" fillId="26" borderId="64" xfId="2584" applyFont="1" applyFill="1" applyBorder="1" applyAlignment="1">
      <alignment horizontal="center" vertical="top" wrapText="1"/>
    </xf>
    <xf numFmtId="0" fontId="35" fillId="0" borderId="0" xfId="0" applyFont="1" applyFill="1" applyBorder="1" applyAlignment="1"/>
    <xf numFmtId="0" fontId="8" fillId="0" borderId="84" xfId="2584" applyBorder="1"/>
    <xf numFmtId="0" fontId="8" fillId="0" borderId="84" xfId="2584" applyBorder="1" applyAlignment="1">
      <alignment horizontal="left"/>
    </xf>
    <xf numFmtId="2" fontId="8" fillId="0" borderId="84" xfId="2584" applyNumberFormat="1" applyBorder="1" applyAlignment="1">
      <alignment horizontal="center"/>
    </xf>
    <xf numFmtId="0" fontId="8" fillId="0" borderId="83" xfId="2584" applyBorder="1"/>
    <xf numFmtId="0" fontId="8" fillId="0" borderId="83" xfId="2584" applyBorder="1" applyAlignment="1">
      <alignment horizontal="left"/>
    </xf>
    <xf numFmtId="2" fontId="8" fillId="0" borderId="83" xfId="2584" applyNumberFormat="1" applyBorder="1" applyAlignment="1">
      <alignment horizontal="center"/>
    </xf>
    <xf numFmtId="0" fontId="8" fillId="0" borderId="83" xfId="2584" applyFill="1" applyBorder="1"/>
    <xf numFmtId="0" fontId="8" fillId="0" borderId="0" xfId="2584" applyFont="1" applyBorder="1"/>
    <xf numFmtId="0" fontId="8" fillId="40" borderId="82" xfId="2584" applyFill="1" applyBorder="1" applyAlignment="1">
      <alignment horizontal="center"/>
    </xf>
    <xf numFmtId="0" fontId="8" fillId="40" borderId="84" xfId="2584" applyFill="1" applyBorder="1" applyAlignment="1">
      <alignment horizontal="center"/>
    </xf>
    <xf numFmtId="0" fontId="8" fillId="0" borderId="16" xfId="2584" applyFont="1" applyBorder="1"/>
    <xf numFmtId="165" fontId="8" fillId="0" borderId="83" xfId="38" applyNumberFormat="1" applyBorder="1"/>
    <xf numFmtId="1" fontId="0" fillId="0" borderId="0" xfId="0" applyNumberFormat="1"/>
    <xf numFmtId="166" fontId="0" fillId="0" borderId="0" xfId="0" applyNumberFormat="1"/>
    <xf numFmtId="0" fontId="82" fillId="0" borderId="0" xfId="2584" applyFont="1"/>
    <xf numFmtId="181" fontId="82" fillId="0" borderId="0" xfId="38" applyNumberFormat="1" applyFont="1"/>
    <xf numFmtId="0" fontId="35" fillId="0" borderId="0" xfId="2584" applyFont="1" applyAlignment="1">
      <alignment horizontal="left"/>
    </xf>
    <xf numFmtId="175" fontId="35" fillId="0" borderId="0" xfId="2584" applyNumberFormat="1" applyFont="1" applyAlignment="1">
      <alignment horizontal="center"/>
    </xf>
    <xf numFmtId="165" fontId="84" fillId="0" borderId="0" xfId="38" applyNumberFormat="1" applyFont="1" applyFill="1" applyBorder="1" applyAlignment="1">
      <alignment horizontal="center"/>
    </xf>
    <xf numFmtId="0" fontId="87" fillId="0" borderId="0" xfId="0" applyFont="1"/>
    <xf numFmtId="0" fontId="88" fillId="0" borderId="0" xfId="0" applyFont="1" applyAlignment="1">
      <alignment horizontal="left"/>
    </xf>
    <xf numFmtId="0" fontId="89" fillId="0" borderId="0" xfId="0" applyFont="1" applyAlignment="1">
      <alignment horizontal="left"/>
    </xf>
    <xf numFmtId="0" fontId="87" fillId="0" borderId="0" xfId="0" applyFont="1" applyAlignment="1">
      <alignment horizontal="left"/>
    </xf>
    <xf numFmtId="2" fontId="90" fillId="0" borderId="0" xfId="0" applyNumberFormat="1" applyFont="1" applyAlignment="1">
      <alignment horizontal="center"/>
    </xf>
    <xf numFmtId="0" fontId="87" fillId="0" borderId="0" xfId="0" applyFont="1" applyAlignment="1">
      <alignment horizontal="center"/>
    </xf>
    <xf numFmtId="0" fontId="87" fillId="0" borderId="0" xfId="0" applyFont="1" applyFill="1"/>
    <xf numFmtId="2" fontId="88" fillId="0" borderId="0" xfId="0" applyNumberFormat="1" applyFont="1" applyAlignment="1">
      <alignment horizontal="left"/>
    </xf>
    <xf numFmtId="0" fontId="87" fillId="0" borderId="0" xfId="0" applyFont="1" applyBorder="1" applyAlignment="1">
      <alignment horizontal="center"/>
    </xf>
    <xf numFmtId="0" fontId="91" fillId="0" borderId="0" xfId="0" applyFont="1" applyBorder="1" applyAlignment="1">
      <alignment horizontal="center"/>
    </xf>
    <xf numFmtId="0" fontId="87" fillId="0" borderId="0" xfId="0" applyFont="1" applyFill="1" applyBorder="1"/>
    <xf numFmtId="0" fontId="87" fillId="27" borderId="13" xfId="0" applyFont="1" applyFill="1" applyBorder="1" applyAlignment="1">
      <alignment horizontal="left" vertical="center" wrapText="1"/>
    </xf>
    <xf numFmtId="0" fontId="87" fillId="29" borderId="13" xfId="0" applyFont="1" applyFill="1" applyBorder="1" applyAlignment="1">
      <alignment horizontal="left" vertical="center" wrapText="1"/>
    </xf>
    <xf numFmtId="0" fontId="87" fillId="30" borderId="13" xfId="0" applyFont="1" applyFill="1" applyBorder="1" applyAlignment="1">
      <alignment horizontal="left" vertical="center" wrapText="1"/>
    </xf>
    <xf numFmtId="0" fontId="87" fillId="0" borderId="0" xfId="0" applyFont="1" applyBorder="1"/>
    <xf numFmtId="0" fontId="92" fillId="26" borderId="12" xfId="0" applyFont="1" applyFill="1" applyBorder="1" applyAlignment="1">
      <alignment horizontal="left" vertical="top" wrapText="1"/>
    </xf>
    <xf numFmtId="0" fontId="92" fillId="26" borderId="64" xfId="0" applyFont="1" applyFill="1" applyBorder="1" applyAlignment="1">
      <alignment horizontal="left" vertical="top" wrapText="1"/>
    </xf>
    <xf numFmtId="174" fontId="87" fillId="0" borderId="0" xfId="0" applyNumberFormat="1" applyFont="1" applyAlignment="1">
      <alignment horizontal="center"/>
    </xf>
    <xf numFmtId="172" fontId="87" fillId="0" borderId="0" xfId="0" applyNumberFormat="1" applyFont="1" applyAlignment="1">
      <alignment horizontal="left"/>
    </xf>
    <xf numFmtId="0" fontId="93" fillId="0" borderId="0" xfId="0" applyFont="1"/>
    <xf numFmtId="2" fontId="87" fillId="0" borderId="0" xfId="38" applyNumberFormat="1" applyFont="1" applyBorder="1"/>
    <xf numFmtId="182" fontId="87" fillId="0" borderId="0" xfId="0" applyNumberFormat="1" applyFont="1" applyFill="1" applyBorder="1"/>
    <xf numFmtId="165" fontId="87" fillId="0" borderId="0" xfId="38" applyFont="1" applyFill="1" applyBorder="1"/>
    <xf numFmtId="175" fontId="87" fillId="0" borderId="0" xfId="38" applyNumberFormat="1" applyFont="1" applyBorder="1" applyAlignment="1">
      <alignment horizontal="left"/>
    </xf>
    <xf numFmtId="165" fontId="94" fillId="0" borderId="0" xfId="38" applyFont="1" applyBorder="1"/>
    <xf numFmtId="0" fontId="95" fillId="0" borderId="0" xfId="0" applyFont="1"/>
    <xf numFmtId="0" fontId="96" fillId="0" borderId="0" xfId="0" applyFont="1"/>
    <xf numFmtId="0" fontId="93" fillId="0" borderId="0" xfId="0" applyFont="1" applyFill="1"/>
    <xf numFmtId="0" fontId="87" fillId="0" borderId="17" xfId="0" applyFont="1" applyFill="1" applyBorder="1"/>
    <xf numFmtId="0" fontId="87" fillId="0" borderId="17" xfId="0" applyFont="1" applyBorder="1" applyAlignment="1">
      <alignment horizontal="left"/>
    </xf>
    <xf numFmtId="174" fontId="87" fillId="0" borderId="17" xfId="0" applyNumberFormat="1" applyFont="1" applyBorder="1" applyAlignment="1">
      <alignment horizontal="center"/>
    </xf>
    <xf numFmtId="172" fontId="87" fillId="0" borderId="17" xfId="0" applyNumberFormat="1" applyFont="1" applyBorder="1" applyAlignment="1">
      <alignment horizontal="left"/>
    </xf>
    <xf numFmtId="0" fontId="87" fillId="0" borderId="0" xfId="0" applyFont="1" applyBorder="1" applyAlignment="1">
      <alignment horizontal="left"/>
    </xf>
    <xf numFmtId="183" fontId="95" fillId="0" borderId="0" xfId="38" applyNumberFormat="1" applyFont="1"/>
    <xf numFmtId="0" fontId="87" fillId="0" borderId="0" xfId="0" applyFont="1" applyFill="1" applyBorder="1" applyAlignment="1">
      <alignment horizontal="left"/>
    </xf>
    <xf numFmtId="165" fontId="87" fillId="0" borderId="0" xfId="38" applyFont="1" applyBorder="1"/>
    <xf numFmtId="173" fontId="85" fillId="0" borderId="0" xfId="0" applyNumberFormat="1" applyFont="1" applyAlignment="1">
      <alignment horizontal="right"/>
    </xf>
    <xf numFmtId="165" fontId="86" fillId="0" borderId="0" xfId="38" applyNumberFormat="1" applyFont="1" applyFill="1" applyBorder="1" applyAlignment="1"/>
    <xf numFmtId="2" fontId="87" fillId="0" borderId="0" xfId="0" applyNumberFormat="1" applyFont="1" applyFill="1" applyAlignment="1">
      <alignment horizontal="center"/>
    </xf>
    <xf numFmtId="0" fontId="87" fillId="0" borderId="91" xfId="0" applyFont="1" applyBorder="1" applyAlignment="1">
      <alignment horizontal="center" vertical="center"/>
    </xf>
    <xf numFmtId="0" fontId="87" fillId="0" borderId="92" xfId="0" applyFont="1" applyBorder="1" applyAlignment="1">
      <alignment horizontal="center" vertical="center"/>
    </xf>
    <xf numFmtId="43" fontId="87" fillId="0" borderId="0" xfId="0" applyNumberFormat="1" applyFont="1"/>
    <xf numFmtId="178" fontId="87" fillId="0" borderId="0" xfId="2590" applyNumberFormat="1" applyFont="1" applyFill="1"/>
    <xf numFmtId="165" fontId="97" fillId="0" borderId="0" xfId="38" applyFont="1" applyBorder="1"/>
    <xf numFmtId="2" fontId="89" fillId="0" borderId="0" xfId="0" applyNumberFormat="1" applyFont="1" applyAlignment="1">
      <alignment horizontal="center"/>
    </xf>
    <xf numFmtId="0" fontId="87" fillId="0" borderId="84" xfId="0" applyFont="1" applyBorder="1" applyAlignment="1">
      <alignment horizontal="center" vertical="center"/>
    </xf>
    <xf numFmtId="0" fontId="87" fillId="0" borderId="82" xfId="0" applyFont="1" applyBorder="1" applyAlignment="1">
      <alignment horizontal="center" vertical="center"/>
    </xf>
    <xf numFmtId="0" fontId="87" fillId="0" borderId="94" xfId="0" applyFont="1" applyBorder="1" applyAlignment="1">
      <alignment horizontal="center" vertical="center"/>
    </xf>
    <xf numFmtId="0" fontId="87" fillId="0" borderId="97" xfId="0" applyFont="1" applyBorder="1" applyAlignment="1">
      <alignment horizontal="center" vertical="center"/>
    </xf>
    <xf numFmtId="165" fontId="94" fillId="0" borderId="93" xfId="38" applyFont="1" applyBorder="1"/>
    <xf numFmtId="165" fontId="94" fillId="0" borderId="95" xfId="38" applyFont="1" applyBorder="1"/>
    <xf numFmtId="165" fontId="94" fillId="0" borderId="96" xfId="38" applyFont="1" applyBorder="1"/>
    <xf numFmtId="173" fontId="81" fillId="0" borderId="50" xfId="0" applyNumberFormat="1" applyFont="1" applyBorder="1"/>
    <xf numFmtId="173" fontId="81" fillId="0" borderId="0" xfId="0" applyNumberFormat="1" applyFont="1" applyBorder="1"/>
    <xf numFmtId="173" fontId="81" fillId="0" borderId="83" xfId="0" applyNumberFormat="1" applyFont="1" applyBorder="1"/>
    <xf numFmtId="181" fontId="83" fillId="0" borderId="0" xfId="38" applyNumberFormat="1" applyFont="1" applyAlignment="1">
      <alignment horizontal="right"/>
    </xf>
    <xf numFmtId="165" fontId="83" fillId="0" borderId="0" xfId="0" applyNumberFormat="1" applyFont="1"/>
    <xf numFmtId="0" fontId="83" fillId="0" borderId="0" xfId="0" applyFont="1"/>
    <xf numFmtId="0" fontId="83" fillId="0" borderId="0" xfId="0" applyFont="1" applyAlignment="1">
      <alignment horizontal="right"/>
    </xf>
    <xf numFmtId="0" fontId="83" fillId="0" borderId="0" xfId="0" applyFont="1" applyAlignment="1">
      <alignment horizontal="right" vertical="center"/>
    </xf>
    <xf numFmtId="0" fontId="98" fillId="0" borderId="0" xfId="0" applyFont="1" applyAlignment="1">
      <alignment horizontal="right"/>
    </xf>
    <xf numFmtId="0" fontId="98" fillId="0" borderId="0" xfId="0" applyFont="1" applyAlignment="1">
      <alignment horizontal="right" vertical="center"/>
    </xf>
    <xf numFmtId="165" fontId="98" fillId="0" borderId="0" xfId="38" applyFont="1" applyAlignment="1">
      <alignment horizontal="right"/>
    </xf>
    <xf numFmtId="173" fontId="35" fillId="0" borderId="0" xfId="0" applyNumberFormat="1" applyFont="1"/>
    <xf numFmtId="14" fontId="36" fillId="0" borderId="0" xfId="877" applyNumberFormat="1" applyAlignment="1">
      <alignment horizontal="left"/>
    </xf>
    <xf numFmtId="178" fontId="36" fillId="0" borderId="0" xfId="877" applyNumberFormat="1" applyAlignment="1">
      <alignment horizontal="left"/>
    </xf>
    <xf numFmtId="178" fontId="35" fillId="0" borderId="0" xfId="877" applyNumberFormat="1" applyFont="1"/>
    <xf numFmtId="178" fontId="8" fillId="0" borderId="0" xfId="877" applyNumberFormat="1" applyFont="1"/>
    <xf numFmtId="43" fontId="87" fillId="0" borderId="0" xfId="0" applyNumberFormat="1" applyFont="1" applyFill="1"/>
    <xf numFmtId="178" fontId="30" fillId="27" borderId="0" xfId="0" applyNumberFormat="1" applyFont="1" applyFill="1" applyBorder="1" applyAlignment="1">
      <alignment horizontal="left" vertical="center" wrapText="1"/>
    </xf>
    <xf numFmtId="175" fontId="87" fillId="0" borderId="83" xfId="38" applyNumberFormat="1" applyFont="1" applyBorder="1" applyAlignment="1">
      <alignment horizontal="left"/>
    </xf>
    <xf numFmtId="0" fontId="30" fillId="27" borderId="0" xfId="2584" applyFont="1" applyFill="1" applyBorder="1" applyAlignment="1">
      <alignment horizontal="left" vertical="center" wrapText="1"/>
    </xf>
    <xf numFmtId="0" fontId="31" fillId="26" borderId="0" xfId="2584" applyFont="1" applyFill="1" applyBorder="1" applyAlignment="1">
      <alignment horizontal="left" vertical="top" wrapText="1"/>
    </xf>
    <xf numFmtId="0" fontId="100" fillId="0" borderId="0" xfId="4348" applyFont="1"/>
    <xf numFmtId="0" fontId="101" fillId="0" borderId="0" xfId="4348" applyFont="1"/>
    <xf numFmtId="0" fontId="101" fillId="0" borderId="0" xfId="4348" applyFont="1" applyAlignment="1">
      <alignment horizontal="center" wrapText="1"/>
    </xf>
    <xf numFmtId="0" fontId="100" fillId="0" borderId="98" xfId="4348" applyFont="1" applyBorder="1" applyAlignment="1">
      <alignment horizontal="center" vertical="center"/>
    </xf>
    <xf numFmtId="0" fontId="101" fillId="0" borderId="99" xfId="4348" applyFont="1" applyBorder="1" applyAlignment="1">
      <alignment horizontal="center" vertical="center"/>
    </xf>
    <xf numFmtId="0" fontId="101" fillId="0" borderId="99" xfId="4348" applyFont="1" applyBorder="1" applyAlignment="1">
      <alignment horizontal="center" vertical="center" wrapText="1"/>
    </xf>
    <xf numFmtId="0" fontId="101" fillId="0" borderId="100" xfId="4348" applyFont="1" applyBorder="1" applyAlignment="1">
      <alignment horizontal="center" vertical="center" wrapText="1"/>
    </xf>
    <xf numFmtId="0" fontId="101" fillId="0" borderId="101" xfId="4348" applyFont="1" applyBorder="1" applyAlignment="1">
      <alignment horizontal="center" vertical="center" wrapText="1"/>
    </xf>
    <xf numFmtId="0" fontId="100" fillId="0" borderId="0" xfId="4348" applyFont="1" applyAlignment="1">
      <alignment horizontal="right"/>
    </xf>
    <xf numFmtId="0" fontId="100" fillId="0" borderId="102" xfId="4348" applyFont="1" applyBorder="1" applyAlignment="1">
      <alignment vertical="center"/>
    </xf>
    <xf numFmtId="185" fontId="100" fillId="0" borderId="103" xfId="4348" applyNumberFormat="1" applyFont="1" applyBorder="1" applyAlignment="1">
      <alignment horizontal="right"/>
    </xf>
    <xf numFmtId="0" fontId="100" fillId="0" borderId="103" xfId="4348" applyFont="1" applyBorder="1" applyAlignment="1">
      <alignment horizontal="right"/>
    </xf>
    <xf numFmtId="0" fontId="100" fillId="0" borderId="104" xfId="4348" applyFont="1" applyBorder="1" applyAlignment="1">
      <alignment horizontal="right"/>
    </xf>
    <xf numFmtId="0" fontId="100" fillId="0" borderId="78" xfId="4348" applyFont="1" applyBorder="1" applyAlignment="1">
      <alignment horizontal="right"/>
    </xf>
    <xf numFmtId="0" fontId="100" fillId="0" borderId="73" xfId="4348" applyFont="1" applyBorder="1"/>
    <xf numFmtId="185" fontId="100" fillId="0" borderId="74" xfId="4348" applyNumberFormat="1" applyFont="1" applyBorder="1" applyAlignment="1">
      <alignment horizontal="right"/>
    </xf>
    <xf numFmtId="0" fontId="100" fillId="0" borderId="74" xfId="4348" applyFont="1" applyBorder="1" applyAlignment="1">
      <alignment horizontal="right"/>
    </xf>
    <xf numFmtId="185" fontId="100" fillId="0" borderId="74" xfId="4348" applyNumberFormat="1" applyFont="1" applyBorder="1" applyAlignment="1">
      <alignment horizontal="right" wrapText="1"/>
    </xf>
    <xf numFmtId="185" fontId="100" fillId="0" borderId="74" xfId="4348" applyNumberFormat="1" applyFont="1" applyBorder="1"/>
    <xf numFmtId="185" fontId="100" fillId="0" borderId="104" xfId="4348" applyNumberFormat="1" applyFont="1" applyBorder="1" applyAlignment="1">
      <alignment horizontal="right"/>
    </xf>
    <xf numFmtId="185" fontId="100" fillId="0" borderId="78" xfId="4348" applyNumberFormat="1" applyFont="1" applyBorder="1" applyAlignment="1">
      <alignment horizontal="right"/>
    </xf>
    <xf numFmtId="185" fontId="100" fillId="0" borderId="104" xfId="4348" applyNumberFormat="1" applyFont="1" applyBorder="1"/>
    <xf numFmtId="185" fontId="100" fillId="0" borderId="78" xfId="4348" applyNumberFormat="1" applyFont="1" applyBorder="1"/>
    <xf numFmtId="0" fontId="100" fillId="0" borderId="73" xfId="4348" applyFont="1" applyBorder="1" applyAlignment="1">
      <alignment wrapText="1"/>
    </xf>
    <xf numFmtId="184" fontId="100" fillId="0" borderId="73" xfId="4348" applyNumberFormat="1" applyFont="1" applyBorder="1"/>
    <xf numFmtId="186" fontId="100" fillId="0" borderId="74" xfId="4348" applyNumberFormat="1" applyFont="1" applyBorder="1" applyAlignment="1">
      <alignment horizontal="right"/>
    </xf>
    <xf numFmtId="0" fontId="100" fillId="0" borderId="105" xfId="4349" applyFont="1" applyBorder="1"/>
    <xf numFmtId="0" fontId="100" fillId="0" borderId="106" xfId="4348" applyFont="1" applyBorder="1" applyAlignment="1">
      <alignment horizontal="right"/>
    </xf>
    <xf numFmtId="0" fontId="100" fillId="0" borderId="80" xfId="4348" applyFont="1" applyBorder="1" applyAlignment="1">
      <alignment horizontal="right"/>
    </xf>
    <xf numFmtId="0" fontId="100" fillId="0" borderId="107" xfId="4348" applyFont="1" applyBorder="1"/>
    <xf numFmtId="184" fontId="100"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 fillId="0" borderId="0" xfId="0" applyFont="1" applyAlignment="1">
      <alignment vertical="center"/>
    </xf>
    <xf numFmtId="10" fontId="0" fillId="0" borderId="0" xfId="0" applyNumberFormat="1"/>
    <xf numFmtId="0" fontId="103" fillId="0" borderId="0" xfId="0" applyFont="1"/>
    <xf numFmtId="0" fontId="102" fillId="0" borderId="80" xfId="0" applyFont="1" applyBorder="1" applyAlignment="1">
      <alignment horizontal="center" vertical="center" wrapText="1"/>
    </xf>
    <xf numFmtId="0" fontId="102" fillId="0" borderId="81" xfId="0" applyFont="1" applyBorder="1" applyAlignment="1">
      <alignment horizontal="center" vertical="center" wrapText="1"/>
    </xf>
    <xf numFmtId="0" fontId="102" fillId="0" borderId="102" xfId="0" applyFont="1" applyBorder="1"/>
    <xf numFmtId="184" fontId="102" fillId="0" borderId="103" xfId="0" applyNumberFormat="1" applyFont="1" applyBorder="1" applyAlignment="1">
      <alignment horizontal="right" vertical="center" wrapText="1"/>
    </xf>
    <xf numFmtId="184" fontId="102" fillId="0" borderId="77" xfId="0" applyNumberFormat="1" applyFont="1" applyBorder="1" applyAlignment="1">
      <alignment horizontal="right" vertical="center" wrapText="1"/>
    </xf>
    <xf numFmtId="0" fontId="102" fillId="0" borderId="73" xfId="0" applyFont="1" applyBorder="1"/>
    <xf numFmtId="184" fontId="102" fillId="0" borderId="74" xfId="0" applyNumberFormat="1" applyFont="1" applyBorder="1" applyAlignment="1">
      <alignment horizontal="right" vertical="center" wrapText="1"/>
    </xf>
    <xf numFmtId="184" fontId="102" fillId="0" borderId="78" xfId="0" applyNumberFormat="1" applyFont="1" applyBorder="1" applyAlignment="1">
      <alignment horizontal="right" vertical="center" wrapText="1"/>
    </xf>
    <xf numFmtId="0" fontId="102" fillId="0" borderId="73" xfId="0" applyFont="1" applyBorder="1" applyAlignment="1">
      <alignment horizontal="left" indent="1"/>
    </xf>
    <xf numFmtId="184" fontId="102" fillId="0" borderId="74" xfId="0" applyNumberFormat="1" applyFont="1" applyBorder="1" applyAlignment="1">
      <alignment horizontal="right" wrapText="1"/>
    </xf>
    <xf numFmtId="184" fontId="102" fillId="0" borderId="78" xfId="0" applyNumberFormat="1" applyFont="1" applyBorder="1" applyAlignment="1">
      <alignment horizontal="right" wrapText="1"/>
    </xf>
    <xf numFmtId="0" fontId="103" fillId="0" borderId="73" xfId="0" applyFont="1" applyBorder="1" applyAlignment="1">
      <alignment horizontal="left" indent="2"/>
    </xf>
    <xf numFmtId="0" fontId="103" fillId="0" borderId="74" xfId="0" applyFont="1" applyBorder="1" applyAlignment="1">
      <alignment horizontal="right" vertical="center" wrapText="1"/>
    </xf>
    <xf numFmtId="0" fontId="103" fillId="0" borderId="78" xfId="0" applyFont="1" applyBorder="1" applyAlignment="1">
      <alignment horizontal="right" vertical="center" wrapText="1"/>
    </xf>
    <xf numFmtId="184" fontId="103" fillId="0" borderId="74" xfId="0" applyNumberFormat="1" applyFont="1" applyBorder="1" applyAlignment="1">
      <alignment horizontal="right" vertical="center" wrapText="1"/>
    </xf>
    <xf numFmtId="184" fontId="103" fillId="0" borderId="78" xfId="0" applyNumberFormat="1" applyFont="1" applyBorder="1" applyAlignment="1">
      <alignment horizontal="right" vertical="center" wrapText="1"/>
    </xf>
    <xf numFmtId="0" fontId="103" fillId="0" borderId="79" xfId="0" applyFont="1" applyBorder="1" applyAlignment="1">
      <alignment horizontal="left" indent="2"/>
    </xf>
    <xf numFmtId="184" fontId="103" fillId="0" borderId="80" xfId="0" applyNumberFormat="1" applyFont="1" applyBorder="1" applyAlignment="1">
      <alignment horizontal="right" vertical="center" wrapText="1"/>
    </xf>
    <xf numFmtId="184" fontId="103" fillId="0" borderId="81" xfId="0" applyNumberFormat="1" applyFont="1" applyBorder="1" applyAlignment="1">
      <alignment horizontal="right" vertical="center" wrapText="1"/>
    </xf>
    <xf numFmtId="0" fontId="75" fillId="0" borderId="0" xfId="0" applyFont="1"/>
    <xf numFmtId="185" fontId="100" fillId="0" borderId="0" xfId="4348" applyNumberFormat="1" applyFont="1"/>
    <xf numFmtId="4" fontId="100" fillId="0" borderId="0" xfId="4348" applyNumberFormat="1" applyFont="1"/>
    <xf numFmtId="0" fontId="55" fillId="0" borderId="0" xfId="4348" applyFont="1"/>
    <xf numFmtId="4" fontId="8" fillId="0" borderId="0" xfId="0" applyNumberFormat="1" applyFont="1"/>
    <xf numFmtId="185" fontId="8" fillId="0" borderId="0" xfId="0" applyNumberFormat="1" applyFont="1"/>
    <xf numFmtId="0" fontId="100" fillId="0" borderId="110" xfId="4349" applyFont="1" applyFill="1" applyBorder="1"/>
    <xf numFmtId="185" fontId="0" fillId="0" borderId="0" xfId="0" applyNumberFormat="1"/>
    <xf numFmtId="0" fontId="54" fillId="0" borderId="0" xfId="4349" applyFont="1"/>
    <xf numFmtId="184" fontId="54" fillId="0" borderId="0" xfId="4349" applyNumberFormat="1" applyFont="1"/>
    <xf numFmtId="0" fontId="106" fillId="0" borderId="114" xfId="0" applyFont="1" applyBorder="1" applyAlignment="1">
      <alignment horizontal="center" vertical="center" wrapText="1"/>
    </xf>
    <xf numFmtId="0" fontId="106" fillId="0" borderId="75" xfId="0" applyFont="1" applyBorder="1" applyAlignment="1">
      <alignment horizontal="center" vertical="center" wrapText="1"/>
    </xf>
    <xf numFmtId="0" fontId="106" fillId="0" borderId="32" xfId="0" applyFont="1" applyBorder="1"/>
    <xf numFmtId="187" fontId="101" fillId="0" borderId="111" xfId="0" applyNumberFormat="1" applyFont="1" applyBorder="1" applyAlignment="1">
      <alignment horizontal="right"/>
    </xf>
    <xf numFmtId="187" fontId="101" fillId="0" borderId="112" xfId="0" applyNumberFormat="1" applyFont="1" applyBorder="1" applyAlignment="1">
      <alignment horizontal="right"/>
    </xf>
    <xf numFmtId="0" fontId="106" fillId="0" borderId="73" xfId="0" applyFont="1" applyBorder="1"/>
    <xf numFmtId="187" fontId="100" fillId="0" borderId="74" xfId="0" applyNumberFormat="1" applyFont="1" applyBorder="1" applyAlignment="1">
      <alignment horizontal="right"/>
    </xf>
    <xf numFmtId="187" fontId="101" fillId="0" borderId="74" xfId="0" applyNumberFormat="1" applyFont="1" applyBorder="1" applyAlignment="1">
      <alignment horizontal="right"/>
    </xf>
    <xf numFmtId="187" fontId="101" fillId="0" borderId="78" xfId="0" applyNumberFormat="1" applyFont="1" applyBorder="1" applyAlignment="1">
      <alignment horizontal="right"/>
    </xf>
    <xf numFmtId="0" fontId="101" fillId="0" borderId="74" xfId="0" applyFont="1" applyBorder="1" applyAlignment="1">
      <alignment horizontal="right"/>
    </xf>
    <xf numFmtId="0" fontId="101" fillId="0" borderId="78" xfId="0" applyFont="1" applyBorder="1" applyAlignment="1">
      <alignment horizontal="right"/>
    </xf>
    <xf numFmtId="0" fontId="107" fillId="0" borderId="73" xfId="0" applyFont="1" applyBorder="1" applyAlignment="1">
      <alignment horizontal="center"/>
    </xf>
    <xf numFmtId="187" fontId="100" fillId="0" borderId="78" xfId="0" applyNumberFormat="1" applyFont="1" applyBorder="1" applyAlignment="1">
      <alignment horizontal="right"/>
    </xf>
    <xf numFmtId="0" fontId="109" fillId="0" borderId="73" xfId="0" applyFont="1" applyBorder="1" applyAlignment="1">
      <alignment horizontal="left" indent="1"/>
    </xf>
    <xf numFmtId="184" fontId="110" fillId="0" borderId="74" xfId="0" applyNumberFormat="1" applyFont="1" applyBorder="1" applyAlignment="1">
      <alignment horizontal="right"/>
    </xf>
    <xf numFmtId="184" fontId="111" fillId="0" borderId="74" xfId="0" applyNumberFormat="1" applyFont="1" applyBorder="1" applyAlignment="1">
      <alignment horizontal="right"/>
    </xf>
    <xf numFmtId="184" fontId="111" fillId="0" borderId="74" xfId="0" applyNumberFormat="1" applyFont="1" applyBorder="1"/>
    <xf numFmtId="184" fontId="101" fillId="0" borderId="74" xfId="0" applyNumberFormat="1" applyFont="1" applyBorder="1" applyAlignment="1">
      <alignment horizontal="right"/>
    </xf>
    <xf numFmtId="184" fontId="100" fillId="0" borderId="74" xfId="0" applyNumberFormat="1" applyFont="1" applyBorder="1" applyAlignment="1">
      <alignment horizontal="right"/>
    </xf>
    <xf numFmtId="184" fontId="100" fillId="0" borderId="74" xfId="4349" applyNumberFormat="1" applyFont="1" applyBorder="1"/>
    <xf numFmtId="184" fontId="100" fillId="0" borderId="78" xfId="4349" applyNumberFormat="1" applyFont="1" applyBorder="1"/>
    <xf numFmtId="184" fontId="110" fillId="0" borderId="78" xfId="0" applyNumberFormat="1" applyFont="1" applyBorder="1" applyAlignment="1">
      <alignment horizontal="right"/>
    </xf>
    <xf numFmtId="184" fontId="111" fillId="0" borderId="78" xfId="0" applyNumberFormat="1" applyFont="1" applyBorder="1" applyAlignment="1">
      <alignment horizontal="right"/>
    </xf>
    <xf numFmtId="184" fontId="110" fillId="0" borderId="74" xfId="0" applyNumberFormat="1" applyFont="1" applyBorder="1"/>
    <xf numFmtId="184" fontId="112" fillId="0" borderId="78" xfId="0" applyNumberFormat="1" applyFont="1" applyBorder="1" applyAlignment="1">
      <alignment horizontal="right" wrapText="1"/>
    </xf>
    <xf numFmtId="0" fontId="100" fillId="0" borderId="74" xfId="4349" applyFont="1" applyBorder="1"/>
    <xf numFmtId="0" fontId="100" fillId="0" borderId="78" xfId="4349" applyFont="1" applyBorder="1"/>
    <xf numFmtId="184" fontId="100" fillId="0" borderId="78" xfId="0" applyNumberFormat="1" applyFont="1" applyBorder="1" applyAlignment="1">
      <alignment horizontal="right"/>
    </xf>
    <xf numFmtId="188" fontId="100" fillId="0" borderId="74" xfId="0" applyNumberFormat="1" applyFont="1" applyBorder="1"/>
    <xf numFmtId="187" fontId="100" fillId="0" borderId="74" xfId="0" applyNumberFormat="1" applyFont="1" applyBorder="1"/>
    <xf numFmtId="0" fontId="100" fillId="0" borderId="74" xfId="0" applyFont="1" applyBorder="1"/>
    <xf numFmtId="0" fontId="100" fillId="0" borderId="78" xfId="0" applyFont="1" applyBorder="1"/>
    <xf numFmtId="184" fontId="110" fillId="0" borderId="74" xfId="0" applyNumberFormat="1" applyFont="1" applyBorder="1" applyAlignment="1">
      <alignment horizontal="right" wrapText="1"/>
    </xf>
    <xf numFmtId="0" fontId="107" fillId="0" borderId="73" xfId="0" applyFont="1" applyBorder="1" applyAlignment="1">
      <alignment horizontal="left"/>
    </xf>
    <xf numFmtId="0" fontId="101" fillId="0" borderId="74" xfId="0" applyFont="1" applyBorder="1"/>
    <xf numFmtId="0" fontId="101" fillId="0" borderId="78" xfId="0" applyFont="1" applyBorder="1"/>
    <xf numFmtId="0" fontId="109" fillId="0" borderId="73" xfId="0" applyFont="1" applyBorder="1" applyAlignment="1">
      <alignment horizontal="left" indent="2"/>
    </xf>
    <xf numFmtId="0" fontId="54" fillId="0" borderId="74" xfId="4349" applyFont="1" applyBorder="1"/>
    <xf numFmtId="0" fontId="54" fillId="0" borderId="78" xfId="4349" applyFont="1" applyBorder="1"/>
    <xf numFmtId="0" fontId="55" fillId="0" borderId="74" xfId="4349" applyFont="1" applyBorder="1"/>
    <xf numFmtId="0" fontId="55" fillId="0" borderId="78" xfId="4349" applyFont="1" applyBorder="1"/>
    <xf numFmtId="0" fontId="100" fillId="0" borderId="78" xfId="0" applyFont="1" applyBorder="1" applyAlignment="1">
      <alignment horizontal="right"/>
    </xf>
    <xf numFmtId="0" fontId="101" fillId="0" borderId="74" xfId="4349" applyFont="1" applyBorder="1"/>
    <xf numFmtId="0" fontId="101" fillId="0" borderId="78" xfId="4349" applyFont="1" applyBorder="1"/>
    <xf numFmtId="184" fontId="110" fillId="0" borderId="74" xfId="0" applyNumberFormat="1" applyFont="1" applyBorder="1" applyAlignment="1">
      <alignment horizontal="right" vertical="center" wrapText="1"/>
    </xf>
    <xf numFmtId="184" fontId="112" fillId="0" borderId="78" xfId="0" applyNumberFormat="1" applyFont="1" applyBorder="1" applyAlignment="1">
      <alignment horizontal="right" vertical="center" wrapText="1"/>
    </xf>
    <xf numFmtId="184" fontId="111" fillId="0" borderId="78" xfId="0" applyNumberFormat="1" applyFont="1" applyBorder="1"/>
    <xf numFmtId="0" fontId="106" fillId="0" borderId="73" xfId="4349" applyFont="1" applyBorder="1"/>
    <xf numFmtId="0" fontId="109" fillId="0" borderId="79" xfId="0" applyFont="1" applyBorder="1" applyAlignment="1">
      <alignment horizontal="left" indent="1"/>
    </xf>
    <xf numFmtId="187" fontId="100" fillId="0" borderId="80" xfId="0" applyNumberFormat="1" applyFont="1" applyBorder="1" applyAlignment="1">
      <alignment horizontal="right"/>
    </xf>
    <xf numFmtId="187" fontId="100" fillId="0" borderId="81" xfId="0" applyNumberFormat="1" applyFont="1" applyBorder="1" applyAlignment="1">
      <alignment horizontal="right"/>
    </xf>
    <xf numFmtId="0" fontId="30" fillId="30" borderId="86" xfId="0" applyFont="1" applyFill="1" applyBorder="1" applyAlignment="1">
      <alignment horizontal="left" vertical="center" wrapText="1"/>
    </xf>
    <xf numFmtId="1" fontId="0" fillId="30" borderId="0" xfId="0" applyNumberFormat="1" applyFill="1" applyAlignment="1">
      <alignment horizontal="left"/>
    </xf>
    <xf numFmtId="2" fontId="100" fillId="0" borderId="0" xfId="4348" applyNumberFormat="1" applyFont="1"/>
    <xf numFmtId="0" fontId="0" fillId="0" borderId="0" xfId="0" applyAlignment="1"/>
    <xf numFmtId="0" fontId="87" fillId="27" borderId="84" xfId="0" applyFont="1" applyFill="1" applyBorder="1" applyAlignment="1">
      <alignment horizontal="left" vertical="center" wrapText="1"/>
    </xf>
    <xf numFmtId="0" fontId="87" fillId="0" borderId="83" xfId="0" applyFont="1" applyBorder="1" applyAlignment="1">
      <alignment horizontal="left"/>
    </xf>
    <xf numFmtId="0" fontId="87" fillId="0" borderId="65" xfId="0" applyFont="1" applyBorder="1"/>
    <xf numFmtId="0" fontId="87" fillId="0" borderId="65" xfId="0" applyFont="1" applyFill="1" applyBorder="1" applyAlignment="1">
      <alignment horizontal="left"/>
    </xf>
    <xf numFmtId="174" fontId="87" fillId="0" borderId="65" xfId="0" applyNumberFormat="1" applyFont="1" applyBorder="1" applyAlignment="1">
      <alignment horizontal="center"/>
    </xf>
    <xf numFmtId="172" fontId="87" fillId="0" borderId="65" xfId="0" applyNumberFormat="1" applyFont="1" applyBorder="1" applyAlignment="1">
      <alignment horizontal="left"/>
    </xf>
    <xf numFmtId="0" fontId="93" fillId="0" borderId="65" xfId="0" applyFont="1" applyBorder="1"/>
    <xf numFmtId="165" fontId="97" fillId="0" borderId="65" xfId="38" applyFont="1" applyBorder="1"/>
    <xf numFmtId="165" fontId="94" fillId="0" borderId="65" xfId="38" applyFont="1" applyBorder="1"/>
    <xf numFmtId="165" fontId="97" fillId="0" borderId="83" xfId="38" applyFont="1" applyBorder="1"/>
    <xf numFmtId="165" fontId="94" fillId="0" borderId="83" xfId="38" applyFont="1" applyBorder="1"/>
    <xf numFmtId="165" fontId="97" fillId="0" borderId="16" xfId="38" applyFont="1" applyBorder="1"/>
    <xf numFmtId="165" fontId="97" fillId="0" borderId="85" xfId="38" applyFont="1" applyBorder="1"/>
    <xf numFmtId="165" fontId="97" fillId="0" borderId="46" xfId="38" applyFont="1" applyBorder="1"/>
    <xf numFmtId="165" fontId="97" fillId="0" borderId="115" xfId="38" applyFont="1" applyBorder="1"/>
    <xf numFmtId="0" fontId="91" fillId="40" borderId="104" xfId="0" applyFont="1" applyFill="1" applyBorder="1" applyAlignment="1"/>
    <xf numFmtId="0" fontId="91" fillId="40" borderId="116" xfId="0" applyFont="1" applyFill="1" applyBorder="1" applyAlignment="1"/>
    <xf numFmtId="0" fontId="91" fillId="40" borderId="74" xfId="0" applyFont="1" applyFill="1" applyBorder="1" applyAlignment="1"/>
    <xf numFmtId="0" fontId="87" fillId="0" borderId="89" xfId="0" applyFont="1" applyBorder="1" applyAlignment="1">
      <alignment horizontal="center" vertical="center"/>
    </xf>
    <xf numFmtId="0" fontId="87" fillId="0" borderId="117" xfId="0" applyFont="1" applyBorder="1" applyAlignment="1">
      <alignment horizontal="center" vertical="center"/>
    </xf>
    <xf numFmtId="165" fontId="94" fillId="0" borderId="115" xfId="38" applyFont="1" applyBorder="1"/>
    <xf numFmtId="165" fontId="94" fillId="0" borderId="118" xfId="38" applyFont="1" applyBorder="1"/>
    <xf numFmtId="165" fontId="94" fillId="0" borderId="16" xfId="38" applyFont="1" applyBorder="1"/>
    <xf numFmtId="165" fontId="94" fillId="0" borderId="19" xfId="38" applyFont="1" applyBorder="1"/>
    <xf numFmtId="165" fontId="94" fillId="0" borderId="85" xfId="38" applyFont="1" applyBorder="1"/>
    <xf numFmtId="165" fontId="94" fillId="0" borderId="119" xfId="38" applyFont="1" applyBorder="1"/>
    <xf numFmtId="165" fontId="94" fillId="0" borderId="120" xfId="38" applyFont="1" applyBorder="1"/>
    <xf numFmtId="165" fontId="94" fillId="0" borderId="46" xfId="38" applyFont="1" applyBorder="1"/>
    <xf numFmtId="165" fontId="94" fillId="0" borderId="121" xfId="38" applyFont="1" applyBorder="1"/>
    <xf numFmtId="165" fontId="94" fillId="0" borderId="122" xfId="38" applyFont="1" applyBorder="1"/>
    <xf numFmtId="165" fontId="94" fillId="0" borderId="123" xfId="38" applyFont="1" applyBorder="1"/>
    <xf numFmtId="165" fontId="94" fillId="0" borderId="90" xfId="38" applyFont="1" applyBorder="1"/>
    <xf numFmtId="165" fontId="97" fillId="0" borderId="118" xfId="38" applyFont="1" applyBorder="1"/>
    <xf numFmtId="165" fontId="97" fillId="0" borderId="19" xfId="38" applyFont="1" applyBorder="1"/>
    <xf numFmtId="165" fontId="97" fillId="0" borderId="90" xfId="38" applyFont="1" applyBorder="1"/>
    <xf numFmtId="165" fontId="97" fillId="0" borderId="121" xfId="38" applyFont="1" applyBorder="1"/>
    <xf numFmtId="0" fontId="87" fillId="0" borderId="65" xfId="0" applyFont="1" applyBorder="1" applyAlignment="1">
      <alignment horizontal="center" vertical="center"/>
    </xf>
    <xf numFmtId="2" fontId="95" fillId="0" borderId="0" xfId="0" applyNumberFormat="1" applyFont="1"/>
    <xf numFmtId="165" fontId="113" fillId="0" borderId="50" xfId="38" applyNumberFormat="1" applyFont="1" applyFill="1" applyBorder="1" applyAlignment="1">
      <alignment horizontal="center"/>
    </xf>
    <xf numFmtId="165" fontId="113" fillId="0" borderId="0" xfId="38" applyNumberFormat="1" applyFont="1" applyFill="1" applyBorder="1" applyAlignment="1">
      <alignment horizontal="center"/>
    </xf>
    <xf numFmtId="165" fontId="113" fillId="0" borderId="83" xfId="38" applyNumberFormat="1" applyFont="1" applyFill="1" applyBorder="1" applyAlignment="1">
      <alignment horizontal="center"/>
    </xf>
    <xf numFmtId="165" fontId="113" fillId="0" borderId="65" xfId="38" applyNumberFormat="1" applyFont="1" applyFill="1" applyBorder="1" applyAlignment="1">
      <alignment horizontal="center"/>
    </xf>
    <xf numFmtId="165" fontId="8" fillId="0" borderId="0" xfId="2584" applyNumberFormat="1" applyBorder="1" applyAlignment="1">
      <alignment horizontal="left"/>
    </xf>
    <xf numFmtId="169" fontId="0" fillId="50" borderId="0" xfId="0" applyNumberFormat="1" applyFill="1" applyAlignment="1">
      <alignment horizontal="left"/>
    </xf>
    <xf numFmtId="1" fontId="0" fillId="50" borderId="0" xfId="0" applyNumberFormat="1" applyFill="1" applyAlignment="1">
      <alignment horizontal="left"/>
    </xf>
    <xf numFmtId="0" fontId="115" fillId="0" borderId="0" xfId="2584" applyFont="1"/>
    <xf numFmtId="0" fontId="8" fillId="0" borderId="83" xfId="2584" applyBorder="1" applyAlignment="1">
      <alignment horizontal="center"/>
    </xf>
    <xf numFmtId="165" fontId="8" fillId="0" borderId="83" xfId="2584" applyNumberFormat="1" applyBorder="1" applyAlignment="1">
      <alignment horizontal="center"/>
    </xf>
    <xf numFmtId="0" fontId="8" fillId="0" borderId="83" xfId="2584" applyBorder="1" applyAlignment="1">
      <alignment horizontal="right"/>
    </xf>
    <xf numFmtId="175" fontId="8" fillId="0" borderId="83" xfId="38" applyNumberFormat="1" applyBorder="1"/>
    <xf numFmtId="0" fontId="8" fillId="0" borderId="0" xfId="0" applyFont="1" applyBorder="1"/>
    <xf numFmtId="0" fontId="8" fillId="0" borderId="83" xfId="0" applyFont="1" applyBorder="1"/>
    <xf numFmtId="2" fontId="0" fillId="40" borderId="0" xfId="0" applyNumberFormat="1" applyFill="1"/>
    <xf numFmtId="0" fontId="0" fillId="40" borderId="0" xfId="0" applyFill="1"/>
    <xf numFmtId="185" fontId="100" fillId="40" borderId="103" xfId="4348" applyNumberFormat="1" applyFont="1" applyFill="1" applyBorder="1" applyAlignment="1">
      <alignment horizontal="right"/>
    </xf>
    <xf numFmtId="185" fontId="100" fillId="40" borderId="74" xfId="4348" applyNumberFormat="1" applyFont="1" applyFill="1" applyBorder="1" applyAlignment="1">
      <alignment horizontal="right"/>
    </xf>
    <xf numFmtId="185" fontId="100" fillId="40" borderId="74" xfId="4348" applyNumberFormat="1" applyFont="1" applyFill="1" applyBorder="1" applyAlignment="1">
      <alignment horizontal="right" wrapText="1"/>
    </xf>
    <xf numFmtId="186" fontId="100" fillId="40" borderId="74" xfId="4348" applyNumberFormat="1" applyFont="1" applyFill="1" applyBorder="1" applyAlignment="1">
      <alignment horizontal="right"/>
    </xf>
    <xf numFmtId="0" fontId="100" fillId="40" borderId="106" xfId="4348" applyFont="1" applyFill="1" applyBorder="1" applyAlignment="1">
      <alignment horizontal="right"/>
    </xf>
    <xf numFmtId="0" fontId="100" fillId="40" borderId="80" xfId="4348" applyFont="1" applyFill="1" applyBorder="1" applyAlignment="1">
      <alignment horizontal="right"/>
    </xf>
    <xf numFmtId="0" fontId="100" fillId="40" borderId="107" xfId="4348" applyFont="1" applyFill="1" applyBorder="1"/>
    <xf numFmtId="178" fontId="0" fillId="0" borderId="83" xfId="0" applyNumberFormat="1" applyFill="1" applyBorder="1"/>
    <xf numFmtId="178" fontId="8" fillId="0" borderId="83" xfId="0" applyNumberFormat="1" applyFont="1" applyFill="1" applyBorder="1"/>
    <xf numFmtId="178" fontId="8" fillId="0" borderId="83" xfId="38" applyNumberFormat="1" applyFont="1" applyFill="1" applyBorder="1"/>
    <xf numFmtId="178" fontId="9" fillId="0" borderId="83" xfId="0" applyNumberFormat="1" applyFont="1" applyFill="1" applyBorder="1"/>
    <xf numFmtId="178" fontId="36" fillId="0" borderId="83" xfId="0" applyNumberFormat="1" applyFont="1" applyBorder="1"/>
    <xf numFmtId="178" fontId="9" fillId="0" borderId="83" xfId="38" applyNumberFormat="1" applyFont="1" applyBorder="1"/>
    <xf numFmtId="178" fontId="0" fillId="0" borderId="83" xfId="0" applyNumberFormat="1" applyBorder="1"/>
    <xf numFmtId="178" fontId="8" fillId="0" borderId="83" xfId="0" applyNumberFormat="1" applyFont="1" applyFill="1" applyBorder="1" applyAlignment="1">
      <alignment horizontal="left"/>
    </xf>
    <xf numFmtId="178" fontId="0" fillId="0" borderId="83" xfId="38" applyNumberFormat="1" applyFont="1" applyBorder="1"/>
    <xf numFmtId="178"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9" fontId="8" fillId="81" borderId="0" xfId="0" applyNumberFormat="1" applyFont="1" applyFill="1" applyAlignment="1">
      <alignment horizontal="left"/>
    </xf>
    <xf numFmtId="169" fontId="8" fillId="82" borderId="0" xfId="0" applyNumberFormat="1" applyFont="1" applyFill="1" applyAlignment="1">
      <alignment horizontal="left"/>
    </xf>
    <xf numFmtId="169" fontId="8" fillId="83" borderId="0" xfId="0" applyNumberFormat="1" applyFont="1" applyFill="1" applyAlignment="1">
      <alignment horizontal="left"/>
    </xf>
    <xf numFmtId="165" fontId="116" fillId="0" borderId="0" xfId="38" applyNumberFormat="1" applyFont="1" applyFill="1" applyBorder="1" applyAlignment="1">
      <alignment horizontal="center"/>
    </xf>
    <xf numFmtId="0" fontId="81" fillId="0" borderId="0" xfId="0" applyFont="1" applyFill="1" applyBorder="1"/>
    <xf numFmtId="0" fontId="8" fillId="27" borderId="0" xfId="0" applyFont="1" applyFill="1" applyBorder="1" applyAlignment="1">
      <alignment wrapText="1"/>
    </xf>
    <xf numFmtId="0" fontId="8" fillId="0" borderId="0" xfId="0" applyFont="1" applyFill="1" applyAlignment="1">
      <alignment wrapText="1"/>
    </xf>
    <xf numFmtId="0" fontId="8" fillId="0" borderId="83" xfId="0" applyFont="1" applyFill="1" applyBorder="1" applyAlignment="1">
      <alignment wrapText="1"/>
    </xf>
    <xf numFmtId="0" fontId="8"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8" fillId="0" borderId="17" xfId="0" applyFont="1" applyFill="1" applyBorder="1" applyAlignment="1">
      <alignment wrapText="1"/>
    </xf>
    <xf numFmtId="0" fontId="95" fillId="0" borderId="0" xfId="0" applyFont="1" applyFill="1"/>
    <xf numFmtId="2" fontId="81" fillId="0" borderId="0" xfId="0" applyNumberFormat="1" applyFont="1"/>
    <xf numFmtId="10" fontId="0" fillId="40" borderId="0" xfId="0" applyNumberFormat="1" applyFill="1"/>
    <xf numFmtId="0" fontId="81" fillId="0" borderId="16" xfId="0" applyFont="1" applyBorder="1"/>
    <xf numFmtId="0" fontId="81" fillId="0" borderId="85" xfId="0" applyFont="1" applyBorder="1"/>
    <xf numFmtId="189" fontId="0" fillId="0" borderId="0" xfId="0" applyNumberFormat="1"/>
    <xf numFmtId="182" fontId="114" fillId="0" borderId="51" xfId="38" applyNumberFormat="1" applyFont="1" applyFill="1" applyBorder="1" applyAlignment="1">
      <alignment horizontal="center"/>
    </xf>
    <xf numFmtId="182" fontId="114" fillId="0" borderId="0" xfId="38" applyNumberFormat="1" applyFont="1" applyFill="1" applyBorder="1" applyAlignment="1">
      <alignment horizontal="center"/>
    </xf>
    <xf numFmtId="182" fontId="114" fillId="0" borderId="0" xfId="2584" applyNumberFormat="1" applyFont="1" applyFill="1" applyBorder="1" applyAlignment="1">
      <alignment horizontal="left"/>
    </xf>
    <xf numFmtId="181" fontId="114" fillId="0" borderId="51" xfId="38" applyNumberFormat="1" applyFont="1" applyFill="1" applyBorder="1" applyAlignment="1">
      <alignment horizontal="center"/>
    </xf>
    <xf numFmtId="181" fontId="114" fillId="0" borderId="0" xfId="38" applyNumberFormat="1" applyFont="1" applyFill="1" applyBorder="1" applyAlignment="1">
      <alignment horizontal="center"/>
    </xf>
    <xf numFmtId="181" fontId="114" fillId="0" borderId="0" xfId="2584" applyNumberFormat="1" applyFont="1" applyFill="1" applyBorder="1" applyAlignment="1">
      <alignment horizontal="left"/>
    </xf>
    <xf numFmtId="182" fontId="114" fillId="0" borderId="83" xfId="2584" applyNumberFormat="1" applyFont="1" applyFill="1" applyBorder="1" applyAlignment="1">
      <alignment horizontal="left"/>
    </xf>
    <xf numFmtId="165" fontId="36" fillId="0" borderId="83" xfId="38" applyFont="1" applyFill="1" applyBorder="1" applyAlignment="1">
      <alignment horizontal="left"/>
    </xf>
    <xf numFmtId="182" fontId="8" fillId="0" borderId="16" xfId="38" applyNumberFormat="1" applyBorder="1"/>
    <xf numFmtId="182" fontId="8" fillId="0" borderId="0" xfId="38" applyNumberFormat="1" applyBorder="1"/>
    <xf numFmtId="165" fontId="36" fillId="0" borderId="0" xfId="38" applyNumberFormat="1" applyFont="1" applyFill="1" applyBorder="1" applyAlignment="1">
      <alignment horizontal="left"/>
    </xf>
    <xf numFmtId="165" fontId="36" fillId="0" borderId="83" xfId="38" applyNumberFormat="1" applyFont="1" applyFill="1" applyBorder="1" applyAlignment="1">
      <alignment horizontal="left"/>
    </xf>
    <xf numFmtId="0" fontId="87" fillId="0" borderId="83" xfId="0" applyFont="1" applyFill="1" applyBorder="1"/>
    <xf numFmtId="0" fontId="87" fillId="0" borderId="124" xfId="0" applyFont="1" applyBorder="1"/>
    <xf numFmtId="0" fontId="87" fillId="0" borderId="65" xfId="0" applyFont="1" applyBorder="1" applyAlignment="1">
      <alignment horizontal="left"/>
    </xf>
    <xf numFmtId="0" fontId="87" fillId="0" borderId="124" xfId="0" applyFont="1" applyFill="1" applyBorder="1"/>
    <xf numFmtId="178" fontId="87" fillId="0" borderId="0" xfId="2590" applyNumberFormat="1" applyFont="1" applyFill="1" applyBorder="1"/>
    <xf numFmtId="4" fontId="100" fillId="40" borderId="74" xfId="4348" applyNumberFormat="1" applyFont="1" applyFill="1" applyBorder="1" applyAlignment="1">
      <alignment horizontal="right" wrapText="1"/>
    </xf>
    <xf numFmtId="178" fontId="0" fillId="0" borderId="83" xfId="0" applyNumberFormat="1" applyFont="1" applyFill="1" applyBorder="1"/>
    <xf numFmtId="178" fontId="36" fillId="0" borderId="83" xfId="0" applyNumberFormat="1" applyFont="1" applyFill="1" applyBorder="1"/>
    <xf numFmtId="0" fontId="117" fillId="0" borderId="0" xfId="0" applyFont="1"/>
    <xf numFmtId="178" fontId="8" fillId="0" borderId="50" xfId="0" applyNumberFormat="1" applyFont="1" applyFill="1" applyBorder="1"/>
    <xf numFmtId="0" fontId="8" fillId="0" borderId="50" xfId="0" applyFont="1" applyFill="1" applyBorder="1" applyAlignment="1">
      <alignment wrapText="1"/>
    </xf>
    <xf numFmtId="178" fontId="0" fillId="0" borderId="0" xfId="38" applyNumberFormat="1" applyFont="1" applyBorder="1"/>
    <xf numFmtId="178" fontId="8" fillId="0" borderId="52" xfId="0" applyNumberFormat="1" applyFont="1" applyFill="1" applyBorder="1"/>
    <xf numFmtId="178" fontId="8" fillId="0" borderId="52" xfId="0" applyNumberFormat="1" applyFont="1" applyBorder="1"/>
    <xf numFmtId="0" fontId="8" fillId="0" borderId="52" xfId="0" applyFont="1" applyFill="1" applyBorder="1" applyAlignment="1">
      <alignment wrapText="1"/>
    </xf>
    <xf numFmtId="178" fontId="8" fillId="0" borderId="17" xfId="0" applyNumberFormat="1" applyFont="1" applyFill="1" applyBorder="1"/>
    <xf numFmtId="178" fontId="8" fillId="0" borderId="17" xfId="0" applyNumberFormat="1" applyFont="1" applyBorder="1"/>
    <xf numFmtId="178" fontId="31" fillId="26" borderId="0" xfId="0" applyNumberFormat="1" applyFont="1" applyFill="1" applyBorder="1" applyAlignment="1">
      <alignment horizontal="left" vertical="top" wrapText="1"/>
    </xf>
    <xf numFmtId="178" fontId="30" fillId="0" borderId="0" xfId="0" applyNumberFormat="1" applyFont="1" applyFill="1" applyBorder="1" applyAlignment="1">
      <alignment horizontal="left" vertical="center" wrapText="1"/>
    </xf>
    <xf numFmtId="178" fontId="31" fillId="0" borderId="0" xfId="0" quotePrefix="1" applyNumberFormat="1" applyFont="1" applyFill="1" applyBorder="1" applyAlignment="1">
      <alignment horizontal="left" vertical="top" wrapText="1"/>
    </xf>
    <xf numFmtId="0" fontId="8" fillId="0" borderId="83" xfId="0" applyFont="1" applyFill="1" applyBorder="1"/>
    <xf numFmtId="0" fontId="87" fillId="0" borderId="65" xfId="0" applyFont="1" applyFill="1" applyBorder="1"/>
    <xf numFmtId="0" fontId="81" fillId="0" borderId="0" xfId="2584" applyFont="1" applyBorder="1" applyAlignment="1">
      <alignment horizontal="left"/>
    </xf>
    <xf numFmtId="0" fontId="81" fillId="0" borderId="83" xfId="2584" applyFont="1" applyBorder="1" applyAlignment="1">
      <alignment horizontal="left"/>
    </xf>
    <xf numFmtId="0" fontId="81" fillId="0" borderId="0" xfId="2584" applyFont="1" applyFill="1" applyBorder="1" applyAlignment="1">
      <alignment horizontal="left"/>
    </xf>
    <xf numFmtId="0" fontId="118" fillId="0" borderId="0" xfId="2584" applyFont="1" applyAlignment="1">
      <alignment horizontal="left"/>
    </xf>
    <xf numFmtId="0" fontId="81" fillId="0" borderId="0" xfId="2584" applyFont="1" applyAlignment="1">
      <alignment horizontal="left"/>
    </xf>
    <xf numFmtId="0" fontId="66" fillId="27" borderId="51" xfId="2584" applyFont="1" applyFill="1" applyBorder="1" applyAlignment="1">
      <alignment horizontal="left" vertical="center" wrapText="1"/>
    </xf>
    <xf numFmtId="0" fontId="119" fillId="26" borderId="64" xfId="2584" applyFont="1" applyFill="1" applyBorder="1" applyAlignment="1">
      <alignment horizontal="left" vertical="top" wrapText="1"/>
    </xf>
    <xf numFmtId="0" fontId="2" fillId="0" borderId="0" xfId="1815" applyFont="1"/>
    <xf numFmtId="0" fontId="58" fillId="50" borderId="0" xfId="1815" applyFont="1" applyFill="1"/>
    <xf numFmtId="0" fontId="58" fillId="84" borderId="0" xfId="1815" applyFont="1" applyFill="1"/>
    <xf numFmtId="0" fontId="58" fillId="85" borderId="0" xfId="1815" applyFont="1" applyFill="1"/>
    <xf numFmtId="43" fontId="0" fillId="0" borderId="0" xfId="0" applyNumberFormat="1"/>
    <xf numFmtId="190" fontId="0" fillId="0" borderId="0" xfId="0" applyNumberFormat="1"/>
    <xf numFmtId="191" fontId="94" fillId="0" borderId="0" xfId="38" applyNumberFormat="1" applyFont="1" applyBorder="1"/>
    <xf numFmtId="0" fontId="30" fillId="29" borderId="84" xfId="2584" applyFont="1" applyFill="1" applyBorder="1" applyAlignment="1">
      <alignment horizontal="center" vertical="center" wrapText="1"/>
    </xf>
    <xf numFmtId="175" fontId="95" fillId="0" borderId="0" xfId="38" applyNumberFormat="1" applyFont="1" applyBorder="1" applyAlignment="1">
      <alignment horizontal="left"/>
    </xf>
    <xf numFmtId="0" fontId="87" fillId="0" borderId="0" xfId="0" applyNumberFormat="1" applyFont="1" applyAlignment="1">
      <alignment horizontal="left"/>
    </xf>
    <xf numFmtId="0" fontId="87" fillId="0" borderId="0" xfId="0" applyNumberFormat="1" applyFont="1" applyBorder="1" applyAlignment="1">
      <alignment horizontal="left"/>
    </xf>
    <xf numFmtId="0" fontId="87" fillId="0" borderId="83" xfId="0" applyNumberFormat="1" applyFont="1" applyBorder="1" applyAlignment="1">
      <alignment horizontal="left"/>
    </xf>
    <xf numFmtId="0" fontId="87" fillId="0" borderId="0" xfId="0" applyNumberFormat="1" applyFont="1" applyFill="1" applyBorder="1" applyAlignment="1">
      <alignment horizontal="left"/>
    </xf>
    <xf numFmtId="174" fontId="0" fillId="0" borderId="0" xfId="0" applyNumberFormat="1"/>
    <xf numFmtId="185" fontId="100" fillId="0" borderId="88" xfId="0" applyNumberFormat="1" applyFont="1" applyBorder="1"/>
    <xf numFmtId="185" fontId="100" fillId="0" borderId="88" xfId="0" applyNumberFormat="1" applyFont="1" applyBorder="1" applyAlignment="1">
      <alignment horizontal="right"/>
    </xf>
    <xf numFmtId="0" fontId="101" fillId="0" borderId="125" xfId="0" applyFont="1" applyBorder="1" applyAlignment="1">
      <alignment horizontal="center" vertical="center" wrapText="1"/>
    </xf>
    <xf numFmtId="0" fontId="100" fillId="0" borderId="88" xfId="0" applyFont="1" applyBorder="1" applyAlignment="1">
      <alignment horizontal="right"/>
    </xf>
    <xf numFmtId="0" fontId="100" fillId="0" borderId="126" xfId="0" applyFont="1" applyBorder="1"/>
    <xf numFmtId="0" fontId="120" fillId="0" borderId="0" xfId="4350"/>
    <xf numFmtId="0" fontId="121" fillId="0" borderId="0" xfId="4350" applyFont="1" applyAlignment="1">
      <alignment horizontal="left" vertical="center"/>
    </xf>
    <xf numFmtId="0" fontId="122" fillId="0" borderId="0" xfId="4350" applyFont="1" applyAlignment="1">
      <alignment horizontal="left" vertical="center"/>
    </xf>
    <xf numFmtId="192" fontId="121" fillId="86" borderId="0" xfId="4350" applyNumberFormat="1" applyFont="1" applyFill="1" applyAlignment="1">
      <alignment horizontal="right" vertical="center" shrinkToFit="1"/>
    </xf>
    <xf numFmtId="193" fontId="121" fillId="86" borderId="0" xfId="4350" applyNumberFormat="1" applyFont="1" applyFill="1" applyAlignment="1">
      <alignment horizontal="right" vertical="center" shrinkToFit="1"/>
    </xf>
    <xf numFmtId="0" fontId="122" fillId="87" borderId="127" xfId="4350" applyFont="1" applyFill="1" applyBorder="1" applyAlignment="1">
      <alignment horizontal="left" vertical="center"/>
    </xf>
    <xf numFmtId="192" fontId="121" fillId="0" borderId="0" xfId="4350" applyNumberFormat="1" applyFont="1" applyAlignment="1">
      <alignment horizontal="right" vertical="center" shrinkToFit="1"/>
    </xf>
    <xf numFmtId="193" fontId="121" fillId="0" borderId="0" xfId="4350" applyNumberFormat="1" applyFont="1" applyAlignment="1">
      <alignment horizontal="right" vertical="center" shrinkToFit="1"/>
    </xf>
    <xf numFmtId="0" fontId="120" fillId="88" borderId="0" xfId="4350" applyFill="1"/>
    <xf numFmtId="0" fontId="122" fillId="89" borderId="127" xfId="4350" applyFont="1" applyFill="1" applyBorder="1" applyAlignment="1">
      <alignment horizontal="left" vertical="center"/>
    </xf>
    <xf numFmtId="0" fontId="123" fillId="90" borderId="127" xfId="4350" applyFont="1" applyFill="1" applyBorder="1" applyAlignment="1">
      <alignment horizontal="left" vertical="center"/>
    </xf>
    <xf numFmtId="0" fontId="100" fillId="40" borderId="103" xfId="4348" applyNumberFormat="1" applyFont="1" applyFill="1" applyBorder="1" applyAlignment="1">
      <alignment horizontal="right"/>
    </xf>
    <xf numFmtId="3" fontId="100" fillId="40" borderId="103" xfId="4348" applyNumberFormat="1" applyFont="1" applyFill="1" applyBorder="1" applyAlignment="1">
      <alignment horizontal="right"/>
    </xf>
    <xf numFmtId="0" fontId="87" fillId="49" borderId="0" xfId="0" applyFont="1" applyFill="1"/>
    <xf numFmtId="0" fontId="87" fillId="49" borderId="83" xfId="0" applyFont="1" applyFill="1" applyBorder="1"/>
    <xf numFmtId="0" fontId="122" fillId="49" borderId="127" xfId="4350" applyFont="1" applyFill="1" applyBorder="1" applyAlignment="1">
      <alignment horizontal="left" vertical="center"/>
    </xf>
    <xf numFmtId="0" fontId="102" fillId="49" borderId="73" xfId="4348" applyFont="1" applyFill="1" applyBorder="1"/>
    <xf numFmtId="3" fontId="0" fillId="0" borderId="0" xfId="0" applyNumberFormat="1"/>
    <xf numFmtId="3" fontId="100" fillId="40" borderId="74" xfId="4348" applyNumberFormat="1" applyFont="1" applyFill="1" applyBorder="1" applyAlignment="1">
      <alignment horizontal="right" wrapText="1"/>
    </xf>
    <xf numFmtId="3" fontId="100" fillId="40" borderId="74" xfId="4348" applyNumberFormat="1" applyFont="1" applyFill="1" applyBorder="1" applyAlignment="1">
      <alignment horizontal="right"/>
    </xf>
    <xf numFmtId="1" fontId="87" fillId="0" borderId="0" xfId="0" applyNumberFormat="1" applyFont="1"/>
    <xf numFmtId="178" fontId="0" fillId="91" borderId="0" xfId="0" applyNumberFormat="1" applyFill="1"/>
    <xf numFmtId="178" fontId="0" fillId="91" borderId="0" xfId="0" applyNumberFormat="1" applyFont="1" applyFill="1"/>
    <xf numFmtId="178" fontId="9" fillId="91" borderId="0" xfId="0" applyNumberFormat="1" applyFont="1" applyFill="1" applyBorder="1"/>
    <xf numFmtId="178" fontId="36" fillId="91" borderId="0" xfId="0" applyNumberFormat="1" applyFont="1" applyFill="1"/>
    <xf numFmtId="0" fontId="0" fillId="91" borderId="0" xfId="0" applyFill="1"/>
    <xf numFmtId="0" fontId="0" fillId="91" borderId="0" xfId="0" applyFill="1" applyBorder="1"/>
    <xf numFmtId="0" fontId="0" fillId="91" borderId="16" xfId="0" applyFill="1" applyBorder="1"/>
    <xf numFmtId="173" fontId="81" fillId="91" borderId="0" xfId="0" applyNumberFormat="1" applyFont="1" applyFill="1" applyBorder="1"/>
    <xf numFmtId="0" fontId="0" fillId="91" borderId="50" xfId="0" applyFill="1" applyBorder="1"/>
    <xf numFmtId="0" fontId="0" fillId="91" borderId="54" xfId="0" applyFill="1" applyBorder="1"/>
    <xf numFmtId="173" fontId="81" fillId="91" borderId="50" xfId="0" applyNumberFormat="1" applyFont="1" applyFill="1" applyBorder="1"/>
    <xf numFmtId="178" fontId="0" fillId="91" borderId="0" xfId="0" applyNumberFormat="1" applyFill="1" applyBorder="1"/>
    <xf numFmtId="178" fontId="8" fillId="91" borderId="0" xfId="0" applyNumberFormat="1" applyFont="1" applyFill="1" applyBorder="1"/>
    <xf numFmtId="178" fontId="0" fillId="91" borderId="0" xfId="0" applyNumberFormat="1" applyFill="1" applyBorder="1" applyAlignment="1">
      <alignment horizontal="left"/>
    </xf>
    <xf numFmtId="0" fontId="8" fillId="91" borderId="0" xfId="0" applyFont="1" applyFill="1" applyBorder="1"/>
    <xf numFmtId="0" fontId="8" fillId="91" borderId="0" xfId="0" applyFont="1" applyFill="1"/>
    <xf numFmtId="0" fontId="87" fillId="91" borderId="0" xfId="0" applyFont="1" applyFill="1" applyBorder="1" applyAlignment="1">
      <alignment horizontal="left"/>
    </xf>
    <xf numFmtId="178" fontId="9" fillId="91" borderId="0" xfId="38" applyNumberFormat="1" applyFont="1" applyFill="1"/>
    <xf numFmtId="0" fontId="87" fillId="91" borderId="0" xfId="0" applyFont="1" applyFill="1" applyAlignment="1">
      <alignment horizontal="left"/>
    </xf>
    <xf numFmtId="165" fontId="0" fillId="0" borderId="0" xfId="0" applyNumberFormat="1"/>
    <xf numFmtId="178" fontId="8" fillId="91" borderId="83" xfId="0" applyNumberFormat="1" applyFont="1" applyFill="1" applyBorder="1"/>
    <xf numFmtId="178" fontId="0" fillId="91" borderId="83" xfId="0" applyNumberFormat="1" applyFill="1" applyBorder="1"/>
    <xf numFmtId="178" fontId="36" fillId="91" borderId="83" xfId="0" applyNumberFormat="1" applyFont="1" applyFill="1" applyBorder="1"/>
    <xf numFmtId="178" fontId="0" fillId="91" borderId="83" xfId="0" applyNumberFormat="1" applyFill="1" applyBorder="1" applyAlignment="1">
      <alignment horizontal="left"/>
    </xf>
    <xf numFmtId="0" fontId="8" fillId="91" borderId="83" xfId="0" applyFont="1" applyFill="1" applyBorder="1"/>
    <xf numFmtId="0" fontId="0" fillId="91" borderId="83" xfId="0" applyFill="1" applyBorder="1"/>
    <xf numFmtId="0" fontId="87" fillId="91" borderId="83" xfId="0" applyFont="1" applyFill="1" applyBorder="1" applyAlignment="1">
      <alignment horizontal="left"/>
    </xf>
    <xf numFmtId="165" fontId="113" fillId="0" borderId="0" xfId="38" applyNumberFormat="1" applyFont="1" applyFill="1" applyBorder="1" applyAlignment="1">
      <alignment horizontal="right"/>
    </xf>
    <xf numFmtId="175" fontId="87" fillId="42" borderId="0" xfId="38" applyNumberFormat="1" applyFont="1" applyFill="1" applyBorder="1" applyAlignment="1">
      <alignment horizontal="left"/>
    </xf>
    <xf numFmtId="165" fontId="85" fillId="92" borderId="0" xfId="38" applyNumberFormat="1" applyFont="1" applyFill="1" applyBorder="1" applyAlignment="1">
      <alignment horizontal="right"/>
    </xf>
    <xf numFmtId="0" fontId="87" fillId="92" borderId="0" xfId="0" applyFont="1" applyFill="1" applyAlignment="1">
      <alignment horizontal="left"/>
    </xf>
    <xf numFmtId="10" fontId="8" fillId="40" borderId="0" xfId="0" applyNumberFormat="1" applyFont="1" applyFill="1"/>
    <xf numFmtId="0" fontId="123" fillId="90" borderId="127" xfId="4350" applyFont="1" applyFill="1" applyBorder="1" applyAlignment="1">
      <alignment horizontal="center" vertical="center"/>
    </xf>
    <xf numFmtId="0" fontId="1" fillId="0" borderId="0" xfId="1815" applyFont="1"/>
    <xf numFmtId="0" fontId="122" fillId="93" borderId="127" xfId="4350" applyFont="1" applyFill="1" applyBorder="1" applyAlignment="1">
      <alignment horizontal="left" vertical="center"/>
    </xf>
    <xf numFmtId="0" fontId="102" fillId="93" borderId="73" xfId="4348" applyFont="1" applyFill="1" applyBorder="1"/>
    <xf numFmtId="194" fontId="120" fillId="0" borderId="0" xfId="4350" applyNumberFormat="1"/>
    <xf numFmtId="10" fontId="120" fillId="0" borderId="0" xfId="4351" applyNumberFormat="1" applyFont="1"/>
    <xf numFmtId="0" fontId="100" fillId="0" borderId="0" xfId="0" applyFont="1" applyBorder="1" applyAlignment="1">
      <alignment vertical="center"/>
    </xf>
    <xf numFmtId="0" fontId="100" fillId="0" borderId="0" xfId="0" applyFont="1" applyBorder="1"/>
    <xf numFmtId="0" fontId="100" fillId="0" borderId="0" xfId="0" applyFont="1" applyBorder="1" applyAlignment="1">
      <alignment wrapText="1"/>
    </xf>
    <xf numFmtId="3" fontId="100" fillId="40" borderId="106" xfId="4348" applyNumberFormat="1" applyFont="1" applyFill="1" applyBorder="1" applyAlignment="1">
      <alignment horizontal="right"/>
    </xf>
    <xf numFmtId="2" fontId="122" fillId="42" borderId="0" xfId="4350" applyNumberFormat="1" applyFont="1" applyFill="1" applyBorder="1" applyAlignment="1">
      <alignment horizontal="right" vertical="center"/>
    </xf>
    <xf numFmtId="193" fontId="120" fillId="0" borderId="0" xfId="4350" applyNumberFormat="1"/>
    <xf numFmtId="178" fontId="9" fillId="91" borderId="0" xfId="38" applyNumberFormat="1" applyFont="1" applyFill="1" applyBorder="1"/>
    <xf numFmtId="178" fontId="8" fillId="91" borderId="0" xfId="0" applyNumberFormat="1" applyFont="1" applyFill="1" applyBorder="1" applyAlignment="1">
      <alignment horizontal="left"/>
    </xf>
    <xf numFmtId="0" fontId="0" fillId="91" borderId="0" xfId="0" applyFill="1" applyBorder="1" applyAlignment="1">
      <alignment wrapText="1"/>
    </xf>
    <xf numFmtId="0" fontId="81" fillId="91" borderId="0" xfId="0" applyFont="1" applyFill="1"/>
    <xf numFmtId="0" fontId="127" fillId="91" borderId="0" xfId="4352" applyFill="1"/>
    <xf numFmtId="0" fontId="8" fillId="92" borderId="83" xfId="0" applyFont="1" applyFill="1" applyBorder="1"/>
    <xf numFmtId="2" fontId="100" fillId="40" borderId="74" xfId="4348" applyNumberFormat="1" applyFont="1" applyFill="1" applyBorder="1" applyAlignment="1">
      <alignment horizontal="right" wrapText="1"/>
    </xf>
    <xf numFmtId="2" fontId="100" fillId="40" borderId="106" xfId="4348" applyNumberFormat="1" applyFont="1" applyFill="1" applyBorder="1" applyAlignment="1">
      <alignment horizontal="right"/>
    </xf>
    <xf numFmtId="1" fontId="100" fillId="40" borderId="74" xfId="4348" applyNumberFormat="1" applyFont="1" applyFill="1" applyBorder="1" applyAlignment="1">
      <alignment horizontal="right" wrapText="1"/>
    </xf>
    <xf numFmtId="1" fontId="100" fillId="40" borderId="106" xfId="4348" applyNumberFormat="1" applyFont="1" applyFill="1" applyBorder="1" applyAlignment="1">
      <alignment horizontal="right"/>
    </xf>
    <xf numFmtId="3" fontId="120" fillId="0" borderId="0" xfId="4350" applyNumberFormat="1"/>
    <xf numFmtId="0" fontId="8" fillId="0" borderId="0" xfId="0" applyFont="1" applyAlignment="1">
      <alignment horizontal="center"/>
    </xf>
    <xf numFmtId="0" fontId="0" fillId="0" borderId="0" xfId="0" applyAlignment="1">
      <alignment horizontal="center"/>
    </xf>
    <xf numFmtId="175" fontId="8" fillId="0" borderId="0" xfId="38" applyNumberFormat="1" applyAlignment="1">
      <alignment horizontal="center"/>
    </xf>
    <xf numFmtId="0" fontId="123" fillId="90" borderId="127" xfId="4350" applyFont="1" applyFill="1" applyBorder="1" applyAlignment="1">
      <alignment horizontal="right" vertical="center"/>
    </xf>
    <xf numFmtId="0" fontId="102" fillId="0" borderId="109" xfId="0" applyFont="1" applyBorder="1" applyAlignment="1">
      <alignment horizontal="center"/>
    </xf>
    <xf numFmtId="0" fontId="102" fillId="0" borderId="87" xfId="0" applyFont="1" applyBorder="1" applyAlignment="1">
      <alignment horizontal="center"/>
    </xf>
    <xf numFmtId="0" fontId="102" fillId="0" borderId="61" xfId="0" applyFont="1" applyBorder="1" applyAlignment="1">
      <alignment horizontal="left" vertical="justify"/>
    </xf>
    <xf numFmtId="0" fontId="102" fillId="0" borderId="86" xfId="0" applyFont="1" applyBorder="1" applyAlignment="1">
      <alignment horizontal="left" vertical="justify"/>
    </xf>
    <xf numFmtId="0" fontId="102" fillId="0" borderId="88" xfId="0" applyFont="1" applyBorder="1" applyAlignment="1">
      <alignment horizontal="left" vertical="justify"/>
    </xf>
    <xf numFmtId="0" fontId="0" fillId="0" borderId="0" xfId="0" applyAlignment="1">
      <alignment horizontal="center" wrapText="1"/>
    </xf>
    <xf numFmtId="0" fontId="106" fillId="0" borderId="0" xfId="0" applyFont="1" applyAlignment="1">
      <alignment horizontal="center" vertical="center" wrapText="1"/>
    </xf>
    <xf numFmtId="0" fontId="102" fillId="0" borderId="61" xfId="0" applyFont="1" applyBorder="1" applyAlignment="1">
      <alignment horizontal="left"/>
    </xf>
    <xf numFmtId="0" fontId="102" fillId="0" borderId="86" xfId="0" applyFont="1" applyBorder="1" applyAlignment="1">
      <alignment horizontal="left"/>
    </xf>
    <xf numFmtId="0" fontId="102" fillId="0" borderId="88" xfId="0" applyFont="1" applyBorder="1" applyAlignment="1">
      <alignment horizontal="left"/>
    </xf>
    <xf numFmtId="0" fontId="103" fillId="0" borderId="32" xfId="0" applyFont="1" applyBorder="1" applyAlignment="1">
      <alignment horizontal="center"/>
    </xf>
    <xf numFmtId="0" fontId="103" fillId="0" borderId="79" xfId="0" applyFont="1" applyBorder="1" applyAlignment="1">
      <alignment horizontal="center"/>
    </xf>
    <xf numFmtId="0" fontId="102" fillId="0" borderId="0" xfId="0" applyFont="1" applyAlignment="1">
      <alignment horizontal="center" wrapText="1"/>
    </xf>
    <xf numFmtId="0" fontId="102" fillId="0" borderId="108" xfId="0" applyFont="1" applyBorder="1" applyAlignment="1">
      <alignment horizontal="center" vertical="center" wrapText="1"/>
    </xf>
    <xf numFmtId="0" fontId="102" fillId="0" borderId="106" xfId="0" applyFont="1" applyBorder="1" applyAlignment="1">
      <alignment horizontal="center" vertical="center" wrapText="1"/>
    </xf>
    <xf numFmtId="0" fontId="107" fillId="0" borderId="0" xfId="0" applyFont="1" applyAlignment="1">
      <alignment horizontal="center" vertical="center" wrapText="1"/>
    </xf>
    <xf numFmtId="0" fontId="106" fillId="0" borderId="32" xfId="0" applyFont="1" applyBorder="1" applyAlignment="1">
      <alignment horizontal="center" vertical="center" wrapText="1"/>
    </xf>
    <xf numFmtId="0" fontId="106" fillId="0" borderId="113" xfId="0" applyFont="1" applyBorder="1" applyAlignment="1">
      <alignment horizontal="center" vertical="center" wrapText="1"/>
    </xf>
    <xf numFmtId="0" fontId="106" fillId="0" borderId="111" xfId="0" applyFont="1" applyBorder="1" applyAlignment="1">
      <alignment horizontal="center" vertical="center" wrapText="1"/>
    </xf>
    <xf numFmtId="0" fontId="106" fillId="0" borderId="114" xfId="0" quotePrefix="1" applyFont="1" applyBorder="1" applyAlignment="1">
      <alignment horizontal="center" vertical="center" wrapText="1"/>
    </xf>
    <xf numFmtId="0" fontId="108" fillId="0" borderId="111" xfId="0" applyFont="1" applyBorder="1" applyAlignment="1">
      <alignment horizontal="center" vertical="center" wrapText="1"/>
    </xf>
    <xf numFmtId="0" fontId="108" fillId="0" borderId="112" xfId="0" applyFont="1" applyBorder="1" applyAlignment="1">
      <alignment horizontal="center" vertical="center" wrapText="1"/>
    </xf>
    <xf numFmtId="0" fontId="101" fillId="0" borderId="0" xfId="4348" applyFont="1" applyAlignment="1">
      <alignment horizontal="center" vertical="center"/>
    </xf>
    <xf numFmtId="0" fontId="100" fillId="0" borderId="65" xfId="4348" applyFont="1" applyBorder="1" applyAlignment="1">
      <alignment horizontal="left"/>
    </xf>
    <xf numFmtId="0" fontId="55" fillId="0" borderId="23" xfId="0" applyFont="1" applyBorder="1" applyAlignment="1">
      <alignment horizontal="center" vertical="center" wrapText="1"/>
    </xf>
    <xf numFmtId="0" fontId="55" fillId="0" borderId="40" xfId="0" applyFont="1" applyBorder="1" applyAlignment="1">
      <alignment horizontal="center" vertical="center" wrapText="1"/>
    </xf>
    <xf numFmtId="0" fontId="55" fillId="0" borderId="41" xfId="0" applyFont="1" applyBorder="1" applyAlignment="1">
      <alignment horizontal="center" vertical="center" wrapText="1"/>
    </xf>
    <xf numFmtId="0" fontId="54" fillId="0" borderId="42" xfId="0" applyFont="1" applyBorder="1" applyAlignment="1">
      <alignment horizontal="center" vertical="center"/>
    </xf>
    <xf numFmtId="0" fontId="54" fillId="0" borderId="33" xfId="0" applyFont="1" applyBorder="1" applyAlignment="1">
      <alignment horizontal="center" vertical="center"/>
    </xf>
    <xf numFmtId="0" fontId="54" fillId="0" borderId="45" xfId="0" applyFont="1" applyBorder="1" applyAlignment="1">
      <alignment horizontal="center" vertical="center"/>
    </xf>
    <xf numFmtId="0" fontId="54"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34" fillId="29" borderId="0" xfId="0" applyFont="1" applyFill="1" applyAlignment="1">
      <alignment horizontal="center"/>
    </xf>
    <xf numFmtId="0" fontId="34" fillId="0" borderId="0" xfId="0" applyFont="1" applyAlignment="1">
      <alignment horizontal="center"/>
    </xf>
    <xf numFmtId="0" fontId="34" fillId="38" borderId="0" xfId="0" applyFont="1" applyFill="1" applyAlignment="1">
      <alignment horizontal="center"/>
    </xf>
    <xf numFmtId="0" fontId="34" fillId="34" borderId="0" xfId="0" applyFont="1" applyFill="1" applyAlignment="1">
      <alignment horizontal="center"/>
    </xf>
    <xf numFmtId="0" fontId="34" fillId="32" borderId="0" xfId="0" applyFont="1" applyFill="1" applyAlignment="1">
      <alignment horizontal="center"/>
    </xf>
    <xf numFmtId="0" fontId="34" fillId="31" borderId="0" xfId="0" applyFont="1" applyFill="1" applyAlignment="1">
      <alignment horizontal="center"/>
    </xf>
    <xf numFmtId="0" fontId="68" fillId="33" borderId="0" xfId="0" applyFont="1" applyFill="1" applyBorder="1" applyAlignment="1">
      <alignment horizontal="center"/>
    </xf>
    <xf numFmtId="0" fontId="0" fillId="28" borderId="0" xfId="0" applyFill="1" applyAlignment="1">
      <alignment horizontal="center"/>
    </xf>
    <xf numFmtId="0" fontId="102" fillId="42" borderId="73" xfId="4348" applyFont="1" applyFill="1" applyBorder="1"/>
    <xf numFmtId="0" fontId="122" fillId="42" borderId="127" xfId="4350" applyFont="1" applyFill="1" applyBorder="1" applyAlignment="1">
      <alignment horizontal="left" vertical="center"/>
    </xf>
    <xf numFmtId="0" fontId="126" fillId="42" borderId="127" xfId="4350" applyFont="1" applyFill="1" applyBorder="1" applyAlignment="1">
      <alignment horizontal="left" vertical="center"/>
    </xf>
    <xf numFmtId="183" fontId="87" fillId="0" borderId="0" xfId="0" applyNumberFormat="1" applyFont="1" applyFill="1"/>
  </cellXfs>
  <cellStyles count="4353">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2" xfId="39" xr:uid="{00000000-0005-0000-0000-00005D000000}"/>
    <cellStyle name="Comma 2 2" xfId="40" xr:uid="{00000000-0005-0000-0000-00005E000000}"/>
    <cellStyle name="Comma 2 2 2" xfId="1825" xr:uid="{00000000-0005-0000-0000-00005F000000}"/>
    <cellStyle name="Comma 2 2 2 2" xfId="1826" xr:uid="{00000000-0005-0000-0000-000060000000}"/>
    <cellStyle name="Comma 2 2 2 2 2" xfId="1827" xr:uid="{00000000-0005-0000-0000-000061000000}"/>
    <cellStyle name="Comma 2 2 2 3" xfId="1828" xr:uid="{00000000-0005-0000-0000-000062000000}"/>
    <cellStyle name="Comma 2 2 3" xfId="1829" xr:uid="{00000000-0005-0000-0000-000063000000}"/>
    <cellStyle name="Comma 2 3" xfId="41" xr:uid="{00000000-0005-0000-0000-000064000000}"/>
    <cellStyle name="Comma 2 3 2" xfId="42" xr:uid="{00000000-0005-0000-0000-000065000000}"/>
    <cellStyle name="Comma 2 3 2 2" xfId="1830" xr:uid="{00000000-0005-0000-0000-000066000000}"/>
    <cellStyle name="Comma 2 3 2 2 2" xfId="3411" xr:uid="{00000000-0005-0000-0000-000067000000}"/>
    <cellStyle name="Comma 2 3 3" xfId="43" xr:uid="{00000000-0005-0000-0000-000068000000}"/>
    <cellStyle name="Comma 2 3 3 2" xfId="1831" xr:uid="{00000000-0005-0000-0000-000069000000}"/>
    <cellStyle name="Comma 2 3 3 2 2" xfId="1832" xr:uid="{00000000-0005-0000-0000-00006A000000}"/>
    <cellStyle name="Comma 2 3 3 3" xfId="1833" xr:uid="{00000000-0005-0000-0000-00006B000000}"/>
    <cellStyle name="Comma 2 3 4" xfId="1834" xr:uid="{00000000-0005-0000-0000-00006C000000}"/>
    <cellStyle name="Comma 2 3 4 2" xfId="1835" xr:uid="{00000000-0005-0000-0000-00006D000000}"/>
    <cellStyle name="Comma 2 3 5" xfId="1836" xr:uid="{00000000-0005-0000-0000-00006E000000}"/>
    <cellStyle name="Comma 2 3 6" xfId="3412" xr:uid="{00000000-0005-0000-0000-00006F000000}"/>
    <cellStyle name="Comma 2 4" xfId="44" xr:uid="{00000000-0005-0000-0000-000070000000}"/>
    <cellStyle name="Comma 2 4 2" xfId="1837" xr:uid="{00000000-0005-0000-0000-000071000000}"/>
    <cellStyle name="Comma 2 5" xfId="1838" xr:uid="{00000000-0005-0000-0000-000072000000}"/>
    <cellStyle name="Comma 2 5 2" xfId="1839" xr:uid="{00000000-0005-0000-0000-000073000000}"/>
    <cellStyle name="Comma 2 6" xfId="1840" xr:uid="{00000000-0005-0000-0000-000074000000}"/>
    <cellStyle name="Comma 2 6 2" xfId="1841" xr:uid="{00000000-0005-0000-0000-000075000000}"/>
    <cellStyle name="Comma 2 7" xfId="1842" xr:uid="{00000000-0005-0000-0000-000076000000}"/>
    <cellStyle name="Comma 2 8" xfId="3413" xr:uid="{00000000-0005-0000-0000-000077000000}"/>
    <cellStyle name="Comma 3" xfId="45" xr:uid="{00000000-0005-0000-0000-000078000000}"/>
    <cellStyle name="Comma 3 2" xfId="1843" xr:uid="{00000000-0005-0000-0000-000079000000}"/>
    <cellStyle name="Comma 3 2 2" xfId="1844" xr:uid="{00000000-0005-0000-0000-00007A000000}"/>
    <cellStyle name="Comma 3 2 2 2" xfId="1845" xr:uid="{00000000-0005-0000-0000-00007B000000}"/>
    <cellStyle name="Comma 3 2 3" xfId="1846" xr:uid="{00000000-0005-0000-0000-00007C000000}"/>
    <cellStyle name="Comma 3 3" xfId="1847" xr:uid="{00000000-0005-0000-0000-00007D000000}"/>
    <cellStyle name="Comma 3 3 2" xfId="1848" xr:uid="{00000000-0005-0000-0000-00007E000000}"/>
    <cellStyle name="Comma 3 3 2 2" xfId="1849" xr:uid="{00000000-0005-0000-0000-00007F000000}"/>
    <cellStyle name="Comma 3 3 3" xfId="1850" xr:uid="{00000000-0005-0000-0000-000080000000}"/>
    <cellStyle name="Comma 3 4" xfId="1851" xr:uid="{00000000-0005-0000-0000-000081000000}"/>
    <cellStyle name="Comma 3 4 2" xfId="1852" xr:uid="{00000000-0005-0000-0000-000082000000}"/>
    <cellStyle name="Comma 3 5" xfId="1853" xr:uid="{00000000-0005-0000-0000-000083000000}"/>
    <cellStyle name="Comma 3 6" xfId="3414" xr:uid="{00000000-0005-0000-0000-000084000000}"/>
    <cellStyle name="Comma 4" xfId="46" xr:uid="{00000000-0005-0000-0000-000085000000}"/>
    <cellStyle name="Comma 4 2" xfId="1854" xr:uid="{00000000-0005-0000-0000-000086000000}"/>
    <cellStyle name="Comma 4 2 2" xfId="1855" xr:uid="{00000000-0005-0000-0000-000087000000}"/>
    <cellStyle name="Comma 4 2 2 2" xfId="1856" xr:uid="{00000000-0005-0000-0000-000088000000}"/>
    <cellStyle name="Comma 4 2 3" xfId="1857" xr:uid="{00000000-0005-0000-0000-000089000000}"/>
    <cellStyle name="Comma 4 2 4" xfId="3415" xr:uid="{00000000-0005-0000-0000-00008A000000}"/>
    <cellStyle name="Comma 4 3" xfId="1858" xr:uid="{00000000-0005-0000-0000-00008B000000}"/>
    <cellStyle name="Comma 4 3 2" xfId="1859" xr:uid="{00000000-0005-0000-0000-00008C000000}"/>
    <cellStyle name="Comma 4 3 2 2" xfId="1860" xr:uid="{00000000-0005-0000-0000-00008D000000}"/>
    <cellStyle name="Comma 4 3 3" xfId="1861" xr:uid="{00000000-0005-0000-0000-00008E000000}"/>
    <cellStyle name="Comma 4 4" xfId="1862" xr:uid="{00000000-0005-0000-0000-00008F000000}"/>
    <cellStyle name="Comma 4 4 2" xfId="1863" xr:uid="{00000000-0005-0000-0000-000090000000}"/>
    <cellStyle name="Comma 4 4 2 2" xfId="1864" xr:uid="{00000000-0005-0000-0000-000091000000}"/>
    <cellStyle name="Comma 4 4 3" xfId="1865" xr:uid="{00000000-0005-0000-0000-000092000000}"/>
    <cellStyle name="Comma 4 5" xfId="1866" xr:uid="{00000000-0005-0000-0000-000093000000}"/>
    <cellStyle name="Comma 4 5 2" xfId="1867" xr:uid="{00000000-0005-0000-0000-000094000000}"/>
    <cellStyle name="Comma 4 6" xfId="1868" xr:uid="{00000000-0005-0000-0000-000095000000}"/>
    <cellStyle name="Comma 4 7" xfId="3416" xr:uid="{00000000-0005-0000-0000-000096000000}"/>
    <cellStyle name="Comma 5" xfId="47" xr:uid="{00000000-0005-0000-0000-000097000000}"/>
    <cellStyle name="Comma 5 2" xfId="1869" xr:uid="{00000000-0005-0000-0000-000098000000}"/>
    <cellStyle name="Comma 5 2 2" xfId="1870" xr:uid="{00000000-0005-0000-0000-000099000000}"/>
    <cellStyle name="Comma 5 3" xfId="1871" xr:uid="{00000000-0005-0000-0000-00009A000000}"/>
    <cellStyle name="Comma 5 4" xfId="3417" xr:uid="{00000000-0005-0000-0000-00009B000000}"/>
    <cellStyle name="Comma 6" xfId="48" xr:uid="{00000000-0005-0000-0000-00009C000000}"/>
    <cellStyle name="Comma 6 2" xfId="1872" xr:uid="{00000000-0005-0000-0000-00009D000000}"/>
    <cellStyle name="Comma 6 2 2" xfId="1873" xr:uid="{00000000-0005-0000-0000-00009E000000}"/>
    <cellStyle name="Comma 6 3" xfId="1874" xr:uid="{00000000-0005-0000-0000-00009F000000}"/>
    <cellStyle name="Comma 6 4" xfId="3418" xr:uid="{00000000-0005-0000-0000-0000A0000000}"/>
    <cellStyle name="Comma 7" xfId="49" xr:uid="{00000000-0005-0000-0000-0000A1000000}"/>
    <cellStyle name="Comma 7 2" xfId="1875" xr:uid="{00000000-0005-0000-0000-0000A2000000}"/>
    <cellStyle name="Comma 7 2 2" xfId="1876" xr:uid="{00000000-0005-0000-0000-0000A3000000}"/>
    <cellStyle name="Comma 7 3" xfId="1877" xr:uid="{00000000-0005-0000-0000-0000A4000000}"/>
    <cellStyle name="Comma 8" xfId="3419" xr:uid="{00000000-0005-0000-0000-0000A5000000}"/>
    <cellStyle name="Comma 9" xfId="4344" xr:uid="{00000000-0005-0000-0000-0000A6000000}"/>
    <cellStyle name="Comma0 - Type3" xfId="50" xr:uid="{00000000-0005-0000-0000-0000A7000000}"/>
    <cellStyle name="Constant" xfId="4347" xr:uid="{00000000-0005-0000-0000-0000A8000000}"/>
    <cellStyle name="CustomizationCells" xfId="51" xr:uid="{00000000-0005-0000-0000-0000A9000000}"/>
    <cellStyle name="CustomizationCells 2" xfId="52" xr:uid="{00000000-0005-0000-0000-0000AA000000}"/>
    <cellStyle name="CustomizationCells 2 2" xfId="3420" xr:uid="{00000000-0005-0000-0000-0000AB000000}"/>
    <cellStyle name="CustomizationCells 3" xfId="53" xr:uid="{00000000-0005-0000-0000-0000AC000000}"/>
    <cellStyle name="CustomizationCells 4" xfId="54" xr:uid="{00000000-0005-0000-0000-0000AD000000}"/>
    <cellStyle name="CustomizationCells 5" xfId="55" xr:uid="{00000000-0005-0000-0000-0000AE000000}"/>
    <cellStyle name="CustomizationCells 6" xfId="56" xr:uid="{00000000-0005-0000-0000-0000AF000000}"/>
    <cellStyle name="CustomizationCells 7" xfId="3421" xr:uid="{00000000-0005-0000-0000-0000B0000000}"/>
    <cellStyle name="Euro" xfId="57" xr:uid="{00000000-0005-0000-0000-0000B1000000}"/>
    <cellStyle name="Euro 10" xfId="58" xr:uid="{00000000-0005-0000-0000-0000B2000000}"/>
    <cellStyle name="Euro 10 2" xfId="59" xr:uid="{00000000-0005-0000-0000-0000B3000000}"/>
    <cellStyle name="Euro 10 2 2" xfId="1878" xr:uid="{00000000-0005-0000-0000-0000B4000000}"/>
    <cellStyle name="Euro 10 3" xfId="60" xr:uid="{00000000-0005-0000-0000-0000B5000000}"/>
    <cellStyle name="Euro 10 3 2" xfId="61" xr:uid="{00000000-0005-0000-0000-0000B6000000}"/>
    <cellStyle name="Euro 10 3 2 2" xfId="3422" xr:uid="{00000000-0005-0000-0000-0000B7000000}"/>
    <cellStyle name="Euro 10 3 2 3" xfId="3423" xr:uid="{00000000-0005-0000-0000-0000B8000000}"/>
    <cellStyle name="Euro 10 3 3" xfId="62" xr:uid="{00000000-0005-0000-0000-0000B9000000}"/>
    <cellStyle name="Euro 10 3 3 2" xfId="1879" xr:uid="{00000000-0005-0000-0000-0000BA000000}"/>
    <cellStyle name="Euro 10 3 4" xfId="1880" xr:uid="{00000000-0005-0000-0000-0000BB000000}"/>
    <cellStyle name="Euro 10 4" xfId="63" xr:uid="{00000000-0005-0000-0000-0000BC000000}"/>
    <cellStyle name="Euro 10 4 2" xfId="1881" xr:uid="{00000000-0005-0000-0000-0000BD000000}"/>
    <cellStyle name="Euro 10 4 2 2" xfId="1882" xr:uid="{00000000-0005-0000-0000-0000BE000000}"/>
    <cellStyle name="Euro 10 4 3" xfId="1883" xr:uid="{00000000-0005-0000-0000-0000BF000000}"/>
    <cellStyle name="Euro 10 5" xfId="64" xr:uid="{00000000-0005-0000-0000-0000C0000000}"/>
    <cellStyle name="Euro 11" xfId="65" xr:uid="{00000000-0005-0000-0000-0000C1000000}"/>
    <cellStyle name="Euro 11 2" xfId="66" xr:uid="{00000000-0005-0000-0000-0000C2000000}"/>
    <cellStyle name="Euro 11 2 2" xfId="1884" xr:uid="{00000000-0005-0000-0000-0000C3000000}"/>
    <cellStyle name="Euro 11 3" xfId="67" xr:uid="{00000000-0005-0000-0000-0000C4000000}"/>
    <cellStyle name="Euro 11 3 2" xfId="68" xr:uid="{00000000-0005-0000-0000-0000C5000000}"/>
    <cellStyle name="Euro 11 3 2 2" xfId="3424" xr:uid="{00000000-0005-0000-0000-0000C6000000}"/>
    <cellStyle name="Euro 11 3 2 3" xfId="3425" xr:uid="{00000000-0005-0000-0000-0000C7000000}"/>
    <cellStyle name="Euro 11 3 3" xfId="69" xr:uid="{00000000-0005-0000-0000-0000C8000000}"/>
    <cellStyle name="Euro 11 3 3 2" xfId="1885" xr:uid="{00000000-0005-0000-0000-0000C9000000}"/>
    <cellStyle name="Euro 11 3 4" xfId="1886" xr:uid="{00000000-0005-0000-0000-0000CA000000}"/>
    <cellStyle name="Euro 11 4" xfId="70" xr:uid="{00000000-0005-0000-0000-0000CB000000}"/>
    <cellStyle name="Euro 11 4 2" xfId="1887" xr:uid="{00000000-0005-0000-0000-0000CC000000}"/>
    <cellStyle name="Euro 11 4 2 2" xfId="1888" xr:uid="{00000000-0005-0000-0000-0000CD000000}"/>
    <cellStyle name="Euro 11 4 3" xfId="1889" xr:uid="{00000000-0005-0000-0000-0000CE000000}"/>
    <cellStyle name="Euro 11 5" xfId="71" xr:uid="{00000000-0005-0000-0000-0000CF000000}"/>
    <cellStyle name="Euro 12" xfId="72" xr:uid="{00000000-0005-0000-0000-0000D0000000}"/>
    <cellStyle name="Euro 12 2" xfId="73" xr:uid="{00000000-0005-0000-0000-0000D1000000}"/>
    <cellStyle name="Euro 12 2 2" xfId="1890" xr:uid="{00000000-0005-0000-0000-0000D2000000}"/>
    <cellStyle name="Euro 12 3" xfId="74" xr:uid="{00000000-0005-0000-0000-0000D3000000}"/>
    <cellStyle name="Euro 12 3 2" xfId="75" xr:uid="{00000000-0005-0000-0000-0000D4000000}"/>
    <cellStyle name="Euro 12 3 2 2" xfId="3426" xr:uid="{00000000-0005-0000-0000-0000D5000000}"/>
    <cellStyle name="Euro 12 3 2 3" xfId="3427" xr:uid="{00000000-0005-0000-0000-0000D6000000}"/>
    <cellStyle name="Euro 12 3 3" xfId="76" xr:uid="{00000000-0005-0000-0000-0000D7000000}"/>
    <cellStyle name="Euro 12 3 3 2" xfId="1891" xr:uid="{00000000-0005-0000-0000-0000D8000000}"/>
    <cellStyle name="Euro 12 3 4" xfId="1892" xr:uid="{00000000-0005-0000-0000-0000D9000000}"/>
    <cellStyle name="Euro 12 4" xfId="77" xr:uid="{00000000-0005-0000-0000-0000DA000000}"/>
    <cellStyle name="Euro 12 4 2" xfId="1893" xr:uid="{00000000-0005-0000-0000-0000DB000000}"/>
    <cellStyle name="Euro 12 4 2 2" xfId="1894" xr:uid="{00000000-0005-0000-0000-0000DC000000}"/>
    <cellStyle name="Euro 12 4 3" xfId="1895" xr:uid="{00000000-0005-0000-0000-0000DD000000}"/>
    <cellStyle name="Euro 12 5" xfId="78" xr:uid="{00000000-0005-0000-0000-0000DE000000}"/>
    <cellStyle name="Euro 13" xfId="79" xr:uid="{00000000-0005-0000-0000-0000DF000000}"/>
    <cellStyle name="Euro 13 2" xfId="80" xr:uid="{00000000-0005-0000-0000-0000E0000000}"/>
    <cellStyle name="Euro 13 2 2" xfId="1896" xr:uid="{00000000-0005-0000-0000-0000E1000000}"/>
    <cellStyle name="Euro 13 3" xfId="81" xr:uid="{00000000-0005-0000-0000-0000E2000000}"/>
    <cellStyle name="Euro 13 3 2" xfId="82" xr:uid="{00000000-0005-0000-0000-0000E3000000}"/>
    <cellStyle name="Euro 13 3 2 2" xfId="3428" xr:uid="{00000000-0005-0000-0000-0000E4000000}"/>
    <cellStyle name="Euro 13 3 2 3" xfId="3429" xr:uid="{00000000-0005-0000-0000-0000E5000000}"/>
    <cellStyle name="Euro 13 3 3" xfId="83" xr:uid="{00000000-0005-0000-0000-0000E6000000}"/>
    <cellStyle name="Euro 13 3 3 2" xfId="1897" xr:uid="{00000000-0005-0000-0000-0000E7000000}"/>
    <cellStyle name="Euro 13 3 4" xfId="1898" xr:uid="{00000000-0005-0000-0000-0000E8000000}"/>
    <cellStyle name="Euro 13 4" xfId="84" xr:uid="{00000000-0005-0000-0000-0000E9000000}"/>
    <cellStyle name="Euro 13 4 2" xfId="1899" xr:uid="{00000000-0005-0000-0000-0000EA000000}"/>
    <cellStyle name="Euro 13 4 2 2" xfId="1900" xr:uid="{00000000-0005-0000-0000-0000EB000000}"/>
    <cellStyle name="Euro 13 4 3" xfId="1901" xr:uid="{00000000-0005-0000-0000-0000EC000000}"/>
    <cellStyle name="Euro 13 5" xfId="85" xr:uid="{00000000-0005-0000-0000-0000ED000000}"/>
    <cellStyle name="Euro 14" xfId="86" xr:uid="{00000000-0005-0000-0000-0000EE000000}"/>
    <cellStyle name="Euro 14 2" xfId="87" xr:uid="{00000000-0005-0000-0000-0000EF000000}"/>
    <cellStyle name="Euro 14 2 2" xfId="1902" xr:uid="{00000000-0005-0000-0000-0000F0000000}"/>
    <cellStyle name="Euro 14 3" xfId="88" xr:uid="{00000000-0005-0000-0000-0000F1000000}"/>
    <cellStyle name="Euro 14 3 2" xfId="89" xr:uid="{00000000-0005-0000-0000-0000F2000000}"/>
    <cellStyle name="Euro 14 3 2 2" xfId="3430" xr:uid="{00000000-0005-0000-0000-0000F3000000}"/>
    <cellStyle name="Euro 14 3 2 3" xfId="3431" xr:uid="{00000000-0005-0000-0000-0000F4000000}"/>
    <cellStyle name="Euro 14 3 3" xfId="90" xr:uid="{00000000-0005-0000-0000-0000F5000000}"/>
    <cellStyle name="Euro 14 3 3 2" xfId="1903" xr:uid="{00000000-0005-0000-0000-0000F6000000}"/>
    <cellStyle name="Euro 14 3 4" xfId="1904" xr:uid="{00000000-0005-0000-0000-0000F7000000}"/>
    <cellStyle name="Euro 14 4" xfId="91" xr:uid="{00000000-0005-0000-0000-0000F8000000}"/>
    <cellStyle name="Euro 14 4 2" xfId="1905" xr:uid="{00000000-0005-0000-0000-0000F9000000}"/>
    <cellStyle name="Euro 14 4 2 2" xfId="1906" xr:uid="{00000000-0005-0000-0000-0000FA000000}"/>
    <cellStyle name="Euro 14 4 3" xfId="1907" xr:uid="{00000000-0005-0000-0000-0000FB000000}"/>
    <cellStyle name="Euro 14 5" xfId="92" xr:uid="{00000000-0005-0000-0000-0000FC000000}"/>
    <cellStyle name="Euro 15" xfId="93" xr:uid="{00000000-0005-0000-0000-0000FD000000}"/>
    <cellStyle name="Euro 15 2" xfId="94" xr:uid="{00000000-0005-0000-0000-0000FE000000}"/>
    <cellStyle name="Euro 15 2 2" xfId="1908" xr:uid="{00000000-0005-0000-0000-0000FF000000}"/>
    <cellStyle name="Euro 15 3" xfId="95" xr:uid="{00000000-0005-0000-0000-000000010000}"/>
    <cellStyle name="Euro 15 3 2" xfId="96" xr:uid="{00000000-0005-0000-0000-000001010000}"/>
    <cellStyle name="Euro 15 3 2 2" xfId="3432" xr:uid="{00000000-0005-0000-0000-000002010000}"/>
    <cellStyle name="Euro 15 3 2 3" xfId="3433" xr:uid="{00000000-0005-0000-0000-000003010000}"/>
    <cellStyle name="Euro 15 3 3" xfId="97" xr:uid="{00000000-0005-0000-0000-000004010000}"/>
    <cellStyle name="Euro 15 3 3 2" xfId="1909" xr:uid="{00000000-0005-0000-0000-000005010000}"/>
    <cellStyle name="Euro 15 3 4" xfId="1910" xr:uid="{00000000-0005-0000-0000-000006010000}"/>
    <cellStyle name="Euro 15 4" xfId="98" xr:uid="{00000000-0005-0000-0000-000007010000}"/>
    <cellStyle name="Euro 15 4 2" xfId="1911" xr:uid="{00000000-0005-0000-0000-000008010000}"/>
    <cellStyle name="Euro 15 4 2 2" xfId="1912" xr:uid="{00000000-0005-0000-0000-000009010000}"/>
    <cellStyle name="Euro 15 4 3" xfId="1913" xr:uid="{00000000-0005-0000-0000-00000A010000}"/>
    <cellStyle name="Euro 15 5" xfId="99" xr:uid="{00000000-0005-0000-0000-00000B010000}"/>
    <cellStyle name="Euro 16" xfId="100" xr:uid="{00000000-0005-0000-0000-00000C010000}"/>
    <cellStyle name="Euro 16 2" xfId="101" xr:uid="{00000000-0005-0000-0000-00000D010000}"/>
    <cellStyle name="Euro 16 2 2" xfId="1914" xr:uid="{00000000-0005-0000-0000-00000E010000}"/>
    <cellStyle name="Euro 16 3" xfId="102" xr:uid="{00000000-0005-0000-0000-00000F010000}"/>
    <cellStyle name="Euro 16 3 2" xfId="103" xr:uid="{00000000-0005-0000-0000-000010010000}"/>
    <cellStyle name="Euro 16 3 2 2" xfId="3434" xr:uid="{00000000-0005-0000-0000-000011010000}"/>
    <cellStyle name="Euro 16 3 2 3" xfId="3435" xr:uid="{00000000-0005-0000-0000-000012010000}"/>
    <cellStyle name="Euro 16 3 3" xfId="104" xr:uid="{00000000-0005-0000-0000-000013010000}"/>
    <cellStyle name="Euro 16 3 3 2" xfId="1915" xr:uid="{00000000-0005-0000-0000-000014010000}"/>
    <cellStyle name="Euro 16 3 4" xfId="1916" xr:uid="{00000000-0005-0000-0000-000015010000}"/>
    <cellStyle name="Euro 16 4" xfId="105" xr:uid="{00000000-0005-0000-0000-000016010000}"/>
    <cellStyle name="Euro 16 4 2" xfId="1917" xr:uid="{00000000-0005-0000-0000-000017010000}"/>
    <cellStyle name="Euro 16 4 2 2" xfId="1918" xr:uid="{00000000-0005-0000-0000-000018010000}"/>
    <cellStyle name="Euro 16 4 3" xfId="1919" xr:uid="{00000000-0005-0000-0000-000019010000}"/>
    <cellStyle name="Euro 16 5" xfId="106" xr:uid="{00000000-0005-0000-0000-00001A010000}"/>
    <cellStyle name="Euro 17" xfId="107" xr:uid="{00000000-0005-0000-0000-00001B010000}"/>
    <cellStyle name="Euro 17 2" xfId="108" xr:uid="{00000000-0005-0000-0000-00001C010000}"/>
    <cellStyle name="Euro 17 2 2" xfId="1920" xr:uid="{00000000-0005-0000-0000-00001D010000}"/>
    <cellStyle name="Euro 17 3" xfId="109" xr:uid="{00000000-0005-0000-0000-00001E010000}"/>
    <cellStyle name="Euro 17 3 2" xfId="110" xr:uid="{00000000-0005-0000-0000-00001F010000}"/>
    <cellStyle name="Euro 17 3 2 2" xfId="3436" xr:uid="{00000000-0005-0000-0000-000020010000}"/>
    <cellStyle name="Euro 17 3 2 3" xfId="3437" xr:uid="{00000000-0005-0000-0000-000021010000}"/>
    <cellStyle name="Euro 17 3 3" xfId="111" xr:uid="{00000000-0005-0000-0000-000022010000}"/>
    <cellStyle name="Euro 17 3 3 2" xfId="1921" xr:uid="{00000000-0005-0000-0000-000023010000}"/>
    <cellStyle name="Euro 17 3 4" xfId="1922" xr:uid="{00000000-0005-0000-0000-000024010000}"/>
    <cellStyle name="Euro 17 4" xfId="112" xr:uid="{00000000-0005-0000-0000-000025010000}"/>
    <cellStyle name="Euro 17 4 2" xfId="1923" xr:uid="{00000000-0005-0000-0000-000026010000}"/>
    <cellStyle name="Euro 17 4 2 2" xfId="1924" xr:uid="{00000000-0005-0000-0000-000027010000}"/>
    <cellStyle name="Euro 17 4 3" xfId="1925" xr:uid="{00000000-0005-0000-0000-000028010000}"/>
    <cellStyle name="Euro 17 5" xfId="113" xr:uid="{00000000-0005-0000-0000-000029010000}"/>
    <cellStyle name="Euro 18" xfId="114" xr:uid="{00000000-0005-0000-0000-00002A010000}"/>
    <cellStyle name="Euro 18 2" xfId="115" xr:uid="{00000000-0005-0000-0000-00002B010000}"/>
    <cellStyle name="Euro 18 2 2" xfId="1926" xr:uid="{00000000-0005-0000-0000-00002C010000}"/>
    <cellStyle name="Euro 18 3" xfId="116" xr:uid="{00000000-0005-0000-0000-00002D010000}"/>
    <cellStyle name="Euro 18 3 2" xfId="117" xr:uid="{00000000-0005-0000-0000-00002E010000}"/>
    <cellStyle name="Euro 18 3 2 2" xfId="3438" xr:uid="{00000000-0005-0000-0000-00002F010000}"/>
    <cellStyle name="Euro 18 3 2 3" xfId="3439" xr:uid="{00000000-0005-0000-0000-000030010000}"/>
    <cellStyle name="Euro 18 3 3" xfId="118" xr:uid="{00000000-0005-0000-0000-000031010000}"/>
    <cellStyle name="Euro 18 3 3 2" xfId="1927" xr:uid="{00000000-0005-0000-0000-000032010000}"/>
    <cellStyle name="Euro 18 3 4" xfId="1928" xr:uid="{00000000-0005-0000-0000-000033010000}"/>
    <cellStyle name="Euro 18 4" xfId="119" xr:uid="{00000000-0005-0000-0000-000034010000}"/>
    <cellStyle name="Euro 18 4 2" xfId="1929" xr:uid="{00000000-0005-0000-0000-000035010000}"/>
    <cellStyle name="Euro 18 4 2 2" xfId="1930" xr:uid="{00000000-0005-0000-0000-000036010000}"/>
    <cellStyle name="Euro 18 4 3" xfId="1931" xr:uid="{00000000-0005-0000-0000-000037010000}"/>
    <cellStyle name="Euro 18 5" xfId="120" xr:uid="{00000000-0005-0000-0000-000038010000}"/>
    <cellStyle name="Euro 19" xfId="121" xr:uid="{00000000-0005-0000-0000-000039010000}"/>
    <cellStyle name="Euro 19 2" xfId="122" xr:uid="{00000000-0005-0000-0000-00003A010000}"/>
    <cellStyle name="Euro 19 2 2" xfId="1932" xr:uid="{00000000-0005-0000-0000-00003B010000}"/>
    <cellStyle name="Euro 19 3" xfId="123" xr:uid="{00000000-0005-0000-0000-00003C010000}"/>
    <cellStyle name="Euro 19 3 2" xfId="124" xr:uid="{00000000-0005-0000-0000-00003D010000}"/>
    <cellStyle name="Euro 19 3 2 2" xfId="3440" xr:uid="{00000000-0005-0000-0000-00003E010000}"/>
    <cellStyle name="Euro 19 3 2 3" xfId="3441" xr:uid="{00000000-0005-0000-0000-00003F010000}"/>
    <cellStyle name="Euro 19 3 3" xfId="125" xr:uid="{00000000-0005-0000-0000-000040010000}"/>
    <cellStyle name="Euro 19 3 3 2" xfId="1933" xr:uid="{00000000-0005-0000-0000-000041010000}"/>
    <cellStyle name="Euro 19 3 4" xfId="1934" xr:uid="{00000000-0005-0000-0000-000042010000}"/>
    <cellStyle name="Euro 19 4" xfId="126" xr:uid="{00000000-0005-0000-0000-000043010000}"/>
    <cellStyle name="Euro 19 4 2" xfId="1935" xr:uid="{00000000-0005-0000-0000-000044010000}"/>
    <cellStyle name="Euro 19 4 2 2" xfId="1936" xr:uid="{00000000-0005-0000-0000-000045010000}"/>
    <cellStyle name="Euro 19 4 3" xfId="1937" xr:uid="{00000000-0005-0000-0000-000046010000}"/>
    <cellStyle name="Euro 19 5" xfId="127" xr:uid="{00000000-0005-0000-0000-000047010000}"/>
    <cellStyle name="Euro 2" xfId="128" xr:uid="{00000000-0005-0000-0000-000048010000}"/>
    <cellStyle name="Euro 2 2" xfId="129" xr:uid="{00000000-0005-0000-0000-000049010000}"/>
    <cellStyle name="Euro 2 2 2" xfId="1938" xr:uid="{00000000-0005-0000-0000-00004A010000}"/>
    <cellStyle name="Euro 2 3" xfId="130" xr:uid="{00000000-0005-0000-0000-00004B010000}"/>
    <cellStyle name="Euro 2 3 2" xfId="131" xr:uid="{00000000-0005-0000-0000-00004C010000}"/>
    <cellStyle name="Euro 2 3 2 2" xfId="3442" xr:uid="{00000000-0005-0000-0000-00004D010000}"/>
    <cellStyle name="Euro 2 3 2 3" xfId="3443" xr:uid="{00000000-0005-0000-0000-00004E010000}"/>
    <cellStyle name="Euro 2 3 3" xfId="132" xr:uid="{00000000-0005-0000-0000-00004F010000}"/>
    <cellStyle name="Euro 2 3 3 2" xfId="1939" xr:uid="{00000000-0005-0000-0000-000050010000}"/>
    <cellStyle name="Euro 2 3 4" xfId="1940" xr:uid="{00000000-0005-0000-0000-000051010000}"/>
    <cellStyle name="Euro 2 4" xfId="133" xr:uid="{00000000-0005-0000-0000-000052010000}"/>
    <cellStyle name="Euro 2 4 2" xfId="1941" xr:uid="{00000000-0005-0000-0000-000053010000}"/>
    <cellStyle name="Euro 2 4 2 2" xfId="1942" xr:uid="{00000000-0005-0000-0000-000054010000}"/>
    <cellStyle name="Euro 2 4 3" xfId="1943" xr:uid="{00000000-0005-0000-0000-000055010000}"/>
    <cellStyle name="Euro 2 5" xfId="134" xr:uid="{00000000-0005-0000-0000-000056010000}"/>
    <cellStyle name="Euro 20" xfId="135" xr:uid="{00000000-0005-0000-0000-000057010000}"/>
    <cellStyle name="Euro 20 2" xfId="136" xr:uid="{00000000-0005-0000-0000-000058010000}"/>
    <cellStyle name="Euro 20 2 2" xfId="1944" xr:uid="{00000000-0005-0000-0000-000059010000}"/>
    <cellStyle name="Euro 20 3" xfId="137" xr:uid="{00000000-0005-0000-0000-00005A010000}"/>
    <cellStyle name="Euro 20 3 2" xfId="138" xr:uid="{00000000-0005-0000-0000-00005B010000}"/>
    <cellStyle name="Euro 20 3 2 2" xfId="3444" xr:uid="{00000000-0005-0000-0000-00005C010000}"/>
    <cellStyle name="Euro 20 3 2 3" xfId="3445" xr:uid="{00000000-0005-0000-0000-00005D010000}"/>
    <cellStyle name="Euro 20 3 3" xfId="139" xr:uid="{00000000-0005-0000-0000-00005E010000}"/>
    <cellStyle name="Euro 20 3 3 2" xfId="1945" xr:uid="{00000000-0005-0000-0000-00005F010000}"/>
    <cellStyle name="Euro 20 3 4" xfId="1946" xr:uid="{00000000-0005-0000-0000-000060010000}"/>
    <cellStyle name="Euro 20 4" xfId="140" xr:uid="{00000000-0005-0000-0000-000061010000}"/>
    <cellStyle name="Euro 20 4 2" xfId="1947" xr:uid="{00000000-0005-0000-0000-000062010000}"/>
    <cellStyle name="Euro 20 4 2 2" xfId="1948" xr:uid="{00000000-0005-0000-0000-000063010000}"/>
    <cellStyle name="Euro 20 4 3" xfId="1949" xr:uid="{00000000-0005-0000-0000-000064010000}"/>
    <cellStyle name="Euro 20 5" xfId="141" xr:uid="{00000000-0005-0000-0000-000065010000}"/>
    <cellStyle name="Euro 21" xfId="142" xr:uid="{00000000-0005-0000-0000-000066010000}"/>
    <cellStyle name="Euro 21 2" xfId="143" xr:uid="{00000000-0005-0000-0000-000067010000}"/>
    <cellStyle name="Euro 21 2 2" xfId="1950" xr:uid="{00000000-0005-0000-0000-000068010000}"/>
    <cellStyle name="Euro 21 3" xfId="144" xr:uid="{00000000-0005-0000-0000-000069010000}"/>
    <cellStyle name="Euro 21 3 2" xfId="145" xr:uid="{00000000-0005-0000-0000-00006A010000}"/>
    <cellStyle name="Euro 21 3 2 2" xfId="3446" xr:uid="{00000000-0005-0000-0000-00006B010000}"/>
    <cellStyle name="Euro 21 3 2 3" xfId="3447" xr:uid="{00000000-0005-0000-0000-00006C010000}"/>
    <cellStyle name="Euro 21 3 3" xfId="146" xr:uid="{00000000-0005-0000-0000-00006D010000}"/>
    <cellStyle name="Euro 21 3 3 2" xfId="1951" xr:uid="{00000000-0005-0000-0000-00006E010000}"/>
    <cellStyle name="Euro 21 3 4" xfId="1952" xr:uid="{00000000-0005-0000-0000-00006F010000}"/>
    <cellStyle name="Euro 21 4" xfId="147" xr:uid="{00000000-0005-0000-0000-000070010000}"/>
    <cellStyle name="Euro 21 4 2" xfId="1953" xr:uid="{00000000-0005-0000-0000-000071010000}"/>
    <cellStyle name="Euro 21 4 2 2" xfId="1954" xr:uid="{00000000-0005-0000-0000-000072010000}"/>
    <cellStyle name="Euro 21 4 3" xfId="1955" xr:uid="{00000000-0005-0000-0000-000073010000}"/>
    <cellStyle name="Euro 21 5" xfId="148" xr:uid="{00000000-0005-0000-0000-000074010000}"/>
    <cellStyle name="Euro 22" xfId="149" xr:uid="{00000000-0005-0000-0000-000075010000}"/>
    <cellStyle name="Euro 22 2" xfId="150" xr:uid="{00000000-0005-0000-0000-000076010000}"/>
    <cellStyle name="Euro 22 2 2" xfId="1956" xr:uid="{00000000-0005-0000-0000-000077010000}"/>
    <cellStyle name="Euro 22 3" xfId="151" xr:uid="{00000000-0005-0000-0000-000078010000}"/>
    <cellStyle name="Euro 22 3 2" xfId="152" xr:uid="{00000000-0005-0000-0000-000079010000}"/>
    <cellStyle name="Euro 22 3 2 2" xfId="3448" xr:uid="{00000000-0005-0000-0000-00007A010000}"/>
    <cellStyle name="Euro 22 3 2 3" xfId="3449" xr:uid="{00000000-0005-0000-0000-00007B010000}"/>
    <cellStyle name="Euro 22 3 3" xfId="153" xr:uid="{00000000-0005-0000-0000-00007C010000}"/>
    <cellStyle name="Euro 22 3 3 2" xfId="1957" xr:uid="{00000000-0005-0000-0000-00007D010000}"/>
    <cellStyle name="Euro 22 3 4" xfId="1958" xr:uid="{00000000-0005-0000-0000-00007E010000}"/>
    <cellStyle name="Euro 22 4" xfId="154" xr:uid="{00000000-0005-0000-0000-00007F010000}"/>
    <cellStyle name="Euro 22 4 2" xfId="1959" xr:uid="{00000000-0005-0000-0000-000080010000}"/>
    <cellStyle name="Euro 22 4 2 2" xfId="1960" xr:uid="{00000000-0005-0000-0000-000081010000}"/>
    <cellStyle name="Euro 22 4 3" xfId="1961" xr:uid="{00000000-0005-0000-0000-000082010000}"/>
    <cellStyle name="Euro 22 5" xfId="155" xr:uid="{00000000-0005-0000-0000-000083010000}"/>
    <cellStyle name="Euro 23" xfId="156" xr:uid="{00000000-0005-0000-0000-000084010000}"/>
    <cellStyle name="Euro 23 2" xfId="157" xr:uid="{00000000-0005-0000-0000-000085010000}"/>
    <cellStyle name="Euro 23 2 2" xfId="1962" xr:uid="{00000000-0005-0000-0000-000086010000}"/>
    <cellStyle name="Euro 23 3" xfId="158" xr:uid="{00000000-0005-0000-0000-000087010000}"/>
    <cellStyle name="Euro 23 3 2" xfId="159" xr:uid="{00000000-0005-0000-0000-000088010000}"/>
    <cellStyle name="Euro 23 3 2 2" xfId="3450" xr:uid="{00000000-0005-0000-0000-000089010000}"/>
    <cellStyle name="Euro 23 3 2 3" xfId="3451" xr:uid="{00000000-0005-0000-0000-00008A010000}"/>
    <cellStyle name="Euro 23 3 3" xfId="160" xr:uid="{00000000-0005-0000-0000-00008B010000}"/>
    <cellStyle name="Euro 23 3 3 2" xfId="1963" xr:uid="{00000000-0005-0000-0000-00008C010000}"/>
    <cellStyle name="Euro 23 3 4" xfId="1964" xr:uid="{00000000-0005-0000-0000-00008D010000}"/>
    <cellStyle name="Euro 23 4" xfId="161" xr:uid="{00000000-0005-0000-0000-00008E010000}"/>
    <cellStyle name="Euro 23 4 2" xfId="1965" xr:uid="{00000000-0005-0000-0000-00008F010000}"/>
    <cellStyle name="Euro 23 4 2 2" xfId="1966" xr:uid="{00000000-0005-0000-0000-000090010000}"/>
    <cellStyle name="Euro 23 4 3" xfId="1967" xr:uid="{00000000-0005-0000-0000-000091010000}"/>
    <cellStyle name="Euro 23 5" xfId="162" xr:uid="{00000000-0005-0000-0000-000092010000}"/>
    <cellStyle name="Euro 24" xfId="163" xr:uid="{00000000-0005-0000-0000-000093010000}"/>
    <cellStyle name="Euro 24 2" xfId="164" xr:uid="{00000000-0005-0000-0000-000094010000}"/>
    <cellStyle name="Euro 24 2 2" xfId="1968" xr:uid="{00000000-0005-0000-0000-000095010000}"/>
    <cellStyle name="Euro 24 3" xfId="165" xr:uid="{00000000-0005-0000-0000-000096010000}"/>
    <cellStyle name="Euro 24 3 2" xfId="166" xr:uid="{00000000-0005-0000-0000-000097010000}"/>
    <cellStyle name="Euro 24 3 2 2" xfId="3452" xr:uid="{00000000-0005-0000-0000-000098010000}"/>
    <cellStyle name="Euro 24 3 2 3" xfId="3453" xr:uid="{00000000-0005-0000-0000-000099010000}"/>
    <cellStyle name="Euro 24 3 3" xfId="167" xr:uid="{00000000-0005-0000-0000-00009A010000}"/>
    <cellStyle name="Euro 24 3 3 2" xfId="1969" xr:uid="{00000000-0005-0000-0000-00009B010000}"/>
    <cellStyle name="Euro 24 3 4" xfId="1970" xr:uid="{00000000-0005-0000-0000-00009C010000}"/>
    <cellStyle name="Euro 24 4" xfId="168" xr:uid="{00000000-0005-0000-0000-00009D010000}"/>
    <cellStyle name="Euro 24 4 2" xfId="1971" xr:uid="{00000000-0005-0000-0000-00009E010000}"/>
    <cellStyle name="Euro 24 4 2 2" xfId="1972" xr:uid="{00000000-0005-0000-0000-00009F010000}"/>
    <cellStyle name="Euro 24 4 3" xfId="1973" xr:uid="{00000000-0005-0000-0000-0000A0010000}"/>
    <cellStyle name="Euro 24 5" xfId="169" xr:uid="{00000000-0005-0000-0000-0000A1010000}"/>
    <cellStyle name="Euro 25" xfId="170" xr:uid="{00000000-0005-0000-0000-0000A2010000}"/>
    <cellStyle name="Euro 25 2" xfId="171" xr:uid="{00000000-0005-0000-0000-0000A3010000}"/>
    <cellStyle name="Euro 25 2 2" xfId="1974" xr:uid="{00000000-0005-0000-0000-0000A4010000}"/>
    <cellStyle name="Euro 25 3" xfId="172" xr:uid="{00000000-0005-0000-0000-0000A5010000}"/>
    <cellStyle name="Euro 25 3 2" xfId="173" xr:uid="{00000000-0005-0000-0000-0000A6010000}"/>
    <cellStyle name="Euro 25 3 2 2" xfId="3454" xr:uid="{00000000-0005-0000-0000-0000A7010000}"/>
    <cellStyle name="Euro 25 3 2 3" xfId="3455" xr:uid="{00000000-0005-0000-0000-0000A8010000}"/>
    <cellStyle name="Euro 25 3 3" xfId="174" xr:uid="{00000000-0005-0000-0000-0000A9010000}"/>
    <cellStyle name="Euro 25 3 3 2" xfId="1975" xr:uid="{00000000-0005-0000-0000-0000AA010000}"/>
    <cellStyle name="Euro 25 3 4" xfId="1976" xr:uid="{00000000-0005-0000-0000-0000AB010000}"/>
    <cellStyle name="Euro 25 4" xfId="175" xr:uid="{00000000-0005-0000-0000-0000AC010000}"/>
    <cellStyle name="Euro 25 4 2" xfId="1977" xr:uid="{00000000-0005-0000-0000-0000AD010000}"/>
    <cellStyle name="Euro 25 4 2 2" xfId="1978" xr:uid="{00000000-0005-0000-0000-0000AE010000}"/>
    <cellStyle name="Euro 25 4 3" xfId="1979" xr:uid="{00000000-0005-0000-0000-0000AF010000}"/>
    <cellStyle name="Euro 25 5" xfId="176" xr:uid="{00000000-0005-0000-0000-0000B0010000}"/>
    <cellStyle name="Euro 26" xfId="177" xr:uid="{00000000-0005-0000-0000-0000B1010000}"/>
    <cellStyle name="Euro 26 2" xfId="178" xr:uid="{00000000-0005-0000-0000-0000B2010000}"/>
    <cellStyle name="Euro 26 2 2" xfId="1980" xr:uid="{00000000-0005-0000-0000-0000B3010000}"/>
    <cellStyle name="Euro 26 3" xfId="179" xr:uid="{00000000-0005-0000-0000-0000B4010000}"/>
    <cellStyle name="Euro 26 3 2" xfId="180" xr:uid="{00000000-0005-0000-0000-0000B5010000}"/>
    <cellStyle name="Euro 26 3 2 2" xfId="3456" xr:uid="{00000000-0005-0000-0000-0000B6010000}"/>
    <cellStyle name="Euro 26 3 2 3" xfId="3457" xr:uid="{00000000-0005-0000-0000-0000B7010000}"/>
    <cellStyle name="Euro 26 3 3" xfId="181" xr:uid="{00000000-0005-0000-0000-0000B8010000}"/>
    <cellStyle name="Euro 26 3 3 2" xfId="1981" xr:uid="{00000000-0005-0000-0000-0000B9010000}"/>
    <cellStyle name="Euro 26 3 4" xfId="1982" xr:uid="{00000000-0005-0000-0000-0000BA010000}"/>
    <cellStyle name="Euro 26 4" xfId="182" xr:uid="{00000000-0005-0000-0000-0000BB010000}"/>
    <cellStyle name="Euro 26 4 2" xfId="1983" xr:uid="{00000000-0005-0000-0000-0000BC010000}"/>
    <cellStyle name="Euro 26 4 2 2" xfId="1984" xr:uid="{00000000-0005-0000-0000-0000BD010000}"/>
    <cellStyle name="Euro 26 4 3" xfId="1985" xr:uid="{00000000-0005-0000-0000-0000BE010000}"/>
    <cellStyle name="Euro 26 5" xfId="183" xr:uid="{00000000-0005-0000-0000-0000BF010000}"/>
    <cellStyle name="Euro 27" xfId="184" xr:uid="{00000000-0005-0000-0000-0000C0010000}"/>
    <cellStyle name="Euro 27 2" xfId="185" xr:uid="{00000000-0005-0000-0000-0000C1010000}"/>
    <cellStyle name="Euro 27 2 2" xfId="1986" xr:uid="{00000000-0005-0000-0000-0000C2010000}"/>
    <cellStyle name="Euro 27 3" xfId="186" xr:uid="{00000000-0005-0000-0000-0000C3010000}"/>
    <cellStyle name="Euro 27 3 2" xfId="187" xr:uid="{00000000-0005-0000-0000-0000C4010000}"/>
    <cellStyle name="Euro 27 3 2 2" xfId="3458" xr:uid="{00000000-0005-0000-0000-0000C5010000}"/>
    <cellStyle name="Euro 27 3 2 3" xfId="3459" xr:uid="{00000000-0005-0000-0000-0000C6010000}"/>
    <cellStyle name="Euro 27 3 3" xfId="188" xr:uid="{00000000-0005-0000-0000-0000C7010000}"/>
    <cellStyle name="Euro 27 3 3 2" xfId="1987" xr:uid="{00000000-0005-0000-0000-0000C8010000}"/>
    <cellStyle name="Euro 27 3 4" xfId="1988" xr:uid="{00000000-0005-0000-0000-0000C9010000}"/>
    <cellStyle name="Euro 27 4" xfId="189" xr:uid="{00000000-0005-0000-0000-0000CA010000}"/>
    <cellStyle name="Euro 27 4 2" xfId="1989" xr:uid="{00000000-0005-0000-0000-0000CB010000}"/>
    <cellStyle name="Euro 27 4 2 2" xfId="1990" xr:uid="{00000000-0005-0000-0000-0000CC010000}"/>
    <cellStyle name="Euro 27 4 3" xfId="1991" xr:uid="{00000000-0005-0000-0000-0000CD010000}"/>
    <cellStyle name="Euro 27 5" xfId="190" xr:uid="{00000000-0005-0000-0000-0000CE010000}"/>
    <cellStyle name="Euro 28" xfId="191" xr:uid="{00000000-0005-0000-0000-0000CF010000}"/>
    <cellStyle name="Euro 28 2" xfId="192" xr:uid="{00000000-0005-0000-0000-0000D0010000}"/>
    <cellStyle name="Euro 28 2 2" xfId="1992" xr:uid="{00000000-0005-0000-0000-0000D1010000}"/>
    <cellStyle name="Euro 28 3" xfId="193" xr:uid="{00000000-0005-0000-0000-0000D2010000}"/>
    <cellStyle name="Euro 28 3 2" xfId="194" xr:uid="{00000000-0005-0000-0000-0000D3010000}"/>
    <cellStyle name="Euro 28 3 2 2" xfId="3460" xr:uid="{00000000-0005-0000-0000-0000D4010000}"/>
    <cellStyle name="Euro 28 3 2 3" xfId="3461" xr:uid="{00000000-0005-0000-0000-0000D5010000}"/>
    <cellStyle name="Euro 28 3 3" xfId="195" xr:uid="{00000000-0005-0000-0000-0000D6010000}"/>
    <cellStyle name="Euro 28 3 3 2" xfId="1993" xr:uid="{00000000-0005-0000-0000-0000D7010000}"/>
    <cellStyle name="Euro 28 3 4" xfId="1994" xr:uid="{00000000-0005-0000-0000-0000D8010000}"/>
    <cellStyle name="Euro 28 4" xfId="196" xr:uid="{00000000-0005-0000-0000-0000D9010000}"/>
    <cellStyle name="Euro 28 4 2" xfId="1995" xr:uid="{00000000-0005-0000-0000-0000DA010000}"/>
    <cellStyle name="Euro 28 4 2 2" xfId="1996" xr:uid="{00000000-0005-0000-0000-0000DB010000}"/>
    <cellStyle name="Euro 28 4 3" xfId="1997" xr:uid="{00000000-0005-0000-0000-0000DC010000}"/>
    <cellStyle name="Euro 28 5" xfId="197" xr:uid="{00000000-0005-0000-0000-0000DD010000}"/>
    <cellStyle name="Euro 29" xfId="198" xr:uid="{00000000-0005-0000-0000-0000DE010000}"/>
    <cellStyle name="Euro 29 2" xfId="199" xr:uid="{00000000-0005-0000-0000-0000DF010000}"/>
    <cellStyle name="Euro 29 2 2" xfId="1998" xr:uid="{00000000-0005-0000-0000-0000E0010000}"/>
    <cellStyle name="Euro 29 3" xfId="200" xr:uid="{00000000-0005-0000-0000-0000E1010000}"/>
    <cellStyle name="Euro 29 3 2" xfId="201" xr:uid="{00000000-0005-0000-0000-0000E2010000}"/>
    <cellStyle name="Euro 29 3 2 2" xfId="3462" xr:uid="{00000000-0005-0000-0000-0000E3010000}"/>
    <cellStyle name="Euro 29 3 2 3" xfId="3463" xr:uid="{00000000-0005-0000-0000-0000E4010000}"/>
    <cellStyle name="Euro 29 3 3" xfId="202" xr:uid="{00000000-0005-0000-0000-0000E5010000}"/>
    <cellStyle name="Euro 29 3 3 2" xfId="1999" xr:uid="{00000000-0005-0000-0000-0000E6010000}"/>
    <cellStyle name="Euro 29 3 4" xfId="2000" xr:uid="{00000000-0005-0000-0000-0000E7010000}"/>
    <cellStyle name="Euro 29 4" xfId="203" xr:uid="{00000000-0005-0000-0000-0000E8010000}"/>
    <cellStyle name="Euro 29 4 2" xfId="2001" xr:uid="{00000000-0005-0000-0000-0000E9010000}"/>
    <cellStyle name="Euro 29 4 2 2" xfId="2002" xr:uid="{00000000-0005-0000-0000-0000EA010000}"/>
    <cellStyle name="Euro 29 4 3" xfId="2003" xr:uid="{00000000-0005-0000-0000-0000EB010000}"/>
    <cellStyle name="Euro 29 5" xfId="204" xr:uid="{00000000-0005-0000-0000-0000EC010000}"/>
    <cellStyle name="Euro 3" xfId="205" xr:uid="{00000000-0005-0000-0000-0000ED010000}"/>
    <cellStyle name="Euro 3 2" xfId="206" xr:uid="{00000000-0005-0000-0000-0000EE010000}"/>
    <cellStyle name="Euro 3 2 2" xfId="2004" xr:uid="{00000000-0005-0000-0000-0000EF010000}"/>
    <cellStyle name="Euro 3 3" xfId="207" xr:uid="{00000000-0005-0000-0000-0000F0010000}"/>
    <cellStyle name="Euro 3 3 2" xfId="208" xr:uid="{00000000-0005-0000-0000-0000F1010000}"/>
    <cellStyle name="Euro 3 3 2 2" xfId="3464" xr:uid="{00000000-0005-0000-0000-0000F2010000}"/>
    <cellStyle name="Euro 3 3 2 3" xfId="3465" xr:uid="{00000000-0005-0000-0000-0000F3010000}"/>
    <cellStyle name="Euro 3 3 3" xfId="209" xr:uid="{00000000-0005-0000-0000-0000F4010000}"/>
    <cellStyle name="Euro 3 3 3 2" xfId="2005" xr:uid="{00000000-0005-0000-0000-0000F5010000}"/>
    <cellStyle name="Euro 3 3 4" xfId="2006" xr:uid="{00000000-0005-0000-0000-0000F6010000}"/>
    <cellStyle name="Euro 3 4" xfId="210" xr:uid="{00000000-0005-0000-0000-0000F7010000}"/>
    <cellStyle name="Euro 3 4 2" xfId="2007" xr:uid="{00000000-0005-0000-0000-0000F8010000}"/>
    <cellStyle name="Euro 3 4 2 2" xfId="2008" xr:uid="{00000000-0005-0000-0000-0000F9010000}"/>
    <cellStyle name="Euro 3 4 3" xfId="2009" xr:uid="{00000000-0005-0000-0000-0000FA010000}"/>
    <cellStyle name="Euro 3 5" xfId="211" xr:uid="{00000000-0005-0000-0000-0000FB010000}"/>
    <cellStyle name="Euro 30" xfId="212" xr:uid="{00000000-0005-0000-0000-0000FC010000}"/>
    <cellStyle name="Euro 30 2" xfId="213" xr:uid="{00000000-0005-0000-0000-0000FD010000}"/>
    <cellStyle name="Euro 30 2 2" xfId="2010" xr:uid="{00000000-0005-0000-0000-0000FE010000}"/>
    <cellStyle name="Euro 30 3" xfId="214" xr:uid="{00000000-0005-0000-0000-0000FF010000}"/>
    <cellStyle name="Euro 30 3 2" xfId="215" xr:uid="{00000000-0005-0000-0000-000000020000}"/>
    <cellStyle name="Euro 30 3 2 2" xfId="3466" xr:uid="{00000000-0005-0000-0000-000001020000}"/>
    <cellStyle name="Euro 30 3 2 3" xfId="3467" xr:uid="{00000000-0005-0000-0000-000002020000}"/>
    <cellStyle name="Euro 30 3 3" xfId="216" xr:uid="{00000000-0005-0000-0000-000003020000}"/>
    <cellStyle name="Euro 30 3 3 2" xfId="2011" xr:uid="{00000000-0005-0000-0000-000004020000}"/>
    <cellStyle name="Euro 30 3 4" xfId="2012" xr:uid="{00000000-0005-0000-0000-000005020000}"/>
    <cellStyle name="Euro 30 4" xfId="217" xr:uid="{00000000-0005-0000-0000-000006020000}"/>
    <cellStyle name="Euro 30 4 2" xfId="2013" xr:uid="{00000000-0005-0000-0000-000007020000}"/>
    <cellStyle name="Euro 30 4 2 2" xfId="2014" xr:uid="{00000000-0005-0000-0000-000008020000}"/>
    <cellStyle name="Euro 30 4 3" xfId="2015" xr:uid="{00000000-0005-0000-0000-000009020000}"/>
    <cellStyle name="Euro 30 5" xfId="218" xr:uid="{00000000-0005-0000-0000-00000A020000}"/>
    <cellStyle name="Euro 31" xfId="219" xr:uid="{00000000-0005-0000-0000-00000B020000}"/>
    <cellStyle name="Euro 31 2" xfId="220" xr:uid="{00000000-0005-0000-0000-00000C020000}"/>
    <cellStyle name="Euro 31 2 2" xfId="2016" xr:uid="{00000000-0005-0000-0000-00000D020000}"/>
    <cellStyle name="Euro 31 3" xfId="221" xr:uid="{00000000-0005-0000-0000-00000E020000}"/>
    <cellStyle name="Euro 31 3 2" xfId="222" xr:uid="{00000000-0005-0000-0000-00000F020000}"/>
    <cellStyle name="Euro 31 3 2 2" xfId="3468" xr:uid="{00000000-0005-0000-0000-000010020000}"/>
    <cellStyle name="Euro 31 3 2 3" xfId="3469" xr:uid="{00000000-0005-0000-0000-000011020000}"/>
    <cellStyle name="Euro 31 3 3" xfId="223" xr:uid="{00000000-0005-0000-0000-000012020000}"/>
    <cellStyle name="Euro 31 3 3 2" xfId="2017" xr:uid="{00000000-0005-0000-0000-000013020000}"/>
    <cellStyle name="Euro 31 3 4" xfId="2018" xr:uid="{00000000-0005-0000-0000-000014020000}"/>
    <cellStyle name="Euro 31 4" xfId="224" xr:uid="{00000000-0005-0000-0000-000015020000}"/>
    <cellStyle name="Euro 31 4 2" xfId="2019" xr:uid="{00000000-0005-0000-0000-000016020000}"/>
    <cellStyle name="Euro 31 4 2 2" xfId="2020" xr:uid="{00000000-0005-0000-0000-000017020000}"/>
    <cellStyle name="Euro 31 4 3" xfId="2021" xr:uid="{00000000-0005-0000-0000-000018020000}"/>
    <cellStyle name="Euro 31 5" xfId="225" xr:uid="{00000000-0005-0000-0000-000019020000}"/>
    <cellStyle name="Euro 32" xfId="226" xr:uid="{00000000-0005-0000-0000-00001A020000}"/>
    <cellStyle name="Euro 32 2" xfId="227" xr:uid="{00000000-0005-0000-0000-00001B020000}"/>
    <cellStyle name="Euro 32 2 2" xfId="2022" xr:uid="{00000000-0005-0000-0000-00001C020000}"/>
    <cellStyle name="Euro 32 3" xfId="228" xr:uid="{00000000-0005-0000-0000-00001D020000}"/>
    <cellStyle name="Euro 32 3 2" xfId="229" xr:uid="{00000000-0005-0000-0000-00001E020000}"/>
    <cellStyle name="Euro 32 3 2 2" xfId="3470" xr:uid="{00000000-0005-0000-0000-00001F020000}"/>
    <cellStyle name="Euro 32 3 2 3" xfId="3471" xr:uid="{00000000-0005-0000-0000-000020020000}"/>
    <cellStyle name="Euro 32 3 3" xfId="230" xr:uid="{00000000-0005-0000-0000-000021020000}"/>
    <cellStyle name="Euro 32 3 3 2" xfId="2023" xr:uid="{00000000-0005-0000-0000-000022020000}"/>
    <cellStyle name="Euro 32 3 4" xfId="2024" xr:uid="{00000000-0005-0000-0000-000023020000}"/>
    <cellStyle name="Euro 32 4" xfId="231" xr:uid="{00000000-0005-0000-0000-000024020000}"/>
    <cellStyle name="Euro 32 4 2" xfId="2025" xr:uid="{00000000-0005-0000-0000-000025020000}"/>
    <cellStyle name="Euro 32 4 2 2" xfId="2026" xr:uid="{00000000-0005-0000-0000-000026020000}"/>
    <cellStyle name="Euro 32 4 3" xfId="2027" xr:uid="{00000000-0005-0000-0000-000027020000}"/>
    <cellStyle name="Euro 32 5" xfId="232" xr:uid="{00000000-0005-0000-0000-000028020000}"/>
    <cellStyle name="Euro 33" xfId="233" xr:uid="{00000000-0005-0000-0000-000029020000}"/>
    <cellStyle name="Euro 33 2" xfId="234" xr:uid="{00000000-0005-0000-0000-00002A020000}"/>
    <cellStyle name="Euro 33 2 2" xfId="2028" xr:uid="{00000000-0005-0000-0000-00002B020000}"/>
    <cellStyle name="Euro 33 3" xfId="235" xr:uid="{00000000-0005-0000-0000-00002C020000}"/>
    <cellStyle name="Euro 33 3 2" xfId="236" xr:uid="{00000000-0005-0000-0000-00002D020000}"/>
    <cellStyle name="Euro 33 3 2 2" xfId="3472" xr:uid="{00000000-0005-0000-0000-00002E020000}"/>
    <cellStyle name="Euro 33 3 2 3" xfId="3473" xr:uid="{00000000-0005-0000-0000-00002F020000}"/>
    <cellStyle name="Euro 33 3 3" xfId="237" xr:uid="{00000000-0005-0000-0000-000030020000}"/>
    <cellStyle name="Euro 33 3 3 2" xfId="2029" xr:uid="{00000000-0005-0000-0000-000031020000}"/>
    <cellStyle name="Euro 33 3 4" xfId="2030" xr:uid="{00000000-0005-0000-0000-000032020000}"/>
    <cellStyle name="Euro 33 4" xfId="238" xr:uid="{00000000-0005-0000-0000-000033020000}"/>
    <cellStyle name="Euro 33 4 2" xfId="2031" xr:uid="{00000000-0005-0000-0000-000034020000}"/>
    <cellStyle name="Euro 33 4 2 2" xfId="2032" xr:uid="{00000000-0005-0000-0000-000035020000}"/>
    <cellStyle name="Euro 33 4 3" xfId="2033" xr:uid="{00000000-0005-0000-0000-000036020000}"/>
    <cellStyle name="Euro 33 5" xfId="239" xr:uid="{00000000-0005-0000-0000-000037020000}"/>
    <cellStyle name="Euro 34" xfId="240" xr:uid="{00000000-0005-0000-0000-000038020000}"/>
    <cellStyle name="Euro 34 2" xfId="241" xr:uid="{00000000-0005-0000-0000-000039020000}"/>
    <cellStyle name="Euro 34 2 2" xfId="2034" xr:uid="{00000000-0005-0000-0000-00003A020000}"/>
    <cellStyle name="Euro 34 3" xfId="242" xr:uid="{00000000-0005-0000-0000-00003B020000}"/>
    <cellStyle name="Euro 34 3 2" xfId="243" xr:uid="{00000000-0005-0000-0000-00003C020000}"/>
    <cellStyle name="Euro 34 3 2 2" xfId="3474" xr:uid="{00000000-0005-0000-0000-00003D020000}"/>
    <cellStyle name="Euro 34 3 2 3" xfId="3475" xr:uid="{00000000-0005-0000-0000-00003E020000}"/>
    <cellStyle name="Euro 34 3 3" xfId="244" xr:uid="{00000000-0005-0000-0000-00003F020000}"/>
    <cellStyle name="Euro 34 3 3 2" xfId="2035" xr:uid="{00000000-0005-0000-0000-000040020000}"/>
    <cellStyle name="Euro 34 3 4" xfId="2036" xr:uid="{00000000-0005-0000-0000-000041020000}"/>
    <cellStyle name="Euro 34 4" xfId="245" xr:uid="{00000000-0005-0000-0000-000042020000}"/>
    <cellStyle name="Euro 34 4 2" xfId="2037" xr:uid="{00000000-0005-0000-0000-000043020000}"/>
    <cellStyle name="Euro 34 4 2 2" xfId="2038" xr:uid="{00000000-0005-0000-0000-000044020000}"/>
    <cellStyle name="Euro 34 4 3" xfId="2039" xr:uid="{00000000-0005-0000-0000-000045020000}"/>
    <cellStyle name="Euro 34 5" xfId="246" xr:uid="{00000000-0005-0000-0000-000046020000}"/>
    <cellStyle name="Euro 35" xfId="247" xr:uid="{00000000-0005-0000-0000-000047020000}"/>
    <cellStyle name="Euro 35 2" xfId="248" xr:uid="{00000000-0005-0000-0000-000048020000}"/>
    <cellStyle name="Euro 35 2 2" xfId="2040" xr:uid="{00000000-0005-0000-0000-000049020000}"/>
    <cellStyle name="Euro 35 3" xfId="249" xr:uid="{00000000-0005-0000-0000-00004A020000}"/>
    <cellStyle name="Euro 35 3 2" xfId="250" xr:uid="{00000000-0005-0000-0000-00004B020000}"/>
    <cellStyle name="Euro 35 3 2 2" xfId="3476" xr:uid="{00000000-0005-0000-0000-00004C020000}"/>
    <cellStyle name="Euro 35 3 2 3" xfId="3477" xr:uid="{00000000-0005-0000-0000-00004D020000}"/>
    <cellStyle name="Euro 35 3 3" xfId="251" xr:uid="{00000000-0005-0000-0000-00004E020000}"/>
    <cellStyle name="Euro 35 3 3 2" xfId="2041" xr:uid="{00000000-0005-0000-0000-00004F020000}"/>
    <cellStyle name="Euro 35 3 4" xfId="2042" xr:uid="{00000000-0005-0000-0000-000050020000}"/>
    <cellStyle name="Euro 35 4" xfId="252" xr:uid="{00000000-0005-0000-0000-000051020000}"/>
    <cellStyle name="Euro 35 4 2" xfId="2043" xr:uid="{00000000-0005-0000-0000-000052020000}"/>
    <cellStyle name="Euro 35 4 2 2" xfId="2044" xr:uid="{00000000-0005-0000-0000-000053020000}"/>
    <cellStyle name="Euro 35 4 3" xfId="2045" xr:uid="{00000000-0005-0000-0000-000054020000}"/>
    <cellStyle name="Euro 35 5" xfId="253" xr:uid="{00000000-0005-0000-0000-000055020000}"/>
    <cellStyle name="Euro 36" xfId="254" xr:uid="{00000000-0005-0000-0000-000056020000}"/>
    <cellStyle name="Euro 36 2" xfId="255" xr:uid="{00000000-0005-0000-0000-000057020000}"/>
    <cellStyle name="Euro 36 2 2" xfId="2046" xr:uid="{00000000-0005-0000-0000-000058020000}"/>
    <cellStyle name="Euro 36 3" xfId="256" xr:uid="{00000000-0005-0000-0000-000059020000}"/>
    <cellStyle name="Euro 36 3 2" xfId="257" xr:uid="{00000000-0005-0000-0000-00005A020000}"/>
    <cellStyle name="Euro 36 3 2 2" xfId="3478" xr:uid="{00000000-0005-0000-0000-00005B020000}"/>
    <cellStyle name="Euro 36 3 2 3" xfId="3479" xr:uid="{00000000-0005-0000-0000-00005C020000}"/>
    <cellStyle name="Euro 36 3 3" xfId="258" xr:uid="{00000000-0005-0000-0000-00005D020000}"/>
    <cellStyle name="Euro 36 3 3 2" xfId="2047" xr:uid="{00000000-0005-0000-0000-00005E020000}"/>
    <cellStyle name="Euro 36 3 4" xfId="2048" xr:uid="{00000000-0005-0000-0000-00005F020000}"/>
    <cellStyle name="Euro 36 4" xfId="259" xr:uid="{00000000-0005-0000-0000-000060020000}"/>
    <cellStyle name="Euro 36 4 2" xfId="2049" xr:uid="{00000000-0005-0000-0000-000061020000}"/>
    <cellStyle name="Euro 36 4 2 2" xfId="2050" xr:uid="{00000000-0005-0000-0000-000062020000}"/>
    <cellStyle name="Euro 36 4 3" xfId="2051" xr:uid="{00000000-0005-0000-0000-000063020000}"/>
    <cellStyle name="Euro 36 5" xfId="260" xr:uid="{00000000-0005-0000-0000-000064020000}"/>
    <cellStyle name="Euro 37" xfId="261" xr:uid="{00000000-0005-0000-0000-000065020000}"/>
    <cellStyle name="Euro 37 2" xfId="262" xr:uid="{00000000-0005-0000-0000-000066020000}"/>
    <cellStyle name="Euro 37 2 2" xfId="2052" xr:uid="{00000000-0005-0000-0000-000067020000}"/>
    <cellStyle name="Euro 37 3" xfId="263" xr:uid="{00000000-0005-0000-0000-000068020000}"/>
    <cellStyle name="Euro 37 3 2" xfId="264" xr:uid="{00000000-0005-0000-0000-000069020000}"/>
    <cellStyle name="Euro 37 3 2 2" xfId="3480" xr:uid="{00000000-0005-0000-0000-00006A020000}"/>
    <cellStyle name="Euro 37 3 2 3" xfId="3481" xr:uid="{00000000-0005-0000-0000-00006B020000}"/>
    <cellStyle name="Euro 37 3 3" xfId="265" xr:uid="{00000000-0005-0000-0000-00006C020000}"/>
    <cellStyle name="Euro 37 3 3 2" xfId="2053" xr:uid="{00000000-0005-0000-0000-00006D020000}"/>
    <cellStyle name="Euro 37 3 4" xfId="2054" xr:uid="{00000000-0005-0000-0000-00006E020000}"/>
    <cellStyle name="Euro 37 4" xfId="266" xr:uid="{00000000-0005-0000-0000-00006F020000}"/>
    <cellStyle name="Euro 37 4 2" xfId="2055" xr:uid="{00000000-0005-0000-0000-000070020000}"/>
    <cellStyle name="Euro 37 4 2 2" xfId="2056" xr:uid="{00000000-0005-0000-0000-000071020000}"/>
    <cellStyle name="Euro 37 4 3" xfId="2057" xr:uid="{00000000-0005-0000-0000-000072020000}"/>
    <cellStyle name="Euro 37 5" xfId="267" xr:uid="{00000000-0005-0000-0000-000073020000}"/>
    <cellStyle name="Euro 38" xfId="268" xr:uid="{00000000-0005-0000-0000-000074020000}"/>
    <cellStyle name="Euro 38 2" xfId="269" xr:uid="{00000000-0005-0000-0000-000075020000}"/>
    <cellStyle name="Euro 38 2 2" xfId="2058" xr:uid="{00000000-0005-0000-0000-000076020000}"/>
    <cellStyle name="Euro 38 3" xfId="270" xr:uid="{00000000-0005-0000-0000-000077020000}"/>
    <cellStyle name="Euro 38 3 2" xfId="271" xr:uid="{00000000-0005-0000-0000-000078020000}"/>
    <cellStyle name="Euro 38 3 2 2" xfId="3482" xr:uid="{00000000-0005-0000-0000-000079020000}"/>
    <cellStyle name="Euro 38 3 2 3" xfId="3483" xr:uid="{00000000-0005-0000-0000-00007A020000}"/>
    <cellStyle name="Euro 38 3 3" xfId="272" xr:uid="{00000000-0005-0000-0000-00007B020000}"/>
    <cellStyle name="Euro 38 3 3 2" xfId="2059" xr:uid="{00000000-0005-0000-0000-00007C020000}"/>
    <cellStyle name="Euro 38 3 4" xfId="2060" xr:uid="{00000000-0005-0000-0000-00007D020000}"/>
    <cellStyle name="Euro 38 4" xfId="273" xr:uid="{00000000-0005-0000-0000-00007E020000}"/>
    <cellStyle name="Euro 38 4 2" xfId="2061" xr:uid="{00000000-0005-0000-0000-00007F020000}"/>
    <cellStyle name="Euro 38 4 2 2" xfId="2062" xr:uid="{00000000-0005-0000-0000-000080020000}"/>
    <cellStyle name="Euro 38 4 3" xfId="2063" xr:uid="{00000000-0005-0000-0000-000081020000}"/>
    <cellStyle name="Euro 38 5" xfId="274" xr:uid="{00000000-0005-0000-0000-000082020000}"/>
    <cellStyle name="Euro 39" xfId="275" xr:uid="{00000000-0005-0000-0000-000083020000}"/>
    <cellStyle name="Euro 39 2" xfId="276" xr:uid="{00000000-0005-0000-0000-000084020000}"/>
    <cellStyle name="Euro 39 2 2" xfId="2064" xr:uid="{00000000-0005-0000-0000-000085020000}"/>
    <cellStyle name="Euro 39 3" xfId="277" xr:uid="{00000000-0005-0000-0000-000086020000}"/>
    <cellStyle name="Euro 39 3 2" xfId="278" xr:uid="{00000000-0005-0000-0000-000087020000}"/>
    <cellStyle name="Euro 39 3 2 2" xfId="3484" xr:uid="{00000000-0005-0000-0000-000088020000}"/>
    <cellStyle name="Euro 39 3 2 3" xfId="3485" xr:uid="{00000000-0005-0000-0000-000089020000}"/>
    <cellStyle name="Euro 39 3 3" xfId="279" xr:uid="{00000000-0005-0000-0000-00008A020000}"/>
    <cellStyle name="Euro 39 3 3 2" xfId="2065" xr:uid="{00000000-0005-0000-0000-00008B020000}"/>
    <cellStyle name="Euro 39 3 4" xfId="2066" xr:uid="{00000000-0005-0000-0000-00008C020000}"/>
    <cellStyle name="Euro 39 4" xfId="280" xr:uid="{00000000-0005-0000-0000-00008D020000}"/>
    <cellStyle name="Euro 39 4 2" xfId="2067" xr:uid="{00000000-0005-0000-0000-00008E020000}"/>
    <cellStyle name="Euro 39 4 2 2" xfId="2068" xr:uid="{00000000-0005-0000-0000-00008F020000}"/>
    <cellStyle name="Euro 39 4 3" xfId="2069" xr:uid="{00000000-0005-0000-0000-000090020000}"/>
    <cellStyle name="Euro 39 5" xfId="281" xr:uid="{00000000-0005-0000-0000-000091020000}"/>
    <cellStyle name="Euro 4" xfId="282" xr:uid="{00000000-0005-0000-0000-000092020000}"/>
    <cellStyle name="Euro 4 2" xfId="283" xr:uid="{00000000-0005-0000-0000-000093020000}"/>
    <cellStyle name="Euro 4 2 2" xfId="2070" xr:uid="{00000000-0005-0000-0000-000094020000}"/>
    <cellStyle name="Euro 4 3" xfId="284" xr:uid="{00000000-0005-0000-0000-000095020000}"/>
    <cellStyle name="Euro 4 3 2" xfId="285" xr:uid="{00000000-0005-0000-0000-000096020000}"/>
    <cellStyle name="Euro 4 3 2 2" xfId="3486" xr:uid="{00000000-0005-0000-0000-000097020000}"/>
    <cellStyle name="Euro 4 3 2 3" xfId="3487" xr:uid="{00000000-0005-0000-0000-000098020000}"/>
    <cellStyle name="Euro 4 3 3" xfId="286" xr:uid="{00000000-0005-0000-0000-000099020000}"/>
    <cellStyle name="Euro 4 3 3 2" xfId="2071" xr:uid="{00000000-0005-0000-0000-00009A020000}"/>
    <cellStyle name="Euro 4 3 4" xfId="2072" xr:uid="{00000000-0005-0000-0000-00009B020000}"/>
    <cellStyle name="Euro 4 4" xfId="287" xr:uid="{00000000-0005-0000-0000-00009C020000}"/>
    <cellStyle name="Euro 4 4 2" xfId="2073" xr:uid="{00000000-0005-0000-0000-00009D020000}"/>
    <cellStyle name="Euro 4 4 2 2" xfId="2074" xr:uid="{00000000-0005-0000-0000-00009E020000}"/>
    <cellStyle name="Euro 4 4 3" xfId="2075" xr:uid="{00000000-0005-0000-0000-00009F020000}"/>
    <cellStyle name="Euro 4 5" xfId="288" xr:uid="{00000000-0005-0000-0000-0000A0020000}"/>
    <cellStyle name="Euro 40" xfId="289" xr:uid="{00000000-0005-0000-0000-0000A1020000}"/>
    <cellStyle name="Euro 40 2" xfId="290" xr:uid="{00000000-0005-0000-0000-0000A2020000}"/>
    <cellStyle name="Euro 40 2 2" xfId="2076" xr:uid="{00000000-0005-0000-0000-0000A3020000}"/>
    <cellStyle name="Euro 40 3" xfId="291" xr:uid="{00000000-0005-0000-0000-0000A4020000}"/>
    <cellStyle name="Euro 40 3 2" xfId="292" xr:uid="{00000000-0005-0000-0000-0000A5020000}"/>
    <cellStyle name="Euro 40 3 2 2" xfId="3488" xr:uid="{00000000-0005-0000-0000-0000A6020000}"/>
    <cellStyle name="Euro 40 3 2 3" xfId="3489" xr:uid="{00000000-0005-0000-0000-0000A7020000}"/>
    <cellStyle name="Euro 40 3 3" xfId="293" xr:uid="{00000000-0005-0000-0000-0000A8020000}"/>
    <cellStyle name="Euro 40 3 3 2" xfId="2077" xr:uid="{00000000-0005-0000-0000-0000A9020000}"/>
    <cellStyle name="Euro 40 3 4" xfId="2078" xr:uid="{00000000-0005-0000-0000-0000AA020000}"/>
    <cellStyle name="Euro 40 4" xfId="294" xr:uid="{00000000-0005-0000-0000-0000AB020000}"/>
    <cellStyle name="Euro 40 4 2" xfId="2079" xr:uid="{00000000-0005-0000-0000-0000AC020000}"/>
    <cellStyle name="Euro 40 4 2 2" xfId="2080" xr:uid="{00000000-0005-0000-0000-0000AD020000}"/>
    <cellStyle name="Euro 40 4 3" xfId="2081" xr:uid="{00000000-0005-0000-0000-0000AE020000}"/>
    <cellStyle name="Euro 40 5" xfId="295" xr:uid="{00000000-0005-0000-0000-0000AF020000}"/>
    <cellStyle name="Euro 41" xfId="296" xr:uid="{00000000-0005-0000-0000-0000B0020000}"/>
    <cellStyle name="Euro 41 2" xfId="297" xr:uid="{00000000-0005-0000-0000-0000B1020000}"/>
    <cellStyle name="Euro 41 2 2" xfId="2082" xr:uid="{00000000-0005-0000-0000-0000B2020000}"/>
    <cellStyle name="Euro 41 3" xfId="298" xr:uid="{00000000-0005-0000-0000-0000B3020000}"/>
    <cellStyle name="Euro 41 3 2" xfId="299" xr:uid="{00000000-0005-0000-0000-0000B4020000}"/>
    <cellStyle name="Euro 41 3 2 2" xfId="3490" xr:uid="{00000000-0005-0000-0000-0000B5020000}"/>
    <cellStyle name="Euro 41 3 2 3" xfId="3491" xr:uid="{00000000-0005-0000-0000-0000B6020000}"/>
    <cellStyle name="Euro 41 3 3" xfId="300" xr:uid="{00000000-0005-0000-0000-0000B7020000}"/>
    <cellStyle name="Euro 41 3 3 2" xfId="2083" xr:uid="{00000000-0005-0000-0000-0000B8020000}"/>
    <cellStyle name="Euro 41 3 4" xfId="2084" xr:uid="{00000000-0005-0000-0000-0000B9020000}"/>
    <cellStyle name="Euro 41 4" xfId="301" xr:uid="{00000000-0005-0000-0000-0000BA020000}"/>
    <cellStyle name="Euro 41 4 2" xfId="2085" xr:uid="{00000000-0005-0000-0000-0000BB020000}"/>
    <cellStyle name="Euro 41 4 2 2" xfId="2086" xr:uid="{00000000-0005-0000-0000-0000BC020000}"/>
    <cellStyle name="Euro 41 4 3" xfId="2087" xr:uid="{00000000-0005-0000-0000-0000BD020000}"/>
    <cellStyle name="Euro 41 5" xfId="302" xr:uid="{00000000-0005-0000-0000-0000BE020000}"/>
    <cellStyle name="Euro 42" xfId="303" xr:uid="{00000000-0005-0000-0000-0000BF020000}"/>
    <cellStyle name="Euro 42 2" xfId="304" xr:uid="{00000000-0005-0000-0000-0000C0020000}"/>
    <cellStyle name="Euro 42 2 2" xfId="2088" xr:uid="{00000000-0005-0000-0000-0000C1020000}"/>
    <cellStyle name="Euro 42 3" xfId="305" xr:uid="{00000000-0005-0000-0000-0000C2020000}"/>
    <cellStyle name="Euro 42 3 2" xfId="306" xr:uid="{00000000-0005-0000-0000-0000C3020000}"/>
    <cellStyle name="Euro 42 3 2 2" xfId="3492" xr:uid="{00000000-0005-0000-0000-0000C4020000}"/>
    <cellStyle name="Euro 42 3 2 3" xfId="3493" xr:uid="{00000000-0005-0000-0000-0000C5020000}"/>
    <cellStyle name="Euro 42 3 3" xfId="307" xr:uid="{00000000-0005-0000-0000-0000C6020000}"/>
    <cellStyle name="Euro 42 3 3 2" xfId="2089" xr:uid="{00000000-0005-0000-0000-0000C7020000}"/>
    <cellStyle name="Euro 42 3 4" xfId="2090" xr:uid="{00000000-0005-0000-0000-0000C8020000}"/>
    <cellStyle name="Euro 42 4" xfId="308" xr:uid="{00000000-0005-0000-0000-0000C9020000}"/>
    <cellStyle name="Euro 42 4 2" xfId="2091" xr:uid="{00000000-0005-0000-0000-0000CA020000}"/>
    <cellStyle name="Euro 42 4 2 2" xfId="2092" xr:uid="{00000000-0005-0000-0000-0000CB020000}"/>
    <cellStyle name="Euro 42 4 3" xfId="2093" xr:uid="{00000000-0005-0000-0000-0000CC020000}"/>
    <cellStyle name="Euro 42 5" xfId="309" xr:uid="{00000000-0005-0000-0000-0000CD020000}"/>
    <cellStyle name="Euro 43" xfId="310" xr:uid="{00000000-0005-0000-0000-0000CE020000}"/>
    <cellStyle name="Euro 43 2" xfId="311" xr:uid="{00000000-0005-0000-0000-0000CF020000}"/>
    <cellStyle name="Euro 43 2 2" xfId="2094" xr:uid="{00000000-0005-0000-0000-0000D0020000}"/>
    <cellStyle name="Euro 43 3" xfId="312" xr:uid="{00000000-0005-0000-0000-0000D1020000}"/>
    <cellStyle name="Euro 43 3 2" xfId="313" xr:uid="{00000000-0005-0000-0000-0000D2020000}"/>
    <cellStyle name="Euro 43 3 2 2" xfId="3494" xr:uid="{00000000-0005-0000-0000-0000D3020000}"/>
    <cellStyle name="Euro 43 3 2 3" xfId="3495" xr:uid="{00000000-0005-0000-0000-0000D4020000}"/>
    <cellStyle name="Euro 43 3 3" xfId="314" xr:uid="{00000000-0005-0000-0000-0000D5020000}"/>
    <cellStyle name="Euro 43 3 3 2" xfId="2095" xr:uid="{00000000-0005-0000-0000-0000D6020000}"/>
    <cellStyle name="Euro 43 3 4" xfId="2096" xr:uid="{00000000-0005-0000-0000-0000D7020000}"/>
    <cellStyle name="Euro 43 4" xfId="315" xr:uid="{00000000-0005-0000-0000-0000D8020000}"/>
    <cellStyle name="Euro 43 4 2" xfId="2097" xr:uid="{00000000-0005-0000-0000-0000D9020000}"/>
    <cellStyle name="Euro 43 4 2 2" xfId="2098" xr:uid="{00000000-0005-0000-0000-0000DA020000}"/>
    <cellStyle name="Euro 43 4 3" xfId="2099" xr:uid="{00000000-0005-0000-0000-0000DB020000}"/>
    <cellStyle name="Euro 43 5" xfId="316" xr:uid="{00000000-0005-0000-0000-0000DC020000}"/>
    <cellStyle name="Euro 44" xfId="317" xr:uid="{00000000-0005-0000-0000-0000DD020000}"/>
    <cellStyle name="Euro 44 2" xfId="318" xr:uid="{00000000-0005-0000-0000-0000DE020000}"/>
    <cellStyle name="Euro 44 2 2" xfId="2100" xr:uid="{00000000-0005-0000-0000-0000DF020000}"/>
    <cellStyle name="Euro 44 3" xfId="319" xr:uid="{00000000-0005-0000-0000-0000E0020000}"/>
    <cellStyle name="Euro 44 3 2" xfId="320" xr:uid="{00000000-0005-0000-0000-0000E1020000}"/>
    <cellStyle name="Euro 44 3 2 2" xfId="3496" xr:uid="{00000000-0005-0000-0000-0000E2020000}"/>
    <cellStyle name="Euro 44 3 2 3" xfId="3497" xr:uid="{00000000-0005-0000-0000-0000E3020000}"/>
    <cellStyle name="Euro 44 3 3" xfId="321" xr:uid="{00000000-0005-0000-0000-0000E4020000}"/>
    <cellStyle name="Euro 44 3 3 2" xfId="2101" xr:uid="{00000000-0005-0000-0000-0000E5020000}"/>
    <cellStyle name="Euro 44 3 4" xfId="2102" xr:uid="{00000000-0005-0000-0000-0000E6020000}"/>
    <cellStyle name="Euro 44 4" xfId="322" xr:uid="{00000000-0005-0000-0000-0000E7020000}"/>
    <cellStyle name="Euro 44 4 2" xfId="2103" xr:uid="{00000000-0005-0000-0000-0000E8020000}"/>
    <cellStyle name="Euro 44 4 2 2" xfId="2104" xr:uid="{00000000-0005-0000-0000-0000E9020000}"/>
    <cellStyle name="Euro 44 4 3" xfId="2105" xr:uid="{00000000-0005-0000-0000-0000EA020000}"/>
    <cellStyle name="Euro 44 5" xfId="323" xr:uid="{00000000-0005-0000-0000-0000EB020000}"/>
    <cellStyle name="Euro 45" xfId="324" xr:uid="{00000000-0005-0000-0000-0000EC020000}"/>
    <cellStyle name="Euro 45 2" xfId="2106" xr:uid="{00000000-0005-0000-0000-0000ED020000}"/>
    <cellStyle name="Euro 45 2 2" xfId="2107" xr:uid="{00000000-0005-0000-0000-0000EE020000}"/>
    <cellStyle name="Euro 45 2 3" xfId="3498" xr:uid="{00000000-0005-0000-0000-0000EF020000}"/>
    <cellStyle name="Euro 45 3" xfId="2108" xr:uid="{00000000-0005-0000-0000-0000F0020000}"/>
    <cellStyle name="Euro 46" xfId="325" xr:uid="{00000000-0005-0000-0000-0000F1020000}"/>
    <cellStyle name="Euro 46 2" xfId="2109" xr:uid="{00000000-0005-0000-0000-0000F2020000}"/>
    <cellStyle name="Euro 47" xfId="326" xr:uid="{00000000-0005-0000-0000-0000F3020000}"/>
    <cellStyle name="Euro 47 2" xfId="327" xr:uid="{00000000-0005-0000-0000-0000F4020000}"/>
    <cellStyle name="Euro 47 2 2" xfId="3499" xr:uid="{00000000-0005-0000-0000-0000F5020000}"/>
    <cellStyle name="Euro 47 2 3" xfId="3500" xr:uid="{00000000-0005-0000-0000-0000F6020000}"/>
    <cellStyle name="Euro 47 3" xfId="328" xr:uid="{00000000-0005-0000-0000-0000F7020000}"/>
    <cellStyle name="Euro 47 3 2" xfId="2110" xr:uid="{00000000-0005-0000-0000-0000F8020000}"/>
    <cellStyle name="Euro 47 4" xfId="2111" xr:uid="{00000000-0005-0000-0000-0000F9020000}"/>
    <cellStyle name="Euro 48" xfId="329" xr:uid="{00000000-0005-0000-0000-0000FA020000}"/>
    <cellStyle name="Euro 48 2" xfId="2112" xr:uid="{00000000-0005-0000-0000-0000FB020000}"/>
    <cellStyle name="Euro 49" xfId="330" xr:uid="{00000000-0005-0000-0000-0000FC020000}"/>
    <cellStyle name="Euro 49 2" xfId="2113" xr:uid="{00000000-0005-0000-0000-0000FD020000}"/>
    <cellStyle name="Euro 49 2 2" xfId="2114" xr:uid="{00000000-0005-0000-0000-0000FE020000}"/>
    <cellStyle name="Euro 49 3" xfId="2115" xr:uid="{00000000-0005-0000-0000-0000FF020000}"/>
    <cellStyle name="Euro 5" xfId="331" xr:uid="{00000000-0005-0000-0000-000000030000}"/>
    <cellStyle name="Euro 5 2" xfId="332" xr:uid="{00000000-0005-0000-0000-000001030000}"/>
    <cellStyle name="Euro 5 2 2" xfId="2116" xr:uid="{00000000-0005-0000-0000-000002030000}"/>
    <cellStyle name="Euro 5 3" xfId="333" xr:uid="{00000000-0005-0000-0000-000003030000}"/>
    <cellStyle name="Euro 5 3 2" xfId="334" xr:uid="{00000000-0005-0000-0000-000004030000}"/>
    <cellStyle name="Euro 5 3 2 2" xfId="3501" xr:uid="{00000000-0005-0000-0000-000005030000}"/>
    <cellStyle name="Euro 5 3 2 3" xfId="3502" xr:uid="{00000000-0005-0000-0000-000006030000}"/>
    <cellStyle name="Euro 5 3 3" xfId="335" xr:uid="{00000000-0005-0000-0000-000007030000}"/>
    <cellStyle name="Euro 5 3 3 2" xfId="2117" xr:uid="{00000000-0005-0000-0000-000008030000}"/>
    <cellStyle name="Euro 5 3 4" xfId="2118" xr:uid="{00000000-0005-0000-0000-000009030000}"/>
    <cellStyle name="Euro 5 4" xfId="336" xr:uid="{00000000-0005-0000-0000-00000A030000}"/>
    <cellStyle name="Euro 5 4 2" xfId="2119" xr:uid="{00000000-0005-0000-0000-00000B030000}"/>
    <cellStyle name="Euro 5 4 2 2" xfId="2120" xr:uid="{00000000-0005-0000-0000-00000C030000}"/>
    <cellStyle name="Euro 5 4 3" xfId="2121" xr:uid="{00000000-0005-0000-0000-00000D030000}"/>
    <cellStyle name="Euro 5 5" xfId="337" xr:uid="{00000000-0005-0000-0000-00000E030000}"/>
    <cellStyle name="Euro 50" xfId="338" xr:uid="{00000000-0005-0000-0000-00000F030000}"/>
    <cellStyle name="Euro 51" xfId="2122" xr:uid="{00000000-0005-0000-0000-000010030000}"/>
    <cellStyle name="Euro 51 2" xfId="2123" xr:uid="{00000000-0005-0000-0000-000011030000}"/>
    <cellStyle name="Euro 6" xfId="339" xr:uid="{00000000-0005-0000-0000-000012030000}"/>
    <cellStyle name="Euro 6 2" xfId="340" xr:uid="{00000000-0005-0000-0000-000013030000}"/>
    <cellStyle name="Euro 6 2 2" xfId="2124" xr:uid="{00000000-0005-0000-0000-000014030000}"/>
    <cellStyle name="Euro 6 3" xfId="341" xr:uid="{00000000-0005-0000-0000-000015030000}"/>
    <cellStyle name="Euro 6 3 2" xfId="342" xr:uid="{00000000-0005-0000-0000-000016030000}"/>
    <cellStyle name="Euro 6 3 2 2" xfId="3503" xr:uid="{00000000-0005-0000-0000-000017030000}"/>
    <cellStyle name="Euro 6 3 2 3" xfId="3504" xr:uid="{00000000-0005-0000-0000-000018030000}"/>
    <cellStyle name="Euro 6 3 3" xfId="343" xr:uid="{00000000-0005-0000-0000-000019030000}"/>
    <cellStyle name="Euro 6 3 3 2" xfId="2125" xr:uid="{00000000-0005-0000-0000-00001A030000}"/>
    <cellStyle name="Euro 6 3 4" xfId="2126" xr:uid="{00000000-0005-0000-0000-00001B030000}"/>
    <cellStyle name="Euro 6 4" xfId="344" xr:uid="{00000000-0005-0000-0000-00001C030000}"/>
    <cellStyle name="Euro 6 4 2" xfId="2127" xr:uid="{00000000-0005-0000-0000-00001D030000}"/>
    <cellStyle name="Euro 6 4 2 2" xfId="2128" xr:uid="{00000000-0005-0000-0000-00001E030000}"/>
    <cellStyle name="Euro 6 4 3" xfId="2129" xr:uid="{00000000-0005-0000-0000-00001F030000}"/>
    <cellStyle name="Euro 6 5" xfId="345" xr:uid="{00000000-0005-0000-0000-000020030000}"/>
    <cellStyle name="Euro 7" xfId="346" xr:uid="{00000000-0005-0000-0000-000021030000}"/>
    <cellStyle name="Euro 7 2" xfId="347" xr:uid="{00000000-0005-0000-0000-000022030000}"/>
    <cellStyle name="Euro 7 2 2" xfId="2130" xr:uid="{00000000-0005-0000-0000-000023030000}"/>
    <cellStyle name="Euro 7 3" xfId="348" xr:uid="{00000000-0005-0000-0000-000024030000}"/>
    <cellStyle name="Euro 7 3 2" xfId="349" xr:uid="{00000000-0005-0000-0000-000025030000}"/>
    <cellStyle name="Euro 7 3 2 2" xfId="3505" xr:uid="{00000000-0005-0000-0000-000026030000}"/>
    <cellStyle name="Euro 7 3 2 3" xfId="3506" xr:uid="{00000000-0005-0000-0000-000027030000}"/>
    <cellStyle name="Euro 7 3 3" xfId="350" xr:uid="{00000000-0005-0000-0000-000028030000}"/>
    <cellStyle name="Euro 7 3 3 2" xfId="2131" xr:uid="{00000000-0005-0000-0000-000029030000}"/>
    <cellStyle name="Euro 7 3 4" xfId="2132" xr:uid="{00000000-0005-0000-0000-00002A030000}"/>
    <cellStyle name="Euro 7 4" xfId="351" xr:uid="{00000000-0005-0000-0000-00002B030000}"/>
    <cellStyle name="Euro 7 4 2" xfId="2133" xr:uid="{00000000-0005-0000-0000-00002C030000}"/>
    <cellStyle name="Euro 7 4 2 2" xfId="2134" xr:uid="{00000000-0005-0000-0000-00002D030000}"/>
    <cellStyle name="Euro 7 4 3" xfId="2135" xr:uid="{00000000-0005-0000-0000-00002E030000}"/>
    <cellStyle name="Euro 7 5" xfId="352" xr:uid="{00000000-0005-0000-0000-00002F030000}"/>
    <cellStyle name="Euro 8" xfId="353" xr:uid="{00000000-0005-0000-0000-000030030000}"/>
    <cellStyle name="Euro 8 2" xfId="354" xr:uid="{00000000-0005-0000-0000-000031030000}"/>
    <cellStyle name="Euro 8 2 2" xfId="2136" xr:uid="{00000000-0005-0000-0000-000032030000}"/>
    <cellStyle name="Euro 8 3" xfId="355" xr:uid="{00000000-0005-0000-0000-000033030000}"/>
    <cellStyle name="Euro 8 3 2" xfId="356" xr:uid="{00000000-0005-0000-0000-000034030000}"/>
    <cellStyle name="Euro 8 3 2 2" xfId="3507" xr:uid="{00000000-0005-0000-0000-000035030000}"/>
    <cellStyle name="Euro 8 3 2 3" xfId="3508" xr:uid="{00000000-0005-0000-0000-000036030000}"/>
    <cellStyle name="Euro 8 3 3" xfId="357" xr:uid="{00000000-0005-0000-0000-000037030000}"/>
    <cellStyle name="Euro 8 3 3 2" xfId="2137" xr:uid="{00000000-0005-0000-0000-000038030000}"/>
    <cellStyle name="Euro 8 3 4" xfId="2138" xr:uid="{00000000-0005-0000-0000-000039030000}"/>
    <cellStyle name="Euro 8 4" xfId="358" xr:uid="{00000000-0005-0000-0000-00003A030000}"/>
    <cellStyle name="Euro 8 4 2" xfId="2139" xr:uid="{00000000-0005-0000-0000-00003B030000}"/>
    <cellStyle name="Euro 8 4 2 2" xfId="2140" xr:uid="{00000000-0005-0000-0000-00003C030000}"/>
    <cellStyle name="Euro 8 4 3" xfId="2141" xr:uid="{00000000-0005-0000-0000-00003D030000}"/>
    <cellStyle name="Euro 8 5" xfId="359" xr:uid="{00000000-0005-0000-0000-00003E030000}"/>
    <cellStyle name="Euro 9" xfId="360" xr:uid="{00000000-0005-0000-0000-00003F030000}"/>
    <cellStyle name="Euro 9 2" xfId="361" xr:uid="{00000000-0005-0000-0000-000040030000}"/>
    <cellStyle name="Euro 9 2 2" xfId="2142" xr:uid="{00000000-0005-0000-0000-000041030000}"/>
    <cellStyle name="Euro 9 3" xfId="362" xr:uid="{00000000-0005-0000-0000-000042030000}"/>
    <cellStyle name="Euro 9 3 2" xfId="363" xr:uid="{00000000-0005-0000-0000-000043030000}"/>
    <cellStyle name="Euro 9 3 2 2" xfId="3509" xr:uid="{00000000-0005-0000-0000-000044030000}"/>
    <cellStyle name="Euro 9 3 2 3" xfId="3510" xr:uid="{00000000-0005-0000-0000-000045030000}"/>
    <cellStyle name="Euro 9 3 3" xfId="364" xr:uid="{00000000-0005-0000-0000-000046030000}"/>
    <cellStyle name="Euro 9 3 3 2" xfId="2143" xr:uid="{00000000-0005-0000-0000-000047030000}"/>
    <cellStyle name="Euro 9 3 4" xfId="2144" xr:uid="{00000000-0005-0000-0000-000048030000}"/>
    <cellStyle name="Euro 9 4" xfId="365" xr:uid="{00000000-0005-0000-0000-000049030000}"/>
    <cellStyle name="Euro 9 4 2" xfId="2145" xr:uid="{00000000-0005-0000-0000-00004A030000}"/>
    <cellStyle name="Euro 9 4 2 2" xfId="2146" xr:uid="{00000000-0005-0000-0000-00004B030000}"/>
    <cellStyle name="Euro 9 4 3" xfId="2147" xr:uid="{00000000-0005-0000-0000-00004C030000}"/>
    <cellStyle name="Euro 9 5" xfId="366" xr:uid="{00000000-0005-0000-0000-00004D030000}"/>
    <cellStyle name="Fixed2 - Type2" xfId="367" xr:uid="{00000000-0005-0000-0000-00004E030000}"/>
    <cellStyle name="Formel" xfId="4346" xr:uid="{00000000-0005-0000-0000-00004F030000}"/>
    <cellStyle name="Formula" xfId="4341" xr:uid="{00000000-0005-0000-0000-000050030000}"/>
    <cellStyle name="Good 2" xfId="3511" xr:uid="{00000000-0005-0000-0000-000051030000}"/>
    <cellStyle name="Hyperlink 2" xfId="368" xr:uid="{00000000-0005-0000-0000-000052030000}"/>
    <cellStyle name="Hyperlink 2 2" xfId="3512" xr:uid="{00000000-0005-0000-0000-000053030000}"/>
    <cellStyle name="Hyperlink 3" xfId="3513" xr:uid="{00000000-0005-0000-0000-000054030000}"/>
    <cellStyle name="Hyperlink 4" xfId="3514" xr:uid="{00000000-0005-0000-0000-000055030000}"/>
    <cellStyle name="Input" xfId="369" builtinId="20" customBuiltin="1"/>
    <cellStyle name="Input 2" xfId="370" xr:uid="{00000000-0005-0000-0000-000057030000}"/>
    <cellStyle name="Input 2 2" xfId="371" xr:uid="{00000000-0005-0000-0000-000058030000}"/>
    <cellStyle name="Input 2 2 2" xfId="3515" xr:uid="{00000000-0005-0000-0000-000059030000}"/>
    <cellStyle name="Input 2 2 3" xfId="3516" xr:uid="{00000000-0005-0000-0000-00005A030000}"/>
    <cellStyle name="Input 2 3" xfId="372" xr:uid="{00000000-0005-0000-0000-00005B030000}"/>
    <cellStyle name="Input 2 3 2" xfId="3517" xr:uid="{00000000-0005-0000-0000-00005C030000}"/>
    <cellStyle name="Input 2 4" xfId="373" xr:uid="{00000000-0005-0000-0000-00005D030000}"/>
    <cellStyle name="Input 2 5" xfId="374" xr:uid="{00000000-0005-0000-0000-00005E030000}"/>
    <cellStyle name="Input 2 6" xfId="375" xr:uid="{00000000-0005-0000-0000-00005F030000}"/>
    <cellStyle name="Input 2 7" xfId="376" xr:uid="{00000000-0005-0000-0000-000060030000}"/>
    <cellStyle name="Input 2 8" xfId="3518" xr:uid="{00000000-0005-0000-0000-000061030000}"/>
    <cellStyle name="Input 3" xfId="377" xr:uid="{00000000-0005-0000-0000-000062030000}"/>
    <cellStyle name="Input 3 2" xfId="378" xr:uid="{00000000-0005-0000-0000-000063030000}"/>
    <cellStyle name="Input 3 2 2" xfId="3519" xr:uid="{00000000-0005-0000-0000-000064030000}"/>
    <cellStyle name="Input 3 3" xfId="379" xr:uid="{00000000-0005-0000-0000-000065030000}"/>
    <cellStyle name="Input 3 4" xfId="380" xr:uid="{00000000-0005-0000-0000-000066030000}"/>
    <cellStyle name="Input 3 5" xfId="381" xr:uid="{00000000-0005-0000-0000-000067030000}"/>
    <cellStyle name="Input 3 6" xfId="382" xr:uid="{00000000-0005-0000-0000-000068030000}"/>
    <cellStyle name="Input 3 7" xfId="3520" xr:uid="{00000000-0005-0000-0000-000069030000}"/>
    <cellStyle name="Input 4" xfId="2148" xr:uid="{00000000-0005-0000-0000-00006A030000}"/>
    <cellStyle name="InputCells" xfId="383" xr:uid="{00000000-0005-0000-0000-00006B030000}"/>
    <cellStyle name="Komma" xfId="38" builtinId="3"/>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xfId="4352" builtinId="8"/>
    <cellStyle name="Link 2" xfId="2163" xr:uid="{00000000-0005-0000-0000-00007D030000}"/>
    <cellStyle name="Link 3" xfId="2164" xr:uid="{00000000-0005-0000-0000-00007E030000}"/>
    <cellStyle name="Markeringsfarve1" xfId="3523" xr:uid="{00000000-0005-0000-0000-00007F030000}"/>
    <cellStyle name="Markeringsfarve2" xfId="3524" xr:uid="{00000000-0005-0000-0000-000080030000}"/>
    <cellStyle name="Markeringsfarve3" xfId="3525" xr:uid="{00000000-0005-0000-0000-000081030000}"/>
    <cellStyle name="Markeringsfarve4" xfId="3526" xr:uid="{00000000-0005-0000-0000-000082030000}"/>
    <cellStyle name="Markeringsfarve5" xfId="3527" xr:uid="{00000000-0005-0000-0000-000083030000}"/>
    <cellStyle name="Markeringsfarve6" xfId="3528" xr:uid="{00000000-0005-0000-0000-000084030000}"/>
    <cellStyle name="Migliaia [0] 10" xfId="384" xr:uid="{00000000-0005-0000-0000-000085030000}"/>
    <cellStyle name="Migliaia [0] 10 2" xfId="2165" xr:uid="{00000000-0005-0000-0000-000086030000}"/>
    <cellStyle name="Migliaia [0] 10 2 2" xfId="3529" xr:uid="{00000000-0005-0000-0000-000087030000}"/>
    <cellStyle name="Migliaia [0] 10 3" xfId="3530" xr:uid="{00000000-0005-0000-0000-000088030000}"/>
    <cellStyle name="Migliaia [0] 11" xfId="385" xr:uid="{00000000-0005-0000-0000-000089030000}"/>
    <cellStyle name="Migliaia [0] 11 2" xfId="2166" xr:uid="{00000000-0005-0000-0000-00008A030000}"/>
    <cellStyle name="Migliaia [0] 11 2 2" xfId="3531" xr:uid="{00000000-0005-0000-0000-00008B030000}"/>
    <cellStyle name="Migliaia [0] 11 3" xfId="3532" xr:uid="{00000000-0005-0000-0000-00008C030000}"/>
    <cellStyle name="Migliaia [0] 12" xfId="386" xr:uid="{00000000-0005-0000-0000-00008D030000}"/>
    <cellStyle name="Migliaia [0] 12 2" xfId="2167" xr:uid="{00000000-0005-0000-0000-00008E030000}"/>
    <cellStyle name="Migliaia [0] 12 2 2" xfId="3533" xr:uid="{00000000-0005-0000-0000-00008F030000}"/>
    <cellStyle name="Migliaia [0] 12 3" xfId="3534" xr:uid="{00000000-0005-0000-0000-000090030000}"/>
    <cellStyle name="Migliaia [0] 13" xfId="387" xr:uid="{00000000-0005-0000-0000-000091030000}"/>
    <cellStyle name="Migliaia [0] 13 2" xfId="2168" xr:uid="{00000000-0005-0000-0000-000092030000}"/>
    <cellStyle name="Migliaia [0] 13 2 2" xfId="3535" xr:uid="{00000000-0005-0000-0000-000093030000}"/>
    <cellStyle name="Migliaia [0] 13 3" xfId="3536" xr:uid="{00000000-0005-0000-0000-000094030000}"/>
    <cellStyle name="Migliaia [0] 14" xfId="388" xr:uid="{00000000-0005-0000-0000-000095030000}"/>
    <cellStyle name="Migliaia [0] 14 2" xfId="2169" xr:uid="{00000000-0005-0000-0000-000096030000}"/>
    <cellStyle name="Migliaia [0] 14 2 2" xfId="3537" xr:uid="{00000000-0005-0000-0000-000097030000}"/>
    <cellStyle name="Migliaia [0] 14 3" xfId="3538" xr:uid="{00000000-0005-0000-0000-000098030000}"/>
    <cellStyle name="Migliaia [0] 15" xfId="389" xr:uid="{00000000-0005-0000-0000-000099030000}"/>
    <cellStyle name="Migliaia [0] 15 2" xfId="2170" xr:uid="{00000000-0005-0000-0000-00009A030000}"/>
    <cellStyle name="Migliaia [0] 15 2 2" xfId="3539" xr:uid="{00000000-0005-0000-0000-00009B030000}"/>
    <cellStyle name="Migliaia [0] 15 3" xfId="3540" xr:uid="{00000000-0005-0000-0000-00009C030000}"/>
    <cellStyle name="Migliaia [0] 16" xfId="390" xr:uid="{00000000-0005-0000-0000-00009D030000}"/>
    <cellStyle name="Migliaia [0] 16 2" xfId="2171" xr:uid="{00000000-0005-0000-0000-00009E030000}"/>
    <cellStyle name="Migliaia [0] 16 2 2" xfId="3541" xr:uid="{00000000-0005-0000-0000-00009F030000}"/>
    <cellStyle name="Migliaia [0] 16 3" xfId="3542" xr:uid="{00000000-0005-0000-0000-0000A0030000}"/>
    <cellStyle name="Migliaia [0] 17" xfId="391" xr:uid="{00000000-0005-0000-0000-0000A1030000}"/>
    <cellStyle name="Migliaia [0] 17 2" xfId="2172" xr:uid="{00000000-0005-0000-0000-0000A2030000}"/>
    <cellStyle name="Migliaia [0] 17 2 2" xfId="3543" xr:uid="{00000000-0005-0000-0000-0000A3030000}"/>
    <cellStyle name="Migliaia [0] 17 3" xfId="3544" xr:uid="{00000000-0005-0000-0000-0000A4030000}"/>
    <cellStyle name="Migliaia [0] 18" xfId="392" xr:uid="{00000000-0005-0000-0000-0000A5030000}"/>
    <cellStyle name="Migliaia [0] 18 2" xfId="2173" xr:uid="{00000000-0005-0000-0000-0000A6030000}"/>
    <cellStyle name="Migliaia [0] 18 2 2" xfId="3545" xr:uid="{00000000-0005-0000-0000-0000A7030000}"/>
    <cellStyle name="Migliaia [0] 18 3" xfId="3546" xr:uid="{00000000-0005-0000-0000-0000A8030000}"/>
    <cellStyle name="Migliaia [0] 19" xfId="393" xr:uid="{00000000-0005-0000-0000-0000A9030000}"/>
    <cellStyle name="Migliaia [0] 19 2" xfId="2174" xr:uid="{00000000-0005-0000-0000-0000AA030000}"/>
    <cellStyle name="Migliaia [0] 19 2 2" xfId="3547" xr:uid="{00000000-0005-0000-0000-0000AB030000}"/>
    <cellStyle name="Migliaia [0] 19 3" xfId="3548" xr:uid="{00000000-0005-0000-0000-0000AC030000}"/>
    <cellStyle name="Migliaia [0] 2" xfId="394" xr:uid="{00000000-0005-0000-0000-0000AD030000}"/>
    <cellStyle name="Migliaia [0] 2 2" xfId="2175" xr:uid="{00000000-0005-0000-0000-0000AE030000}"/>
    <cellStyle name="Migliaia [0] 2 2 2" xfId="3549" xr:uid="{00000000-0005-0000-0000-0000AF030000}"/>
    <cellStyle name="Migliaia [0] 2 3" xfId="3550" xr:uid="{00000000-0005-0000-0000-0000B0030000}"/>
    <cellStyle name="Migliaia [0] 20" xfId="395" xr:uid="{00000000-0005-0000-0000-0000B1030000}"/>
    <cellStyle name="Migliaia [0] 20 2" xfId="2176" xr:uid="{00000000-0005-0000-0000-0000B2030000}"/>
    <cellStyle name="Migliaia [0] 20 2 2" xfId="3551" xr:uid="{00000000-0005-0000-0000-0000B3030000}"/>
    <cellStyle name="Migliaia [0] 20 3" xfId="3552" xr:uid="{00000000-0005-0000-0000-0000B4030000}"/>
    <cellStyle name="Migliaia [0] 21" xfId="396" xr:uid="{00000000-0005-0000-0000-0000B5030000}"/>
    <cellStyle name="Migliaia [0] 21 2" xfId="2177" xr:uid="{00000000-0005-0000-0000-0000B6030000}"/>
    <cellStyle name="Migliaia [0] 21 2 2" xfId="3553" xr:uid="{00000000-0005-0000-0000-0000B7030000}"/>
    <cellStyle name="Migliaia [0] 21 3" xfId="3554" xr:uid="{00000000-0005-0000-0000-0000B8030000}"/>
    <cellStyle name="Migliaia [0] 22" xfId="397" xr:uid="{00000000-0005-0000-0000-0000B9030000}"/>
    <cellStyle name="Migliaia [0] 22 2" xfId="2178" xr:uid="{00000000-0005-0000-0000-0000BA030000}"/>
    <cellStyle name="Migliaia [0] 22 2 2" xfId="3555" xr:uid="{00000000-0005-0000-0000-0000BB030000}"/>
    <cellStyle name="Migliaia [0] 22 3" xfId="3556" xr:uid="{00000000-0005-0000-0000-0000BC030000}"/>
    <cellStyle name="Migliaia [0] 23" xfId="398" xr:uid="{00000000-0005-0000-0000-0000BD030000}"/>
    <cellStyle name="Migliaia [0] 23 2" xfId="2179" xr:uid="{00000000-0005-0000-0000-0000BE030000}"/>
    <cellStyle name="Migliaia [0] 23 2 2" xfId="3557" xr:uid="{00000000-0005-0000-0000-0000BF030000}"/>
    <cellStyle name="Migliaia [0] 23 3" xfId="3558" xr:uid="{00000000-0005-0000-0000-0000C0030000}"/>
    <cellStyle name="Migliaia [0] 24" xfId="399" xr:uid="{00000000-0005-0000-0000-0000C1030000}"/>
    <cellStyle name="Migliaia [0] 24 2" xfId="2180" xr:uid="{00000000-0005-0000-0000-0000C2030000}"/>
    <cellStyle name="Migliaia [0] 24 2 2" xfId="3559" xr:uid="{00000000-0005-0000-0000-0000C3030000}"/>
    <cellStyle name="Migliaia [0] 24 3" xfId="3560" xr:uid="{00000000-0005-0000-0000-0000C4030000}"/>
    <cellStyle name="Migliaia [0] 25" xfId="400" xr:uid="{00000000-0005-0000-0000-0000C5030000}"/>
    <cellStyle name="Migliaia [0] 25 2" xfId="2181" xr:uid="{00000000-0005-0000-0000-0000C6030000}"/>
    <cellStyle name="Migliaia [0] 25 2 2" xfId="3561" xr:uid="{00000000-0005-0000-0000-0000C7030000}"/>
    <cellStyle name="Migliaia [0] 25 3" xfId="3562" xr:uid="{00000000-0005-0000-0000-0000C8030000}"/>
    <cellStyle name="Migliaia [0] 26" xfId="401" xr:uid="{00000000-0005-0000-0000-0000C9030000}"/>
    <cellStyle name="Migliaia [0] 26 2" xfId="2182" xr:uid="{00000000-0005-0000-0000-0000CA030000}"/>
    <cellStyle name="Migliaia [0] 26 2 2" xfId="3563" xr:uid="{00000000-0005-0000-0000-0000CB030000}"/>
    <cellStyle name="Migliaia [0] 26 3" xfId="3564" xr:uid="{00000000-0005-0000-0000-0000CC030000}"/>
    <cellStyle name="Migliaia [0] 27" xfId="402" xr:uid="{00000000-0005-0000-0000-0000CD030000}"/>
    <cellStyle name="Migliaia [0] 27 2" xfId="2183" xr:uid="{00000000-0005-0000-0000-0000CE030000}"/>
    <cellStyle name="Migliaia [0] 27 2 2" xfId="3565" xr:uid="{00000000-0005-0000-0000-0000CF030000}"/>
    <cellStyle name="Migliaia [0] 27 3" xfId="3566" xr:uid="{00000000-0005-0000-0000-0000D0030000}"/>
    <cellStyle name="Migliaia [0] 28" xfId="403" xr:uid="{00000000-0005-0000-0000-0000D1030000}"/>
    <cellStyle name="Migliaia [0] 28 2" xfId="2184" xr:uid="{00000000-0005-0000-0000-0000D2030000}"/>
    <cellStyle name="Migliaia [0] 28 2 2" xfId="3567" xr:uid="{00000000-0005-0000-0000-0000D3030000}"/>
    <cellStyle name="Migliaia [0] 28 3" xfId="3568" xr:uid="{00000000-0005-0000-0000-0000D4030000}"/>
    <cellStyle name="Migliaia [0] 29" xfId="404" xr:uid="{00000000-0005-0000-0000-0000D5030000}"/>
    <cellStyle name="Migliaia [0] 29 2" xfId="2185" xr:uid="{00000000-0005-0000-0000-0000D6030000}"/>
    <cellStyle name="Migliaia [0] 29 2 2" xfId="3569" xr:uid="{00000000-0005-0000-0000-0000D7030000}"/>
    <cellStyle name="Migliaia [0] 29 3" xfId="3570" xr:uid="{00000000-0005-0000-0000-0000D8030000}"/>
    <cellStyle name="Migliaia [0] 3" xfId="405" xr:uid="{00000000-0005-0000-0000-0000D9030000}"/>
    <cellStyle name="Migliaia [0] 3 2" xfId="2186" xr:uid="{00000000-0005-0000-0000-0000DA030000}"/>
    <cellStyle name="Migliaia [0] 3 2 2" xfId="3571" xr:uid="{00000000-0005-0000-0000-0000DB030000}"/>
    <cellStyle name="Migliaia [0] 3 3" xfId="3572" xr:uid="{00000000-0005-0000-0000-0000DC030000}"/>
    <cellStyle name="Migliaia [0] 30" xfId="406" xr:uid="{00000000-0005-0000-0000-0000DD030000}"/>
    <cellStyle name="Migliaia [0] 30 2" xfId="2187" xr:uid="{00000000-0005-0000-0000-0000DE030000}"/>
    <cellStyle name="Migliaia [0] 30 2 2" xfId="3573" xr:uid="{00000000-0005-0000-0000-0000DF030000}"/>
    <cellStyle name="Migliaia [0] 30 3" xfId="3574" xr:uid="{00000000-0005-0000-0000-0000E0030000}"/>
    <cellStyle name="Migliaia [0] 31" xfId="407" xr:uid="{00000000-0005-0000-0000-0000E1030000}"/>
    <cellStyle name="Migliaia [0] 31 2" xfId="2188" xr:uid="{00000000-0005-0000-0000-0000E2030000}"/>
    <cellStyle name="Migliaia [0] 31 2 2" xfId="3575" xr:uid="{00000000-0005-0000-0000-0000E3030000}"/>
    <cellStyle name="Migliaia [0] 31 3" xfId="3576" xr:uid="{00000000-0005-0000-0000-0000E4030000}"/>
    <cellStyle name="Migliaia [0] 32" xfId="408" xr:uid="{00000000-0005-0000-0000-0000E5030000}"/>
    <cellStyle name="Migliaia [0] 32 2" xfId="2189" xr:uid="{00000000-0005-0000-0000-0000E6030000}"/>
    <cellStyle name="Migliaia [0] 32 2 2" xfId="3577" xr:uid="{00000000-0005-0000-0000-0000E7030000}"/>
    <cellStyle name="Migliaia [0] 32 3" xfId="3578" xr:uid="{00000000-0005-0000-0000-0000E8030000}"/>
    <cellStyle name="Migliaia [0] 33" xfId="409" xr:uid="{00000000-0005-0000-0000-0000E9030000}"/>
    <cellStyle name="Migliaia [0] 33 2" xfId="2190" xr:uid="{00000000-0005-0000-0000-0000EA030000}"/>
    <cellStyle name="Migliaia [0] 33 2 2" xfId="3579" xr:uid="{00000000-0005-0000-0000-0000EB030000}"/>
    <cellStyle name="Migliaia [0] 33 3" xfId="3580" xr:uid="{00000000-0005-0000-0000-0000EC030000}"/>
    <cellStyle name="Migliaia [0] 34" xfId="410" xr:uid="{00000000-0005-0000-0000-0000ED030000}"/>
    <cellStyle name="Migliaia [0] 34 2" xfId="2191" xr:uid="{00000000-0005-0000-0000-0000EE030000}"/>
    <cellStyle name="Migliaia [0] 34 2 2" xfId="3581" xr:uid="{00000000-0005-0000-0000-0000EF030000}"/>
    <cellStyle name="Migliaia [0] 34 3" xfId="3582" xr:uid="{00000000-0005-0000-0000-0000F0030000}"/>
    <cellStyle name="Migliaia [0] 35" xfId="411" xr:uid="{00000000-0005-0000-0000-0000F1030000}"/>
    <cellStyle name="Migliaia [0] 35 2" xfId="2192" xr:uid="{00000000-0005-0000-0000-0000F2030000}"/>
    <cellStyle name="Migliaia [0] 35 2 2" xfId="3583" xr:uid="{00000000-0005-0000-0000-0000F3030000}"/>
    <cellStyle name="Migliaia [0] 35 3" xfId="3584" xr:uid="{00000000-0005-0000-0000-0000F4030000}"/>
    <cellStyle name="Migliaia [0] 36" xfId="412" xr:uid="{00000000-0005-0000-0000-0000F5030000}"/>
    <cellStyle name="Migliaia [0] 36 2" xfId="2193" xr:uid="{00000000-0005-0000-0000-0000F6030000}"/>
    <cellStyle name="Migliaia [0] 36 2 2" xfId="3585" xr:uid="{00000000-0005-0000-0000-0000F7030000}"/>
    <cellStyle name="Migliaia [0] 36 3" xfId="3586" xr:uid="{00000000-0005-0000-0000-0000F8030000}"/>
    <cellStyle name="Migliaia [0] 37" xfId="413" xr:uid="{00000000-0005-0000-0000-0000F9030000}"/>
    <cellStyle name="Migliaia [0] 37 2" xfId="2194" xr:uid="{00000000-0005-0000-0000-0000FA030000}"/>
    <cellStyle name="Migliaia [0] 37 2 2" xfId="3587" xr:uid="{00000000-0005-0000-0000-0000FB030000}"/>
    <cellStyle name="Migliaia [0] 37 3" xfId="3588" xr:uid="{00000000-0005-0000-0000-0000FC030000}"/>
    <cellStyle name="Migliaia [0] 38" xfId="414" xr:uid="{00000000-0005-0000-0000-0000FD030000}"/>
    <cellStyle name="Migliaia [0] 38 2" xfId="2195" xr:uid="{00000000-0005-0000-0000-0000FE030000}"/>
    <cellStyle name="Migliaia [0] 38 2 2" xfId="3589" xr:uid="{00000000-0005-0000-0000-0000FF030000}"/>
    <cellStyle name="Migliaia [0] 38 3" xfId="3590" xr:uid="{00000000-0005-0000-0000-000000040000}"/>
    <cellStyle name="Migliaia [0] 39" xfId="415" xr:uid="{00000000-0005-0000-0000-000001040000}"/>
    <cellStyle name="Migliaia [0] 39 2" xfId="2196" xr:uid="{00000000-0005-0000-0000-000002040000}"/>
    <cellStyle name="Migliaia [0] 39 2 2" xfId="3591" xr:uid="{00000000-0005-0000-0000-000003040000}"/>
    <cellStyle name="Migliaia [0] 39 3" xfId="3592" xr:uid="{00000000-0005-0000-0000-000004040000}"/>
    <cellStyle name="Migliaia [0] 4" xfId="416" xr:uid="{00000000-0005-0000-0000-000005040000}"/>
    <cellStyle name="Migliaia [0] 4 2" xfId="2197" xr:uid="{00000000-0005-0000-0000-000006040000}"/>
    <cellStyle name="Migliaia [0] 4 2 2" xfId="3593" xr:uid="{00000000-0005-0000-0000-000007040000}"/>
    <cellStyle name="Migliaia [0] 4 3" xfId="3594" xr:uid="{00000000-0005-0000-0000-000008040000}"/>
    <cellStyle name="Migliaia [0] 40" xfId="417" xr:uid="{00000000-0005-0000-0000-000009040000}"/>
    <cellStyle name="Migliaia [0] 40 2" xfId="2198" xr:uid="{00000000-0005-0000-0000-00000A040000}"/>
    <cellStyle name="Migliaia [0] 40 2 2" xfId="3595" xr:uid="{00000000-0005-0000-0000-00000B040000}"/>
    <cellStyle name="Migliaia [0] 40 3" xfId="3596" xr:uid="{00000000-0005-0000-0000-00000C040000}"/>
    <cellStyle name="Migliaia [0] 41" xfId="418" xr:uid="{00000000-0005-0000-0000-00000D040000}"/>
    <cellStyle name="Migliaia [0] 41 2" xfId="2199" xr:uid="{00000000-0005-0000-0000-00000E040000}"/>
    <cellStyle name="Migliaia [0] 41 2 2" xfId="3597" xr:uid="{00000000-0005-0000-0000-00000F040000}"/>
    <cellStyle name="Migliaia [0] 41 3" xfId="3598" xr:uid="{00000000-0005-0000-0000-000010040000}"/>
    <cellStyle name="Migliaia [0] 42" xfId="419" xr:uid="{00000000-0005-0000-0000-000011040000}"/>
    <cellStyle name="Migliaia [0] 42 2" xfId="2200" xr:uid="{00000000-0005-0000-0000-000012040000}"/>
    <cellStyle name="Migliaia [0] 42 2 2" xfId="3599" xr:uid="{00000000-0005-0000-0000-000013040000}"/>
    <cellStyle name="Migliaia [0] 42 3" xfId="3600" xr:uid="{00000000-0005-0000-0000-000014040000}"/>
    <cellStyle name="Migliaia [0] 43" xfId="420" xr:uid="{00000000-0005-0000-0000-000015040000}"/>
    <cellStyle name="Migliaia [0] 43 2" xfId="2201" xr:uid="{00000000-0005-0000-0000-000016040000}"/>
    <cellStyle name="Migliaia [0] 43 2 2" xfId="3601" xr:uid="{00000000-0005-0000-0000-000017040000}"/>
    <cellStyle name="Migliaia [0] 43 3" xfId="3602" xr:uid="{00000000-0005-0000-0000-000018040000}"/>
    <cellStyle name="Migliaia [0] 44" xfId="421" xr:uid="{00000000-0005-0000-0000-000019040000}"/>
    <cellStyle name="Migliaia [0] 44 2" xfId="2202" xr:uid="{00000000-0005-0000-0000-00001A040000}"/>
    <cellStyle name="Migliaia [0] 44 2 2" xfId="3603" xr:uid="{00000000-0005-0000-0000-00001B040000}"/>
    <cellStyle name="Migliaia [0] 44 3" xfId="3604" xr:uid="{00000000-0005-0000-0000-00001C040000}"/>
    <cellStyle name="Migliaia [0] 45" xfId="422" xr:uid="{00000000-0005-0000-0000-00001D040000}"/>
    <cellStyle name="Migliaia [0] 45 2" xfId="2203" xr:uid="{00000000-0005-0000-0000-00001E040000}"/>
    <cellStyle name="Migliaia [0] 45 2 2" xfId="3605" xr:uid="{00000000-0005-0000-0000-00001F040000}"/>
    <cellStyle name="Migliaia [0] 45 3" xfId="3606" xr:uid="{00000000-0005-0000-0000-000020040000}"/>
    <cellStyle name="Migliaia [0] 46" xfId="423" xr:uid="{00000000-0005-0000-0000-000021040000}"/>
    <cellStyle name="Migliaia [0] 46 2" xfId="2204" xr:uid="{00000000-0005-0000-0000-000022040000}"/>
    <cellStyle name="Migliaia [0] 46 2 2" xfId="3607" xr:uid="{00000000-0005-0000-0000-000023040000}"/>
    <cellStyle name="Migliaia [0] 46 3" xfId="3608" xr:uid="{00000000-0005-0000-0000-000024040000}"/>
    <cellStyle name="Migliaia [0] 47" xfId="424" xr:uid="{00000000-0005-0000-0000-000025040000}"/>
    <cellStyle name="Migliaia [0] 47 2" xfId="2205" xr:uid="{00000000-0005-0000-0000-000026040000}"/>
    <cellStyle name="Migliaia [0] 47 2 2" xfId="3609" xr:uid="{00000000-0005-0000-0000-000027040000}"/>
    <cellStyle name="Migliaia [0] 47 3" xfId="3610" xr:uid="{00000000-0005-0000-0000-000028040000}"/>
    <cellStyle name="Migliaia [0] 48" xfId="425" xr:uid="{00000000-0005-0000-0000-000029040000}"/>
    <cellStyle name="Migliaia [0] 48 2" xfId="2206" xr:uid="{00000000-0005-0000-0000-00002A040000}"/>
    <cellStyle name="Migliaia [0] 48 2 2" xfId="3611" xr:uid="{00000000-0005-0000-0000-00002B040000}"/>
    <cellStyle name="Migliaia [0] 48 3" xfId="3612" xr:uid="{00000000-0005-0000-0000-00002C040000}"/>
    <cellStyle name="Migliaia [0] 49" xfId="426" xr:uid="{00000000-0005-0000-0000-00002D040000}"/>
    <cellStyle name="Migliaia [0] 49 2" xfId="2207" xr:uid="{00000000-0005-0000-0000-00002E040000}"/>
    <cellStyle name="Migliaia [0] 49 2 2" xfId="3613" xr:uid="{00000000-0005-0000-0000-00002F040000}"/>
    <cellStyle name="Migliaia [0] 49 3" xfId="3614" xr:uid="{00000000-0005-0000-0000-000030040000}"/>
    <cellStyle name="Migliaia [0] 5" xfId="427" xr:uid="{00000000-0005-0000-0000-000031040000}"/>
    <cellStyle name="Migliaia [0] 5 2" xfId="2208" xr:uid="{00000000-0005-0000-0000-000032040000}"/>
    <cellStyle name="Migliaia [0] 5 2 2" xfId="3615" xr:uid="{00000000-0005-0000-0000-000033040000}"/>
    <cellStyle name="Migliaia [0] 5 3" xfId="3616" xr:uid="{00000000-0005-0000-0000-000034040000}"/>
    <cellStyle name="Migliaia [0] 50" xfId="428" xr:uid="{00000000-0005-0000-0000-000035040000}"/>
    <cellStyle name="Migliaia [0] 50 2" xfId="2209" xr:uid="{00000000-0005-0000-0000-000036040000}"/>
    <cellStyle name="Migliaia [0] 50 2 2" xfId="3617" xr:uid="{00000000-0005-0000-0000-000037040000}"/>
    <cellStyle name="Migliaia [0] 50 3" xfId="3618" xr:uid="{00000000-0005-0000-0000-000038040000}"/>
    <cellStyle name="Migliaia [0] 51" xfId="429" xr:uid="{00000000-0005-0000-0000-000039040000}"/>
    <cellStyle name="Migliaia [0] 51 2" xfId="2210" xr:uid="{00000000-0005-0000-0000-00003A040000}"/>
    <cellStyle name="Migliaia [0] 51 2 2" xfId="3619" xr:uid="{00000000-0005-0000-0000-00003B040000}"/>
    <cellStyle name="Migliaia [0] 51 3" xfId="3620" xr:uid="{00000000-0005-0000-0000-00003C040000}"/>
    <cellStyle name="Migliaia [0] 52" xfId="430" xr:uid="{00000000-0005-0000-0000-00003D040000}"/>
    <cellStyle name="Migliaia [0] 52 2" xfId="2211" xr:uid="{00000000-0005-0000-0000-00003E040000}"/>
    <cellStyle name="Migliaia [0] 52 2 2" xfId="3621" xr:uid="{00000000-0005-0000-0000-00003F040000}"/>
    <cellStyle name="Migliaia [0] 52 3" xfId="3622" xr:uid="{00000000-0005-0000-0000-000040040000}"/>
    <cellStyle name="Migliaia [0] 53" xfId="431" xr:uid="{00000000-0005-0000-0000-000041040000}"/>
    <cellStyle name="Migliaia [0] 53 2" xfId="2212" xr:uid="{00000000-0005-0000-0000-000042040000}"/>
    <cellStyle name="Migliaia [0] 53 2 2" xfId="3623" xr:uid="{00000000-0005-0000-0000-000043040000}"/>
    <cellStyle name="Migliaia [0] 53 3" xfId="3624" xr:uid="{00000000-0005-0000-0000-000044040000}"/>
    <cellStyle name="Migliaia [0] 54" xfId="432" xr:uid="{00000000-0005-0000-0000-000045040000}"/>
    <cellStyle name="Migliaia [0] 54 2" xfId="2213" xr:uid="{00000000-0005-0000-0000-000046040000}"/>
    <cellStyle name="Migliaia [0] 54 2 2" xfId="3625" xr:uid="{00000000-0005-0000-0000-000047040000}"/>
    <cellStyle name="Migliaia [0] 54 3" xfId="3626" xr:uid="{00000000-0005-0000-0000-000048040000}"/>
    <cellStyle name="Migliaia [0] 55" xfId="433" xr:uid="{00000000-0005-0000-0000-000049040000}"/>
    <cellStyle name="Migliaia [0] 55 2" xfId="2214" xr:uid="{00000000-0005-0000-0000-00004A040000}"/>
    <cellStyle name="Migliaia [0] 55 2 2" xfId="3627" xr:uid="{00000000-0005-0000-0000-00004B040000}"/>
    <cellStyle name="Migliaia [0] 55 3" xfId="3628" xr:uid="{00000000-0005-0000-0000-00004C040000}"/>
    <cellStyle name="Migliaia [0] 56" xfId="434" xr:uid="{00000000-0005-0000-0000-00004D040000}"/>
    <cellStyle name="Migliaia [0] 56 2" xfId="2215" xr:uid="{00000000-0005-0000-0000-00004E040000}"/>
    <cellStyle name="Migliaia [0] 56 2 2" xfId="3629" xr:uid="{00000000-0005-0000-0000-00004F040000}"/>
    <cellStyle name="Migliaia [0] 56 3" xfId="3630" xr:uid="{00000000-0005-0000-0000-000050040000}"/>
    <cellStyle name="Migliaia [0] 57" xfId="435" xr:uid="{00000000-0005-0000-0000-000051040000}"/>
    <cellStyle name="Migliaia [0] 57 2" xfId="2216" xr:uid="{00000000-0005-0000-0000-000052040000}"/>
    <cellStyle name="Migliaia [0] 57 2 2" xfId="3631" xr:uid="{00000000-0005-0000-0000-000053040000}"/>
    <cellStyle name="Migliaia [0] 57 3" xfId="3632" xr:uid="{00000000-0005-0000-0000-000054040000}"/>
    <cellStyle name="Migliaia [0] 58" xfId="436" xr:uid="{00000000-0005-0000-0000-000055040000}"/>
    <cellStyle name="Migliaia [0] 58 2" xfId="2217" xr:uid="{00000000-0005-0000-0000-000056040000}"/>
    <cellStyle name="Migliaia [0] 58 2 2" xfId="3633" xr:uid="{00000000-0005-0000-0000-000057040000}"/>
    <cellStyle name="Migliaia [0] 58 3" xfId="3634" xr:uid="{00000000-0005-0000-0000-000058040000}"/>
    <cellStyle name="Migliaia [0] 59" xfId="437" xr:uid="{00000000-0005-0000-0000-000059040000}"/>
    <cellStyle name="Migliaia [0] 59 2" xfId="2218" xr:uid="{00000000-0005-0000-0000-00005A040000}"/>
    <cellStyle name="Migliaia [0] 59 2 2" xfId="3635" xr:uid="{00000000-0005-0000-0000-00005B040000}"/>
    <cellStyle name="Migliaia [0] 59 3" xfId="3636" xr:uid="{00000000-0005-0000-0000-00005C040000}"/>
    <cellStyle name="Migliaia [0] 6" xfId="438" xr:uid="{00000000-0005-0000-0000-00005D040000}"/>
    <cellStyle name="Migliaia [0] 6 2" xfId="2219" xr:uid="{00000000-0005-0000-0000-00005E040000}"/>
    <cellStyle name="Migliaia [0] 6 2 2" xfId="3637" xr:uid="{00000000-0005-0000-0000-00005F040000}"/>
    <cellStyle name="Migliaia [0] 6 3" xfId="3638" xr:uid="{00000000-0005-0000-0000-000060040000}"/>
    <cellStyle name="Migliaia [0] 7" xfId="439" xr:uid="{00000000-0005-0000-0000-000061040000}"/>
    <cellStyle name="Migliaia [0] 7 2" xfId="2220" xr:uid="{00000000-0005-0000-0000-000062040000}"/>
    <cellStyle name="Migliaia [0] 7 2 2" xfId="3639" xr:uid="{00000000-0005-0000-0000-000063040000}"/>
    <cellStyle name="Migliaia [0] 7 3" xfId="3640" xr:uid="{00000000-0005-0000-0000-000064040000}"/>
    <cellStyle name="Migliaia [0] 8" xfId="440" xr:uid="{00000000-0005-0000-0000-000065040000}"/>
    <cellStyle name="Migliaia [0] 8 2" xfId="2221" xr:uid="{00000000-0005-0000-0000-000066040000}"/>
    <cellStyle name="Migliaia [0] 8 2 2" xfId="3641" xr:uid="{00000000-0005-0000-0000-000067040000}"/>
    <cellStyle name="Migliaia [0] 8 3" xfId="3642" xr:uid="{00000000-0005-0000-0000-000068040000}"/>
    <cellStyle name="Migliaia [0] 9" xfId="441" xr:uid="{00000000-0005-0000-0000-000069040000}"/>
    <cellStyle name="Migliaia [0] 9 2" xfId="2222" xr:uid="{00000000-0005-0000-0000-00006A040000}"/>
    <cellStyle name="Migliaia [0] 9 2 2" xfId="3643" xr:uid="{00000000-0005-0000-0000-00006B040000}"/>
    <cellStyle name="Migliaia [0] 9 3" xfId="3644" xr:uid="{00000000-0005-0000-0000-00006C040000}"/>
    <cellStyle name="Migliaia 10" xfId="442" xr:uid="{00000000-0005-0000-0000-00006D040000}"/>
    <cellStyle name="Migliaia 10 2" xfId="443" xr:uid="{00000000-0005-0000-0000-00006E040000}"/>
    <cellStyle name="Migliaia 10 2 2" xfId="2223" xr:uid="{00000000-0005-0000-0000-00006F040000}"/>
    <cellStyle name="Migliaia 10 2 2 2" xfId="3645" xr:uid="{00000000-0005-0000-0000-000070040000}"/>
    <cellStyle name="Migliaia 10 3" xfId="444" xr:uid="{00000000-0005-0000-0000-000071040000}"/>
    <cellStyle name="Migliaia 10 3 2" xfId="445" xr:uid="{00000000-0005-0000-0000-000072040000}"/>
    <cellStyle name="Migliaia 10 3 2 2" xfId="3646" xr:uid="{00000000-0005-0000-0000-000073040000}"/>
    <cellStyle name="Migliaia 10 3 2 3" xfId="3647" xr:uid="{00000000-0005-0000-0000-000074040000}"/>
    <cellStyle name="Migliaia 10 3 3" xfId="446" xr:uid="{00000000-0005-0000-0000-000075040000}"/>
    <cellStyle name="Migliaia 10 3 3 2" xfId="2224" xr:uid="{00000000-0005-0000-0000-000076040000}"/>
    <cellStyle name="Migliaia 10 3 4" xfId="2225" xr:uid="{00000000-0005-0000-0000-000077040000}"/>
    <cellStyle name="Migliaia 10 4" xfId="447" xr:uid="{00000000-0005-0000-0000-000078040000}"/>
    <cellStyle name="Migliaia 10 4 2" xfId="2226" xr:uid="{00000000-0005-0000-0000-000079040000}"/>
    <cellStyle name="Migliaia 10 4 2 2" xfId="2227" xr:uid="{00000000-0005-0000-0000-00007A040000}"/>
    <cellStyle name="Migliaia 10 4 2 3" xfId="3648" xr:uid="{00000000-0005-0000-0000-00007B040000}"/>
    <cellStyle name="Migliaia 10 4 3" xfId="2228" xr:uid="{00000000-0005-0000-0000-00007C040000}"/>
    <cellStyle name="Migliaia 10 5" xfId="448" xr:uid="{00000000-0005-0000-0000-00007D040000}"/>
    <cellStyle name="Migliaia 11" xfId="449" xr:uid="{00000000-0005-0000-0000-00007E040000}"/>
    <cellStyle name="Migliaia 11 2" xfId="450" xr:uid="{00000000-0005-0000-0000-00007F040000}"/>
    <cellStyle name="Migliaia 11 2 2" xfId="2229" xr:uid="{00000000-0005-0000-0000-000080040000}"/>
    <cellStyle name="Migliaia 11 2 2 2" xfId="3649" xr:uid="{00000000-0005-0000-0000-000081040000}"/>
    <cellStyle name="Migliaia 11 3" xfId="451" xr:uid="{00000000-0005-0000-0000-000082040000}"/>
    <cellStyle name="Migliaia 11 3 2" xfId="452" xr:uid="{00000000-0005-0000-0000-000083040000}"/>
    <cellStyle name="Migliaia 11 3 2 2" xfId="3650" xr:uid="{00000000-0005-0000-0000-000084040000}"/>
    <cellStyle name="Migliaia 11 3 2 3" xfId="3651" xr:uid="{00000000-0005-0000-0000-000085040000}"/>
    <cellStyle name="Migliaia 11 3 3" xfId="453" xr:uid="{00000000-0005-0000-0000-000086040000}"/>
    <cellStyle name="Migliaia 11 3 3 2" xfId="2230" xr:uid="{00000000-0005-0000-0000-000087040000}"/>
    <cellStyle name="Migliaia 11 3 4" xfId="2231" xr:uid="{00000000-0005-0000-0000-000088040000}"/>
    <cellStyle name="Migliaia 11 4" xfId="454" xr:uid="{00000000-0005-0000-0000-000089040000}"/>
    <cellStyle name="Migliaia 11 4 2" xfId="2232" xr:uid="{00000000-0005-0000-0000-00008A040000}"/>
    <cellStyle name="Migliaia 11 4 2 2" xfId="2233" xr:uid="{00000000-0005-0000-0000-00008B040000}"/>
    <cellStyle name="Migliaia 11 4 2 3" xfId="3652" xr:uid="{00000000-0005-0000-0000-00008C040000}"/>
    <cellStyle name="Migliaia 11 4 3" xfId="2234" xr:uid="{00000000-0005-0000-0000-00008D040000}"/>
    <cellStyle name="Migliaia 11 5" xfId="455" xr:uid="{00000000-0005-0000-0000-00008E040000}"/>
    <cellStyle name="Migliaia 12" xfId="456" xr:uid="{00000000-0005-0000-0000-00008F040000}"/>
    <cellStyle name="Migliaia 12 2" xfId="457" xr:uid="{00000000-0005-0000-0000-000090040000}"/>
    <cellStyle name="Migliaia 12 2 2" xfId="2235" xr:uid="{00000000-0005-0000-0000-000091040000}"/>
    <cellStyle name="Migliaia 12 2 2 2" xfId="3653" xr:uid="{00000000-0005-0000-0000-000092040000}"/>
    <cellStyle name="Migliaia 12 3" xfId="458" xr:uid="{00000000-0005-0000-0000-000093040000}"/>
    <cellStyle name="Migliaia 12 3 2" xfId="459" xr:uid="{00000000-0005-0000-0000-000094040000}"/>
    <cellStyle name="Migliaia 12 3 2 2" xfId="3654" xr:uid="{00000000-0005-0000-0000-000095040000}"/>
    <cellStyle name="Migliaia 12 3 2 3" xfId="3655" xr:uid="{00000000-0005-0000-0000-000096040000}"/>
    <cellStyle name="Migliaia 12 3 3" xfId="460" xr:uid="{00000000-0005-0000-0000-000097040000}"/>
    <cellStyle name="Migliaia 12 3 3 2" xfId="2236" xr:uid="{00000000-0005-0000-0000-000098040000}"/>
    <cellStyle name="Migliaia 12 3 4" xfId="2237" xr:uid="{00000000-0005-0000-0000-000099040000}"/>
    <cellStyle name="Migliaia 12 4" xfId="461" xr:uid="{00000000-0005-0000-0000-00009A040000}"/>
    <cellStyle name="Migliaia 12 4 2" xfId="2238" xr:uid="{00000000-0005-0000-0000-00009B040000}"/>
    <cellStyle name="Migliaia 12 4 2 2" xfId="2239" xr:uid="{00000000-0005-0000-0000-00009C040000}"/>
    <cellStyle name="Migliaia 12 4 2 3" xfId="3656" xr:uid="{00000000-0005-0000-0000-00009D040000}"/>
    <cellStyle name="Migliaia 12 4 3" xfId="2240" xr:uid="{00000000-0005-0000-0000-00009E040000}"/>
    <cellStyle name="Migliaia 12 5" xfId="462" xr:uid="{00000000-0005-0000-0000-00009F040000}"/>
    <cellStyle name="Migliaia 13" xfId="463" xr:uid="{00000000-0005-0000-0000-0000A0040000}"/>
    <cellStyle name="Migliaia 13 2" xfId="464" xr:uid="{00000000-0005-0000-0000-0000A1040000}"/>
    <cellStyle name="Migliaia 13 2 2" xfId="2241" xr:uid="{00000000-0005-0000-0000-0000A2040000}"/>
    <cellStyle name="Migliaia 13 2 2 2" xfId="3657" xr:uid="{00000000-0005-0000-0000-0000A3040000}"/>
    <cellStyle name="Migliaia 13 3" xfId="465" xr:uid="{00000000-0005-0000-0000-0000A4040000}"/>
    <cellStyle name="Migliaia 13 3 2" xfId="466" xr:uid="{00000000-0005-0000-0000-0000A5040000}"/>
    <cellStyle name="Migliaia 13 3 2 2" xfId="3658" xr:uid="{00000000-0005-0000-0000-0000A6040000}"/>
    <cellStyle name="Migliaia 13 3 2 3" xfId="3659" xr:uid="{00000000-0005-0000-0000-0000A7040000}"/>
    <cellStyle name="Migliaia 13 3 3" xfId="467" xr:uid="{00000000-0005-0000-0000-0000A8040000}"/>
    <cellStyle name="Migliaia 13 3 3 2" xfId="2242" xr:uid="{00000000-0005-0000-0000-0000A9040000}"/>
    <cellStyle name="Migliaia 13 3 4" xfId="2243" xr:uid="{00000000-0005-0000-0000-0000AA040000}"/>
    <cellStyle name="Migliaia 13 4" xfId="468" xr:uid="{00000000-0005-0000-0000-0000AB040000}"/>
    <cellStyle name="Migliaia 13 4 2" xfId="2244" xr:uid="{00000000-0005-0000-0000-0000AC040000}"/>
    <cellStyle name="Migliaia 13 4 2 2" xfId="2245" xr:uid="{00000000-0005-0000-0000-0000AD040000}"/>
    <cellStyle name="Migliaia 13 4 2 3" xfId="3660" xr:uid="{00000000-0005-0000-0000-0000AE040000}"/>
    <cellStyle name="Migliaia 13 4 3" xfId="2246" xr:uid="{00000000-0005-0000-0000-0000AF040000}"/>
    <cellStyle name="Migliaia 13 5" xfId="469" xr:uid="{00000000-0005-0000-0000-0000B0040000}"/>
    <cellStyle name="Migliaia 14" xfId="470" xr:uid="{00000000-0005-0000-0000-0000B1040000}"/>
    <cellStyle name="Migliaia 14 2" xfId="471" xr:uid="{00000000-0005-0000-0000-0000B2040000}"/>
    <cellStyle name="Migliaia 14 2 2" xfId="2247" xr:uid="{00000000-0005-0000-0000-0000B3040000}"/>
    <cellStyle name="Migliaia 14 2 2 2" xfId="3661" xr:uid="{00000000-0005-0000-0000-0000B4040000}"/>
    <cellStyle name="Migliaia 14 3" xfId="472" xr:uid="{00000000-0005-0000-0000-0000B5040000}"/>
    <cellStyle name="Migliaia 14 3 2" xfId="473" xr:uid="{00000000-0005-0000-0000-0000B6040000}"/>
    <cellStyle name="Migliaia 14 3 2 2" xfId="3662" xr:uid="{00000000-0005-0000-0000-0000B7040000}"/>
    <cellStyle name="Migliaia 14 3 2 3" xfId="3663" xr:uid="{00000000-0005-0000-0000-0000B8040000}"/>
    <cellStyle name="Migliaia 14 3 3" xfId="474" xr:uid="{00000000-0005-0000-0000-0000B9040000}"/>
    <cellStyle name="Migliaia 14 3 3 2" xfId="2248" xr:uid="{00000000-0005-0000-0000-0000BA040000}"/>
    <cellStyle name="Migliaia 14 3 4" xfId="2249" xr:uid="{00000000-0005-0000-0000-0000BB040000}"/>
    <cellStyle name="Migliaia 14 4" xfId="475" xr:uid="{00000000-0005-0000-0000-0000BC040000}"/>
    <cellStyle name="Migliaia 14 4 2" xfId="2250" xr:uid="{00000000-0005-0000-0000-0000BD040000}"/>
    <cellStyle name="Migliaia 14 4 2 2" xfId="2251" xr:uid="{00000000-0005-0000-0000-0000BE040000}"/>
    <cellStyle name="Migliaia 14 4 2 3" xfId="3664" xr:uid="{00000000-0005-0000-0000-0000BF040000}"/>
    <cellStyle name="Migliaia 14 4 3" xfId="2252" xr:uid="{00000000-0005-0000-0000-0000C0040000}"/>
    <cellStyle name="Migliaia 14 5" xfId="476" xr:uid="{00000000-0005-0000-0000-0000C1040000}"/>
    <cellStyle name="Migliaia 15" xfId="477" xr:uid="{00000000-0005-0000-0000-0000C2040000}"/>
    <cellStyle name="Migliaia 15 2" xfId="478" xr:uid="{00000000-0005-0000-0000-0000C3040000}"/>
    <cellStyle name="Migliaia 15 2 2" xfId="2253" xr:uid="{00000000-0005-0000-0000-0000C4040000}"/>
    <cellStyle name="Migliaia 15 2 2 2" xfId="3665" xr:uid="{00000000-0005-0000-0000-0000C5040000}"/>
    <cellStyle name="Migliaia 15 3" xfId="479" xr:uid="{00000000-0005-0000-0000-0000C6040000}"/>
    <cellStyle name="Migliaia 15 3 2" xfId="480" xr:uid="{00000000-0005-0000-0000-0000C7040000}"/>
    <cellStyle name="Migliaia 15 3 2 2" xfId="3666" xr:uid="{00000000-0005-0000-0000-0000C8040000}"/>
    <cellStyle name="Migliaia 15 3 2 3" xfId="3667" xr:uid="{00000000-0005-0000-0000-0000C9040000}"/>
    <cellStyle name="Migliaia 15 3 3" xfId="481" xr:uid="{00000000-0005-0000-0000-0000CA040000}"/>
    <cellStyle name="Migliaia 15 3 3 2" xfId="2254" xr:uid="{00000000-0005-0000-0000-0000CB040000}"/>
    <cellStyle name="Migliaia 15 3 4" xfId="2255" xr:uid="{00000000-0005-0000-0000-0000CC040000}"/>
    <cellStyle name="Migliaia 15 4" xfId="482" xr:uid="{00000000-0005-0000-0000-0000CD040000}"/>
    <cellStyle name="Migliaia 15 4 2" xfId="2256" xr:uid="{00000000-0005-0000-0000-0000CE040000}"/>
    <cellStyle name="Migliaia 15 4 2 2" xfId="2257" xr:uid="{00000000-0005-0000-0000-0000CF040000}"/>
    <cellStyle name="Migliaia 15 4 2 3" xfId="3668" xr:uid="{00000000-0005-0000-0000-0000D0040000}"/>
    <cellStyle name="Migliaia 15 4 3" xfId="2258" xr:uid="{00000000-0005-0000-0000-0000D1040000}"/>
    <cellStyle name="Migliaia 15 5" xfId="483" xr:uid="{00000000-0005-0000-0000-0000D2040000}"/>
    <cellStyle name="Migliaia 16" xfId="484" xr:uid="{00000000-0005-0000-0000-0000D3040000}"/>
    <cellStyle name="Migliaia 16 2" xfId="485" xr:uid="{00000000-0005-0000-0000-0000D4040000}"/>
    <cellStyle name="Migliaia 16 2 2" xfId="2259" xr:uid="{00000000-0005-0000-0000-0000D5040000}"/>
    <cellStyle name="Migliaia 16 2 2 2" xfId="3669" xr:uid="{00000000-0005-0000-0000-0000D6040000}"/>
    <cellStyle name="Migliaia 16 3" xfId="486" xr:uid="{00000000-0005-0000-0000-0000D7040000}"/>
    <cellStyle name="Migliaia 16 3 2" xfId="487" xr:uid="{00000000-0005-0000-0000-0000D8040000}"/>
    <cellStyle name="Migliaia 16 3 2 2" xfId="3670" xr:uid="{00000000-0005-0000-0000-0000D9040000}"/>
    <cellStyle name="Migliaia 16 3 2 3" xfId="3671" xr:uid="{00000000-0005-0000-0000-0000DA040000}"/>
    <cellStyle name="Migliaia 16 3 3" xfId="488" xr:uid="{00000000-0005-0000-0000-0000DB040000}"/>
    <cellStyle name="Migliaia 16 3 3 2" xfId="2260" xr:uid="{00000000-0005-0000-0000-0000DC040000}"/>
    <cellStyle name="Migliaia 16 3 4" xfId="2261" xr:uid="{00000000-0005-0000-0000-0000DD040000}"/>
    <cellStyle name="Migliaia 16 4" xfId="489" xr:uid="{00000000-0005-0000-0000-0000DE040000}"/>
    <cellStyle name="Migliaia 16 4 2" xfId="2262" xr:uid="{00000000-0005-0000-0000-0000DF040000}"/>
    <cellStyle name="Migliaia 16 4 2 2" xfId="2263" xr:uid="{00000000-0005-0000-0000-0000E0040000}"/>
    <cellStyle name="Migliaia 16 4 2 3" xfId="3672" xr:uid="{00000000-0005-0000-0000-0000E1040000}"/>
    <cellStyle name="Migliaia 16 4 3" xfId="2264" xr:uid="{00000000-0005-0000-0000-0000E2040000}"/>
    <cellStyle name="Migliaia 16 5" xfId="490" xr:uid="{00000000-0005-0000-0000-0000E3040000}"/>
    <cellStyle name="Migliaia 17" xfId="491" xr:uid="{00000000-0005-0000-0000-0000E4040000}"/>
    <cellStyle name="Migliaia 17 2" xfId="492" xr:uid="{00000000-0005-0000-0000-0000E5040000}"/>
    <cellStyle name="Migliaia 17 2 2" xfId="2265" xr:uid="{00000000-0005-0000-0000-0000E6040000}"/>
    <cellStyle name="Migliaia 17 2 2 2" xfId="3673" xr:uid="{00000000-0005-0000-0000-0000E7040000}"/>
    <cellStyle name="Migliaia 17 3" xfId="493" xr:uid="{00000000-0005-0000-0000-0000E8040000}"/>
    <cellStyle name="Migliaia 17 3 2" xfId="494" xr:uid="{00000000-0005-0000-0000-0000E9040000}"/>
    <cellStyle name="Migliaia 17 3 2 2" xfId="3674" xr:uid="{00000000-0005-0000-0000-0000EA040000}"/>
    <cellStyle name="Migliaia 17 3 2 3" xfId="3675" xr:uid="{00000000-0005-0000-0000-0000EB040000}"/>
    <cellStyle name="Migliaia 17 3 3" xfId="495" xr:uid="{00000000-0005-0000-0000-0000EC040000}"/>
    <cellStyle name="Migliaia 17 3 3 2" xfId="2266" xr:uid="{00000000-0005-0000-0000-0000ED040000}"/>
    <cellStyle name="Migliaia 17 3 4" xfId="2267" xr:uid="{00000000-0005-0000-0000-0000EE040000}"/>
    <cellStyle name="Migliaia 17 4" xfId="496" xr:uid="{00000000-0005-0000-0000-0000EF040000}"/>
    <cellStyle name="Migliaia 17 4 2" xfId="2268" xr:uid="{00000000-0005-0000-0000-0000F0040000}"/>
    <cellStyle name="Migliaia 17 4 2 2" xfId="2269" xr:uid="{00000000-0005-0000-0000-0000F1040000}"/>
    <cellStyle name="Migliaia 17 4 2 3" xfId="3676" xr:uid="{00000000-0005-0000-0000-0000F2040000}"/>
    <cellStyle name="Migliaia 17 4 3" xfId="2270" xr:uid="{00000000-0005-0000-0000-0000F3040000}"/>
    <cellStyle name="Migliaia 17 5" xfId="497" xr:uid="{00000000-0005-0000-0000-0000F4040000}"/>
    <cellStyle name="Migliaia 18" xfId="498" xr:uid="{00000000-0005-0000-0000-0000F5040000}"/>
    <cellStyle name="Migliaia 18 2" xfId="499" xr:uid="{00000000-0005-0000-0000-0000F6040000}"/>
    <cellStyle name="Migliaia 18 2 2" xfId="2271" xr:uid="{00000000-0005-0000-0000-0000F7040000}"/>
    <cellStyle name="Migliaia 18 2 2 2" xfId="3677" xr:uid="{00000000-0005-0000-0000-0000F8040000}"/>
    <cellStyle name="Migliaia 18 3" xfId="500" xr:uid="{00000000-0005-0000-0000-0000F9040000}"/>
    <cellStyle name="Migliaia 18 3 2" xfId="501" xr:uid="{00000000-0005-0000-0000-0000FA040000}"/>
    <cellStyle name="Migliaia 18 3 2 2" xfId="3678" xr:uid="{00000000-0005-0000-0000-0000FB040000}"/>
    <cellStyle name="Migliaia 18 3 2 3" xfId="3679" xr:uid="{00000000-0005-0000-0000-0000FC040000}"/>
    <cellStyle name="Migliaia 18 3 3" xfId="502" xr:uid="{00000000-0005-0000-0000-0000FD040000}"/>
    <cellStyle name="Migliaia 18 3 3 2" xfId="2272" xr:uid="{00000000-0005-0000-0000-0000FE040000}"/>
    <cellStyle name="Migliaia 18 3 4" xfId="2273" xr:uid="{00000000-0005-0000-0000-0000FF040000}"/>
    <cellStyle name="Migliaia 18 4" xfId="503" xr:uid="{00000000-0005-0000-0000-000000050000}"/>
    <cellStyle name="Migliaia 18 4 2" xfId="2274" xr:uid="{00000000-0005-0000-0000-000001050000}"/>
    <cellStyle name="Migliaia 18 4 2 2" xfId="2275" xr:uid="{00000000-0005-0000-0000-000002050000}"/>
    <cellStyle name="Migliaia 18 4 2 3" xfId="3680" xr:uid="{00000000-0005-0000-0000-000003050000}"/>
    <cellStyle name="Migliaia 18 4 3" xfId="2276" xr:uid="{00000000-0005-0000-0000-000004050000}"/>
    <cellStyle name="Migliaia 18 5" xfId="504" xr:uid="{00000000-0005-0000-0000-000005050000}"/>
    <cellStyle name="Migliaia 19" xfId="505" xr:uid="{00000000-0005-0000-0000-000006050000}"/>
    <cellStyle name="Migliaia 19 2" xfId="506" xr:uid="{00000000-0005-0000-0000-000007050000}"/>
    <cellStyle name="Migliaia 19 2 2" xfId="2277" xr:uid="{00000000-0005-0000-0000-000008050000}"/>
    <cellStyle name="Migliaia 19 2 2 2" xfId="3681" xr:uid="{00000000-0005-0000-0000-000009050000}"/>
    <cellStyle name="Migliaia 19 3" xfId="507" xr:uid="{00000000-0005-0000-0000-00000A050000}"/>
    <cellStyle name="Migliaia 19 3 2" xfId="508" xr:uid="{00000000-0005-0000-0000-00000B050000}"/>
    <cellStyle name="Migliaia 19 3 2 2" xfId="3682" xr:uid="{00000000-0005-0000-0000-00000C050000}"/>
    <cellStyle name="Migliaia 19 3 2 3" xfId="3683" xr:uid="{00000000-0005-0000-0000-00000D050000}"/>
    <cellStyle name="Migliaia 19 3 3" xfId="509" xr:uid="{00000000-0005-0000-0000-00000E050000}"/>
    <cellStyle name="Migliaia 19 3 3 2" xfId="2278" xr:uid="{00000000-0005-0000-0000-00000F050000}"/>
    <cellStyle name="Migliaia 19 3 4" xfId="2279" xr:uid="{00000000-0005-0000-0000-000010050000}"/>
    <cellStyle name="Migliaia 19 4" xfId="510" xr:uid="{00000000-0005-0000-0000-000011050000}"/>
    <cellStyle name="Migliaia 19 4 2" xfId="2280" xr:uid="{00000000-0005-0000-0000-000012050000}"/>
    <cellStyle name="Migliaia 19 4 2 2" xfId="2281" xr:uid="{00000000-0005-0000-0000-000013050000}"/>
    <cellStyle name="Migliaia 19 4 2 3" xfId="3684" xr:uid="{00000000-0005-0000-0000-000014050000}"/>
    <cellStyle name="Migliaia 19 4 3" xfId="2282" xr:uid="{00000000-0005-0000-0000-000015050000}"/>
    <cellStyle name="Migliaia 19 5" xfId="511" xr:uid="{00000000-0005-0000-0000-000016050000}"/>
    <cellStyle name="Migliaia 2" xfId="512" xr:uid="{00000000-0005-0000-0000-000017050000}"/>
    <cellStyle name="Migliaia 2 2" xfId="513" xr:uid="{00000000-0005-0000-0000-000018050000}"/>
    <cellStyle name="Migliaia 2 2 2" xfId="2283" xr:uid="{00000000-0005-0000-0000-000019050000}"/>
    <cellStyle name="Migliaia 2 2 2 2" xfId="3685" xr:uid="{00000000-0005-0000-0000-00001A050000}"/>
    <cellStyle name="Migliaia 2 2 3" xfId="3686" xr:uid="{00000000-0005-0000-0000-00001B050000}"/>
    <cellStyle name="Migliaia 2 3" xfId="514" xr:uid="{00000000-0005-0000-0000-00001C050000}"/>
    <cellStyle name="Migliaia 2 3 2" xfId="2284" xr:uid="{00000000-0005-0000-0000-00001D050000}"/>
    <cellStyle name="Migliaia 2 3 2 2" xfId="3687" xr:uid="{00000000-0005-0000-0000-00001E050000}"/>
    <cellStyle name="Migliaia 2 3 3" xfId="3688" xr:uid="{00000000-0005-0000-0000-00001F050000}"/>
    <cellStyle name="Migliaia 2 4" xfId="515" xr:uid="{00000000-0005-0000-0000-000020050000}"/>
    <cellStyle name="Migliaia 2 4 2" xfId="516" xr:uid="{00000000-0005-0000-0000-000021050000}"/>
    <cellStyle name="Migliaia 2 4 2 2" xfId="3689" xr:uid="{00000000-0005-0000-0000-000022050000}"/>
    <cellStyle name="Migliaia 2 4 2 3" xfId="3690" xr:uid="{00000000-0005-0000-0000-000023050000}"/>
    <cellStyle name="Migliaia 2 4 3" xfId="517" xr:uid="{00000000-0005-0000-0000-000024050000}"/>
    <cellStyle name="Migliaia 2 4 3 2" xfId="2285" xr:uid="{00000000-0005-0000-0000-000025050000}"/>
    <cellStyle name="Migliaia 2 4 4" xfId="2286" xr:uid="{00000000-0005-0000-0000-000026050000}"/>
    <cellStyle name="Migliaia 2 5" xfId="518" xr:uid="{00000000-0005-0000-0000-000027050000}"/>
    <cellStyle name="Migliaia 2 5 2" xfId="2287" xr:uid="{00000000-0005-0000-0000-000028050000}"/>
    <cellStyle name="Migliaia 2 5 2 2" xfId="2288" xr:uid="{00000000-0005-0000-0000-000029050000}"/>
    <cellStyle name="Migliaia 2 5 2 3" xfId="3691" xr:uid="{00000000-0005-0000-0000-00002A050000}"/>
    <cellStyle name="Migliaia 2 5 3" xfId="2289" xr:uid="{00000000-0005-0000-0000-00002B050000}"/>
    <cellStyle name="Migliaia 2 6" xfId="519" xr:uid="{00000000-0005-0000-0000-00002C050000}"/>
    <cellStyle name="Migliaia 2_Domestico_reg&amp;naz" xfId="520" xr:uid="{00000000-0005-0000-0000-00002D050000}"/>
    <cellStyle name="Migliaia 20" xfId="521" xr:uid="{00000000-0005-0000-0000-00002E050000}"/>
    <cellStyle name="Migliaia 20 2" xfId="522" xr:uid="{00000000-0005-0000-0000-00002F050000}"/>
    <cellStyle name="Migliaia 20 2 2" xfId="2290" xr:uid="{00000000-0005-0000-0000-000030050000}"/>
    <cellStyle name="Migliaia 20 2 2 2" xfId="3692" xr:uid="{00000000-0005-0000-0000-000031050000}"/>
    <cellStyle name="Migliaia 20 3" xfId="523" xr:uid="{00000000-0005-0000-0000-000032050000}"/>
    <cellStyle name="Migliaia 20 3 2" xfId="524" xr:uid="{00000000-0005-0000-0000-000033050000}"/>
    <cellStyle name="Migliaia 20 3 2 2" xfId="3693" xr:uid="{00000000-0005-0000-0000-000034050000}"/>
    <cellStyle name="Migliaia 20 3 2 3" xfId="3694" xr:uid="{00000000-0005-0000-0000-000035050000}"/>
    <cellStyle name="Migliaia 20 3 3" xfId="525" xr:uid="{00000000-0005-0000-0000-000036050000}"/>
    <cellStyle name="Migliaia 20 3 3 2" xfId="2291" xr:uid="{00000000-0005-0000-0000-000037050000}"/>
    <cellStyle name="Migliaia 20 3 4" xfId="2292" xr:uid="{00000000-0005-0000-0000-000038050000}"/>
    <cellStyle name="Migliaia 20 4" xfId="526" xr:uid="{00000000-0005-0000-0000-000039050000}"/>
    <cellStyle name="Migliaia 20 4 2" xfId="2293" xr:uid="{00000000-0005-0000-0000-00003A050000}"/>
    <cellStyle name="Migliaia 20 4 2 2" xfId="2294" xr:uid="{00000000-0005-0000-0000-00003B050000}"/>
    <cellStyle name="Migliaia 20 4 2 3" xfId="3695" xr:uid="{00000000-0005-0000-0000-00003C050000}"/>
    <cellStyle name="Migliaia 20 4 3" xfId="2295" xr:uid="{00000000-0005-0000-0000-00003D050000}"/>
    <cellStyle name="Migliaia 20 5" xfId="527" xr:uid="{00000000-0005-0000-0000-00003E050000}"/>
    <cellStyle name="Migliaia 21" xfId="528" xr:uid="{00000000-0005-0000-0000-00003F050000}"/>
    <cellStyle name="Migliaia 21 2" xfId="529" xr:uid="{00000000-0005-0000-0000-000040050000}"/>
    <cellStyle name="Migliaia 21 2 2" xfId="2296" xr:uid="{00000000-0005-0000-0000-000041050000}"/>
    <cellStyle name="Migliaia 21 2 2 2" xfId="3696" xr:uid="{00000000-0005-0000-0000-000042050000}"/>
    <cellStyle name="Migliaia 21 3" xfId="530" xr:uid="{00000000-0005-0000-0000-000043050000}"/>
    <cellStyle name="Migliaia 21 3 2" xfId="531" xr:uid="{00000000-0005-0000-0000-000044050000}"/>
    <cellStyle name="Migliaia 21 3 2 2" xfId="3697" xr:uid="{00000000-0005-0000-0000-000045050000}"/>
    <cellStyle name="Migliaia 21 3 2 3" xfId="3698" xr:uid="{00000000-0005-0000-0000-000046050000}"/>
    <cellStyle name="Migliaia 21 3 3" xfId="532" xr:uid="{00000000-0005-0000-0000-000047050000}"/>
    <cellStyle name="Migliaia 21 3 3 2" xfId="2297" xr:uid="{00000000-0005-0000-0000-000048050000}"/>
    <cellStyle name="Migliaia 21 3 4" xfId="2298" xr:uid="{00000000-0005-0000-0000-000049050000}"/>
    <cellStyle name="Migliaia 21 4" xfId="533" xr:uid="{00000000-0005-0000-0000-00004A050000}"/>
    <cellStyle name="Migliaia 21 4 2" xfId="2299" xr:uid="{00000000-0005-0000-0000-00004B050000}"/>
    <cellStyle name="Migliaia 21 4 2 2" xfId="2300" xr:uid="{00000000-0005-0000-0000-00004C050000}"/>
    <cellStyle name="Migliaia 21 4 2 3" xfId="3699" xr:uid="{00000000-0005-0000-0000-00004D050000}"/>
    <cellStyle name="Migliaia 21 4 3" xfId="2301" xr:uid="{00000000-0005-0000-0000-00004E050000}"/>
    <cellStyle name="Migliaia 21 5" xfId="534" xr:uid="{00000000-0005-0000-0000-00004F050000}"/>
    <cellStyle name="Migliaia 22" xfId="535" xr:uid="{00000000-0005-0000-0000-000050050000}"/>
    <cellStyle name="Migliaia 22 2" xfId="536" xr:uid="{00000000-0005-0000-0000-000051050000}"/>
    <cellStyle name="Migliaia 22 2 2" xfId="2302" xr:uid="{00000000-0005-0000-0000-000052050000}"/>
    <cellStyle name="Migliaia 22 2 2 2" xfId="3700" xr:uid="{00000000-0005-0000-0000-000053050000}"/>
    <cellStyle name="Migliaia 22 3" xfId="537" xr:uid="{00000000-0005-0000-0000-000054050000}"/>
    <cellStyle name="Migliaia 22 3 2" xfId="538" xr:uid="{00000000-0005-0000-0000-000055050000}"/>
    <cellStyle name="Migliaia 22 3 2 2" xfId="3701" xr:uid="{00000000-0005-0000-0000-000056050000}"/>
    <cellStyle name="Migliaia 22 3 2 3" xfId="3702" xr:uid="{00000000-0005-0000-0000-000057050000}"/>
    <cellStyle name="Migliaia 22 3 3" xfId="539" xr:uid="{00000000-0005-0000-0000-000058050000}"/>
    <cellStyle name="Migliaia 22 3 3 2" xfId="2303" xr:uid="{00000000-0005-0000-0000-000059050000}"/>
    <cellStyle name="Migliaia 22 3 4" xfId="2304" xr:uid="{00000000-0005-0000-0000-00005A050000}"/>
    <cellStyle name="Migliaia 22 4" xfId="540" xr:uid="{00000000-0005-0000-0000-00005B050000}"/>
    <cellStyle name="Migliaia 22 4 2" xfId="2305" xr:uid="{00000000-0005-0000-0000-00005C050000}"/>
    <cellStyle name="Migliaia 22 4 2 2" xfId="2306" xr:uid="{00000000-0005-0000-0000-00005D050000}"/>
    <cellStyle name="Migliaia 22 4 2 3" xfId="3703" xr:uid="{00000000-0005-0000-0000-00005E050000}"/>
    <cellStyle name="Migliaia 22 4 3" xfId="2307" xr:uid="{00000000-0005-0000-0000-00005F050000}"/>
    <cellStyle name="Migliaia 22 5" xfId="541" xr:uid="{00000000-0005-0000-0000-000060050000}"/>
    <cellStyle name="Migliaia 23" xfId="542" xr:uid="{00000000-0005-0000-0000-000061050000}"/>
    <cellStyle name="Migliaia 23 2" xfId="543" xr:uid="{00000000-0005-0000-0000-000062050000}"/>
    <cellStyle name="Migliaia 23 2 2" xfId="2308" xr:uid="{00000000-0005-0000-0000-000063050000}"/>
    <cellStyle name="Migliaia 23 2 2 2" xfId="3704" xr:uid="{00000000-0005-0000-0000-000064050000}"/>
    <cellStyle name="Migliaia 23 3" xfId="544" xr:uid="{00000000-0005-0000-0000-000065050000}"/>
    <cellStyle name="Migliaia 23 3 2" xfId="545" xr:uid="{00000000-0005-0000-0000-000066050000}"/>
    <cellStyle name="Migliaia 23 3 2 2" xfId="3705" xr:uid="{00000000-0005-0000-0000-000067050000}"/>
    <cellStyle name="Migliaia 23 3 2 3" xfId="3706" xr:uid="{00000000-0005-0000-0000-000068050000}"/>
    <cellStyle name="Migliaia 23 3 3" xfId="546" xr:uid="{00000000-0005-0000-0000-000069050000}"/>
    <cellStyle name="Migliaia 23 3 3 2" xfId="2309" xr:uid="{00000000-0005-0000-0000-00006A050000}"/>
    <cellStyle name="Migliaia 23 3 4" xfId="2310" xr:uid="{00000000-0005-0000-0000-00006B050000}"/>
    <cellStyle name="Migliaia 23 4" xfId="547" xr:uid="{00000000-0005-0000-0000-00006C050000}"/>
    <cellStyle name="Migliaia 23 4 2" xfId="2311" xr:uid="{00000000-0005-0000-0000-00006D050000}"/>
    <cellStyle name="Migliaia 23 4 2 2" xfId="2312" xr:uid="{00000000-0005-0000-0000-00006E050000}"/>
    <cellStyle name="Migliaia 23 4 2 3" xfId="3707" xr:uid="{00000000-0005-0000-0000-00006F050000}"/>
    <cellStyle name="Migliaia 23 4 3" xfId="2313" xr:uid="{00000000-0005-0000-0000-000070050000}"/>
    <cellStyle name="Migliaia 23 5" xfId="548" xr:uid="{00000000-0005-0000-0000-000071050000}"/>
    <cellStyle name="Migliaia 24" xfId="549" xr:uid="{00000000-0005-0000-0000-000072050000}"/>
    <cellStyle name="Migliaia 24 2" xfId="550" xr:uid="{00000000-0005-0000-0000-000073050000}"/>
    <cellStyle name="Migliaia 24 2 2" xfId="2314" xr:uid="{00000000-0005-0000-0000-000074050000}"/>
    <cellStyle name="Migliaia 24 2 2 2" xfId="3708" xr:uid="{00000000-0005-0000-0000-000075050000}"/>
    <cellStyle name="Migliaia 24 3" xfId="551" xr:uid="{00000000-0005-0000-0000-000076050000}"/>
    <cellStyle name="Migliaia 24 3 2" xfId="552" xr:uid="{00000000-0005-0000-0000-000077050000}"/>
    <cellStyle name="Migliaia 24 3 2 2" xfId="3709" xr:uid="{00000000-0005-0000-0000-000078050000}"/>
    <cellStyle name="Migliaia 24 3 2 3" xfId="3710" xr:uid="{00000000-0005-0000-0000-000079050000}"/>
    <cellStyle name="Migliaia 24 3 3" xfId="553" xr:uid="{00000000-0005-0000-0000-00007A050000}"/>
    <cellStyle name="Migliaia 24 3 3 2" xfId="2315" xr:uid="{00000000-0005-0000-0000-00007B050000}"/>
    <cellStyle name="Migliaia 24 3 4" xfId="2316" xr:uid="{00000000-0005-0000-0000-00007C050000}"/>
    <cellStyle name="Migliaia 24 4" xfId="554" xr:uid="{00000000-0005-0000-0000-00007D050000}"/>
    <cellStyle name="Migliaia 24 4 2" xfId="2317" xr:uid="{00000000-0005-0000-0000-00007E050000}"/>
    <cellStyle name="Migliaia 24 4 2 2" xfId="2318" xr:uid="{00000000-0005-0000-0000-00007F050000}"/>
    <cellStyle name="Migliaia 24 4 2 3" xfId="3711" xr:uid="{00000000-0005-0000-0000-000080050000}"/>
    <cellStyle name="Migliaia 24 4 3" xfId="2319" xr:uid="{00000000-0005-0000-0000-000081050000}"/>
    <cellStyle name="Migliaia 24 5" xfId="555" xr:uid="{00000000-0005-0000-0000-000082050000}"/>
    <cellStyle name="Migliaia 25" xfId="556" xr:uid="{00000000-0005-0000-0000-000083050000}"/>
    <cellStyle name="Migliaia 25 2" xfId="557" xr:uid="{00000000-0005-0000-0000-000084050000}"/>
    <cellStyle name="Migliaia 25 2 2" xfId="2320" xr:uid="{00000000-0005-0000-0000-000085050000}"/>
    <cellStyle name="Migliaia 25 2 2 2" xfId="3712" xr:uid="{00000000-0005-0000-0000-000086050000}"/>
    <cellStyle name="Migliaia 25 3" xfId="558" xr:uid="{00000000-0005-0000-0000-000087050000}"/>
    <cellStyle name="Migliaia 25 3 2" xfId="559" xr:uid="{00000000-0005-0000-0000-000088050000}"/>
    <cellStyle name="Migliaia 25 3 2 2" xfId="3713" xr:uid="{00000000-0005-0000-0000-000089050000}"/>
    <cellStyle name="Migliaia 25 3 2 3" xfId="3714" xr:uid="{00000000-0005-0000-0000-00008A050000}"/>
    <cellStyle name="Migliaia 25 3 3" xfId="560" xr:uid="{00000000-0005-0000-0000-00008B050000}"/>
    <cellStyle name="Migliaia 25 3 3 2" xfId="2321" xr:uid="{00000000-0005-0000-0000-00008C050000}"/>
    <cellStyle name="Migliaia 25 3 4" xfId="2322" xr:uid="{00000000-0005-0000-0000-00008D050000}"/>
    <cellStyle name="Migliaia 25 4" xfId="561" xr:uid="{00000000-0005-0000-0000-00008E050000}"/>
    <cellStyle name="Migliaia 25 4 2" xfId="2323" xr:uid="{00000000-0005-0000-0000-00008F050000}"/>
    <cellStyle name="Migliaia 25 4 2 2" xfId="2324" xr:uid="{00000000-0005-0000-0000-000090050000}"/>
    <cellStyle name="Migliaia 25 4 2 3" xfId="3715" xr:uid="{00000000-0005-0000-0000-000091050000}"/>
    <cellStyle name="Migliaia 25 4 3" xfId="2325" xr:uid="{00000000-0005-0000-0000-000092050000}"/>
    <cellStyle name="Migliaia 25 5" xfId="562" xr:uid="{00000000-0005-0000-0000-000093050000}"/>
    <cellStyle name="Migliaia 26" xfId="563" xr:uid="{00000000-0005-0000-0000-000094050000}"/>
    <cellStyle name="Migliaia 26 2" xfId="564" xr:uid="{00000000-0005-0000-0000-000095050000}"/>
    <cellStyle name="Migliaia 26 2 2" xfId="2326" xr:uid="{00000000-0005-0000-0000-000096050000}"/>
    <cellStyle name="Migliaia 26 2 2 2" xfId="3716" xr:uid="{00000000-0005-0000-0000-000097050000}"/>
    <cellStyle name="Migliaia 26 3" xfId="565" xr:uid="{00000000-0005-0000-0000-000098050000}"/>
    <cellStyle name="Migliaia 26 3 2" xfId="566" xr:uid="{00000000-0005-0000-0000-000099050000}"/>
    <cellStyle name="Migliaia 26 3 2 2" xfId="3717" xr:uid="{00000000-0005-0000-0000-00009A050000}"/>
    <cellStyle name="Migliaia 26 3 2 3" xfId="3718" xr:uid="{00000000-0005-0000-0000-00009B050000}"/>
    <cellStyle name="Migliaia 26 3 3" xfId="567" xr:uid="{00000000-0005-0000-0000-00009C050000}"/>
    <cellStyle name="Migliaia 26 3 3 2" xfId="2327" xr:uid="{00000000-0005-0000-0000-00009D050000}"/>
    <cellStyle name="Migliaia 26 3 4" xfId="2328" xr:uid="{00000000-0005-0000-0000-00009E050000}"/>
    <cellStyle name="Migliaia 26 4" xfId="568" xr:uid="{00000000-0005-0000-0000-00009F050000}"/>
    <cellStyle name="Migliaia 26 4 2" xfId="2329" xr:uid="{00000000-0005-0000-0000-0000A0050000}"/>
    <cellStyle name="Migliaia 26 4 2 2" xfId="2330" xr:uid="{00000000-0005-0000-0000-0000A1050000}"/>
    <cellStyle name="Migliaia 26 4 2 3" xfId="3719" xr:uid="{00000000-0005-0000-0000-0000A2050000}"/>
    <cellStyle name="Migliaia 26 4 3" xfId="2331" xr:uid="{00000000-0005-0000-0000-0000A3050000}"/>
    <cellStyle name="Migliaia 26 5" xfId="569" xr:uid="{00000000-0005-0000-0000-0000A4050000}"/>
    <cellStyle name="Migliaia 27" xfId="570" xr:uid="{00000000-0005-0000-0000-0000A5050000}"/>
    <cellStyle name="Migliaia 27 2" xfId="571" xr:uid="{00000000-0005-0000-0000-0000A6050000}"/>
    <cellStyle name="Migliaia 27 2 2" xfId="2332" xr:uid="{00000000-0005-0000-0000-0000A7050000}"/>
    <cellStyle name="Migliaia 27 2 2 2" xfId="3720" xr:uid="{00000000-0005-0000-0000-0000A8050000}"/>
    <cellStyle name="Migliaia 27 3" xfId="572" xr:uid="{00000000-0005-0000-0000-0000A9050000}"/>
    <cellStyle name="Migliaia 27 3 2" xfId="573" xr:uid="{00000000-0005-0000-0000-0000AA050000}"/>
    <cellStyle name="Migliaia 27 3 2 2" xfId="3721" xr:uid="{00000000-0005-0000-0000-0000AB050000}"/>
    <cellStyle name="Migliaia 27 3 2 3" xfId="3722" xr:uid="{00000000-0005-0000-0000-0000AC050000}"/>
    <cellStyle name="Migliaia 27 3 3" xfId="574" xr:uid="{00000000-0005-0000-0000-0000AD050000}"/>
    <cellStyle name="Migliaia 27 3 3 2" xfId="2333" xr:uid="{00000000-0005-0000-0000-0000AE050000}"/>
    <cellStyle name="Migliaia 27 3 4" xfId="2334" xr:uid="{00000000-0005-0000-0000-0000AF050000}"/>
    <cellStyle name="Migliaia 27 4" xfId="575" xr:uid="{00000000-0005-0000-0000-0000B0050000}"/>
    <cellStyle name="Migliaia 27 4 2" xfId="2335" xr:uid="{00000000-0005-0000-0000-0000B1050000}"/>
    <cellStyle name="Migliaia 27 4 2 2" xfId="2336" xr:uid="{00000000-0005-0000-0000-0000B2050000}"/>
    <cellStyle name="Migliaia 27 4 2 3" xfId="3723" xr:uid="{00000000-0005-0000-0000-0000B3050000}"/>
    <cellStyle name="Migliaia 27 4 3" xfId="2337" xr:uid="{00000000-0005-0000-0000-0000B4050000}"/>
    <cellStyle name="Migliaia 27 5" xfId="576" xr:uid="{00000000-0005-0000-0000-0000B5050000}"/>
    <cellStyle name="Migliaia 28" xfId="577" xr:uid="{00000000-0005-0000-0000-0000B6050000}"/>
    <cellStyle name="Migliaia 28 2" xfId="578" xr:uid="{00000000-0005-0000-0000-0000B7050000}"/>
    <cellStyle name="Migliaia 28 2 2" xfId="2338" xr:uid="{00000000-0005-0000-0000-0000B8050000}"/>
    <cellStyle name="Migliaia 28 2 2 2" xfId="3724" xr:uid="{00000000-0005-0000-0000-0000B9050000}"/>
    <cellStyle name="Migliaia 28 3" xfId="579" xr:uid="{00000000-0005-0000-0000-0000BA050000}"/>
    <cellStyle name="Migliaia 28 3 2" xfId="580" xr:uid="{00000000-0005-0000-0000-0000BB050000}"/>
    <cellStyle name="Migliaia 28 3 2 2" xfId="3725" xr:uid="{00000000-0005-0000-0000-0000BC050000}"/>
    <cellStyle name="Migliaia 28 3 2 3" xfId="3726" xr:uid="{00000000-0005-0000-0000-0000BD050000}"/>
    <cellStyle name="Migliaia 28 3 3" xfId="581" xr:uid="{00000000-0005-0000-0000-0000BE050000}"/>
    <cellStyle name="Migliaia 28 3 3 2" xfId="2339" xr:uid="{00000000-0005-0000-0000-0000BF050000}"/>
    <cellStyle name="Migliaia 28 3 4" xfId="2340" xr:uid="{00000000-0005-0000-0000-0000C0050000}"/>
    <cellStyle name="Migliaia 28 4" xfId="582" xr:uid="{00000000-0005-0000-0000-0000C1050000}"/>
    <cellStyle name="Migliaia 28 4 2" xfId="2341" xr:uid="{00000000-0005-0000-0000-0000C2050000}"/>
    <cellStyle name="Migliaia 28 4 2 2" xfId="2342" xr:uid="{00000000-0005-0000-0000-0000C3050000}"/>
    <cellStyle name="Migliaia 28 4 2 3" xfId="3727" xr:uid="{00000000-0005-0000-0000-0000C4050000}"/>
    <cellStyle name="Migliaia 28 4 3" xfId="2343" xr:uid="{00000000-0005-0000-0000-0000C5050000}"/>
    <cellStyle name="Migliaia 28 5" xfId="583" xr:uid="{00000000-0005-0000-0000-0000C6050000}"/>
    <cellStyle name="Migliaia 29" xfId="584" xr:uid="{00000000-0005-0000-0000-0000C7050000}"/>
    <cellStyle name="Migliaia 29 2" xfId="585" xr:uid="{00000000-0005-0000-0000-0000C8050000}"/>
    <cellStyle name="Migliaia 29 2 2" xfId="2344" xr:uid="{00000000-0005-0000-0000-0000C9050000}"/>
    <cellStyle name="Migliaia 29 2 2 2" xfId="3728" xr:uid="{00000000-0005-0000-0000-0000CA050000}"/>
    <cellStyle name="Migliaia 29 3" xfId="586" xr:uid="{00000000-0005-0000-0000-0000CB050000}"/>
    <cellStyle name="Migliaia 29 3 2" xfId="587" xr:uid="{00000000-0005-0000-0000-0000CC050000}"/>
    <cellStyle name="Migliaia 29 3 2 2" xfId="3729" xr:uid="{00000000-0005-0000-0000-0000CD050000}"/>
    <cellStyle name="Migliaia 29 3 2 3" xfId="3730" xr:uid="{00000000-0005-0000-0000-0000CE050000}"/>
    <cellStyle name="Migliaia 29 3 3" xfId="588" xr:uid="{00000000-0005-0000-0000-0000CF050000}"/>
    <cellStyle name="Migliaia 29 3 3 2" xfId="2345" xr:uid="{00000000-0005-0000-0000-0000D0050000}"/>
    <cellStyle name="Migliaia 29 3 4" xfId="2346" xr:uid="{00000000-0005-0000-0000-0000D1050000}"/>
    <cellStyle name="Migliaia 29 4" xfId="589" xr:uid="{00000000-0005-0000-0000-0000D2050000}"/>
    <cellStyle name="Migliaia 29 4 2" xfId="2347" xr:uid="{00000000-0005-0000-0000-0000D3050000}"/>
    <cellStyle name="Migliaia 29 4 2 2" xfId="2348" xr:uid="{00000000-0005-0000-0000-0000D4050000}"/>
    <cellStyle name="Migliaia 29 4 2 3" xfId="3731" xr:uid="{00000000-0005-0000-0000-0000D5050000}"/>
    <cellStyle name="Migliaia 29 4 3" xfId="2349" xr:uid="{00000000-0005-0000-0000-0000D6050000}"/>
    <cellStyle name="Migliaia 29 5" xfId="590" xr:uid="{00000000-0005-0000-0000-0000D7050000}"/>
    <cellStyle name="Migliaia 3" xfId="591" xr:uid="{00000000-0005-0000-0000-0000D8050000}"/>
    <cellStyle name="Migliaia 3 2" xfId="592" xr:uid="{00000000-0005-0000-0000-0000D9050000}"/>
    <cellStyle name="Migliaia 3 2 2" xfId="2350" xr:uid="{00000000-0005-0000-0000-0000DA050000}"/>
    <cellStyle name="Migliaia 3 2 2 2" xfId="3732" xr:uid="{00000000-0005-0000-0000-0000DB050000}"/>
    <cellStyle name="Migliaia 3 3" xfId="593" xr:uid="{00000000-0005-0000-0000-0000DC050000}"/>
    <cellStyle name="Migliaia 3 3 2" xfId="594" xr:uid="{00000000-0005-0000-0000-0000DD050000}"/>
    <cellStyle name="Migliaia 3 3 2 2" xfId="3733" xr:uid="{00000000-0005-0000-0000-0000DE050000}"/>
    <cellStyle name="Migliaia 3 3 2 3" xfId="3734" xr:uid="{00000000-0005-0000-0000-0000DF050000}"/>
    <cellStyle name="Migliaia 3 3 3" xfId="595" xr:uid="{00000000-0005-0000-0000-0000E0050000}"/>
    <cellStyle name="Migliaia 3 3 3 2" xfId="2351" xr:uid="{00000000-0005-0000-0000-0000E1050000}"/>
    <cellStyle name="Migliaia 3 3 4" xfId="2352" xr:uid="{00000000-0005-0000-0000-0000E2050000}"/>
    <cellStyle name="Migliaia 3 4" xfId="596" xr:uid="{00000000-0005-0000-0000-0000E3050000}"/>
    <cellStyle name="Migliaia 3 4 2" xfId="2353" xr:uid="{00000000-0005-0000-0000-0000E4050000}"/>
    <cellStyle name="Migliaia 3 4 2 2" xfId="2354" xr:uid="{00000000-0005-0000-0000-0000E5050000}"/>
    <cellStyle name="Migliaia 3 4 2 3" xfId="3735" xr:uid="{00000000-0005-0000-0000-0000E6050000}"/>
    <cellStyle name="Migliaia 3 4 3" xfId="2355" xr:uid="{00000000-0005-0000-0000-0000E7050000}"/>
    <cellStyle name="Migliaia 3 5" xfId="597" xr:uid="{00000000-0005-0000-0000-0000E8050000}"/>
    <cellStyle name="Migliaia 30" xfId="598" xr:uid="{00000000-0005-0000-0000-0000E9050000}"/>
    <cellStyle name="Migliaia 30 2" xfId="599" xr:uid="{00000000-0005-0000-0000-0000EA050000}"/>
    <cellStyle name="Migliaia 30 2 2" xfId="2356" xr:uid="{00000000-0005-0000-0000-0000EB050000}"/>
    <cellStyle name="Migliaia 30 2 2 2" xfId="3736" xr:uid="{00000000-0005-0000-0000-0000EC050000}"/>
    <cellStyle name="Migliaia 30 3" xfId="600" xr:uid="{00000000-0005-0000-0000-0000ED050000}"/>
    <cellStyle name="Migliaia 30 3 2" xfId="601" xr:uid="{00000000-0005-0000-0000-0000EE050000}"/>
    <cellStyle name="Migliaia 30 3 2 2" xfId="3737" xr:uid="{00000000-0005-0000-0000-0000EF050000}"/>
    <cellStyle name="Migliaia 30 3 2 3" xfId="3738" xr:uid="{00000000-0005-0000-0000-0000F0050000}"/>
    <cellStyle name="Migliaia 30 3 3" xfId="602" xr:uid="{00000000-0005-0000-0000-0000F1050000}"/>
    <cellStyle name="Migliaia 30 3 3 2" xfId="2357" xr:uid="{00000000-0005-0000-0000-0000F2050000}"/>
    <cellStyle name="Migliaia 30 3 4" xfId="2358" xr:uid="{00000000-0005-0000-0000-0000F3050000}"/>
    <cellStyle name="Migliaia 30 4" xfId="603" xr:uid="{00000000-0005-0000-0000-0000F4050000}"/>
    <cellStyle name="Migliaia 30 4 2" xfId="2359" xr:uid="{00000000-0005-0000-0000-0000F5050000}"/>
    <cellStyle name="Migliaia 30 4 2 2" xfId="2360" xr:uid="{00000000-0005-0000-0000-0000F6050000}"/>
    <cellStyle name="Migliaia 30 4 2 3" xfId="3739" xr:uid="{00000000-0005-0000-0000-0000F7050000}"/>
    <cellStyle name="Migliaia 30 4 3" xfId="2361" xr:uid="{00000000-0005-0000-0000-0000F8050000}"/>
    <cellStyle name="Migliaia 30 5" xfId="604" xr:uid="{00000000-0005-0000-0000-0000F9050000}"/>
    <cellStyle name="Migliaia 31" xfId="605" xr:uid="{00000000-0005-0000-0000-0000FA050000}"/>
    <cellStyle name="Migliaia 31 2" xfId="606" xr:uid="{00000000-0005-0000-0000-0000FB050000}"/>
    <cellStyle name="Migliaia 31 2 2" xfId="2362" xr:uid="{00000000-0005-0000-0000-0000FC050000}"/>
    <cellStyle name="Migliaia 31 2 2 2" xfId="3740" xr:uid="{00000000-0005-0000-0000-0000FD050000}"/>
    <cellStyle name="Migliaia 31 3" xfId="607" xr:uid="{00000000-0005-0000-0000-0000FE050000}"/>
    <cellStyle name="Migliaia 31 3 2" xfId="608" xr:uid="{00000000-0005-0000-0000-0000FF050000}"/>
    <cellStyle name="Migliaia 31 3 2 2" xfId="3741" xr:uid="{00000000-0005-0000-0000-000000060000}"/>
    <cellStyle name="Migliaia 31 3 2 3" xfId="3742" xr:uid="{00000000-0005-0000-0000-000001060000}"/>
    <cellStyle name="Migliaia 31 3 3" xfId="609" xr:uid="{00000000-0005-0000-0000-000002060000}"/>
    <cellStyle name="Migliaia 31 3 3 2" xfId="2363" xr:uid="{00000000-0005-0000-0000-000003060000}"/>
    <cellStyle name="Migliaia 31 3 4" xfId="2364" xr:uid="{00000000-0005-0000-0000-000004060000}"/>
    <cellStyle name="Migliaia 31 4" xfId="610" xr:uid="{00000000-0005-0000-0000-000005060000}"/>
    <cellStyle name="Migliaia 31 4 2" xfId="2365" xr:uid="{00000000-0005-0000-0000-000006060000}"/>
    <cellStyle name="Migliaia 31 4 2 2" xfId="2366" xr:uid="{00000000-0005-0000-0000-000007060000}"/>
    <cellStyle name="Migliaia 31 4 2 3" xfId="3743" xr:uid="{00000000-0005-0000-0000-000008060000}"/>
    <cellStyle name="Migliaia 31 4 3" xfId="2367" xr:uid="{00000000-0005-0000-0000-000009060000}"/>
    <cellStyle name="Migliaia 31 5" xfId="611" xr:uid="{00000000-0005-0000-0000-00000A060000}"/>
    <cellStyle name="Migliaia 32" xfId="612" xr:uid="{00000000-0005-0000-0000-00000B060000}"/>
    <cellStyle name="Migliaia 32 2" xfId="613" xr:uid="{00000000-0005-0000-0000-00000C060000}"/>
    <cellStyle name="Migliaia 32 2 2" xfId="2368" xr:uid="{00000000-0005-0000-0000-00000D060000}"/>
    <cellStyle name="Migliaia 32 2 2 2" xfId="3744" xr:uid="{00000000-0005-0000-0000-00000E060000}"/>
    <cellStyle name="Migliaia 32 3" xfId="614" xr:uid="{00000000-0005-0000-0000-00000F060000}"/>
    <cellStyle name="Migliaia 32 3 2" xfId="615" xr:uid="{00000000-0005-0000-0000-000010060000}"/>
    <cellStyle name="Migliaia 32 3 2 2" xfId="3745" xr:uid="{00000000-0005-0000-0000-000011060000}"/>
    <cellStyle name="Migliaia 32 3 2 3" xfId="3746" xr:uid="{00000000-0005-0000-0000-000012060000}"/>
    <cellStyle name="Migliaia 32 3 3" xfId="616" xr:uid="{00000000-0005-0000-0000-000013060000}"/>
    <cellStyle name="Migliaia 32 3 3 2" xfId="2369" xr:uid="{00000000-0005-0000-0000-000014060000}"/>
    <cellStyle name="Migliaia 32 3 4" xfId="2370" xr:uid="{00000000-0005-0000-0000-000015060000}"/>
    <cellStyle name="Migliaia 32 4" xfId="617" xr:uid="{00000000-0005-0000-0000-000016060000}"/>
    <cellStyle name="Migliaia 32 4 2" xfId="2371" xr:uid="{00000000-0005-0000-0000-000017060000}"/>
    <cellStyle name="Migliaia 32 4 2 2" xfId="2372" xr:uid="{00000000-0005-0000-0000-000018060000}"/>
    <cellStyle name="Migliaia 32 4 2 3" xfId="3747" xr:uid="{00000000-0005-0000-0000-000019060000}"/>
    <cellStyle name="Migliaia 32 4 3" xfId="2373" xr:uid="{00000000-0005-0000-0000-00001A060000}"/>
    <cellStyle name="Migliaia 32 5" xfId="618" xr:uid="{00000000-0005-0000-0000-00001B060000}"/>
    <cellStyle name="Migliaia 33" xfId="619" xr:uid="{00000000-0005-0000-0000-00001C060000}"/>
    <cellStyle name="Migliaia 33 2" xfId="620" xr:uid="{00000000-0005-0000-0000-00001D060000}"/>
    <cellStyle name="Migliaia 33 2 2" xfId="2374" xr:uid="{00000000-0005-0000-0000-00001E060000}"/>
    <cellStyle name="Migliaia 33 2 2 2" xfId="3748" xr:uid="{00000000-0005-0000-0000-00001F060000}"/>
    <cellStyle name="Migliaia 33 3" xfId="621" xr:uid="{00000000-0005-0000-0000-000020060000}"/>
    <cellStyle name="Migliaia 33 3 2" xfId="622" xr:uid="{00000000-0005-0000-0000-000021060000}"/>
    <cellStyle name="Migliaia 33 3 2 2" xfId="3749" xr:uid="{00000000-0005-0000-0000-000022060000}"/>
    <cellStyle name="Migliaia 33 3 2 3" xfId="3750" xr:uid="{00000000-0005-0000-0000-000023060000}"/>
    <cellStyle name="Migliaia 33 3 3" xfId="623" xr:uid="{00000000-0005-0000-0000-000024060000}"/>
    <cellStyle name="Migliaia 33 3 3 2" xfId="2375" xr:uid="{00000000-0005-0000-0000-000025060000}"/>
    <cellStyle name="Migliaia 33 3 4" xfId="2376" xr:uid="{00000000-0005-0000-0000-000026060000}"/>
    <cellStyle name="Migliaia 33 4" xfId="624" xr:uid="{00000000-0005-0000-0000-000027060000}"/>
    <cellStyle name="Migliaia 33 4 2" xfId="2377" xr:uid="{00000000-0005-0000-0000-000028060000}"/>
    <cellStyle name="Migliaia 33 4 2 2" xfId="2378" xr:uid="{00000000-0005-0000-0000-000029060000}"/>
    <cellStyle name="Migliaia 33 4 2 3" xfId="3751" xr:uid="{00000000-0005-0000-0000-00002A060000}"/>
    <cellStyle name="Migliaia 33 4 3" xfId="2379" xr:uid="{00000000-0005-0000-0000-00002B060000}"/>
    <cellStyle name="Migliaia 33 5" xfId="625" xr:uid="{00000000-0005-0000-0000-00002C060000}"/>
    <cellStyle name="Migliaia 34" xfId="626" xr:uid="{00000000-0005-0000-0000-00002D060000}"/>
    <cellStyle name="Migliaia 34 2" xfId="627" xr:uid="{00000000-0005-0000-0000-00002E060000}"/>
    <cellStyle name="Migliaia 34 2 2" xfId="2380" xr:uid="{00000000-0005-0000-0000-00002F060000}"/>
    <cellStyle name="Migliaia 34 2 2 2" xfId="3752" xr:uid="{00000000-0005-0000-0000-000030060000}"/>
    <cellStyle name="Migliaia 34 3" xfId="628" xr:uid="{00000000-0005-0000-0000-000031060000}"/>
    <cellStyle name="Migliaia 34 3 2" xfId="629" xr:uid="{00000000-0005-0000-0000-000032060000}"/>
    <cellStyle name="Migliaia 34 3 2 2" xfId="3753" xr:uid="{00000000-0005-0000-0000-000033060000}"/>
    <cellStyle name="Migliaia 34 3 2 3" xfId="3754" xr:uid="{00000000-0005-0000-0000-000034060000}"/>
    <cellStyle name="Migliaia 34 3 3" xfId="630" xr:uid="{00000000-0005-0000-0000-000035060000}"/>
    <cellStyle name="Migliaia 34 3 3 2" xfId="2381" xr:uid="{00000000-0005-0000-0000-000036060000}"/>
    <cellStyle name="Migliaia 34 3 4" xfId="2382" xr:uid="{00000000-0005-0000-0000-000037060000}"/>
    <cellStyle name="Migliaia 34 4" xfId="631" xr:uid="{00000000-0005-0000-0000-000038060000}"/>
    <cellStyle name="Migliaia 34 4 2" xfId="2383" xr:uid="{00000000-0005-0000-0000-000039060000}"/>
    <cellStyle name="Migliaia 34 4 2 2" xfId="2384" xr:uid="{00000000-0005-0000-0000-00003A060000}"/>
    <cellStyle name="Migliaia 34 4 2 3" xfId="3755" xr:uid="{00000000-0005-0000-0000-00003B060000}"/>
    <cellStyle name="Migliaia 34 4 3" xfId="2385" xr:uid="{00000000-0005-0000-0000-00003C060000}"/>
    <cellStyle name="Migliaia 34 5" xfId="632" xr:uid="{00000000-0005-0000-0000-00003D060000}"/>
    <cellStyle name="Migliaia 35" xfId="633" xr:uid="{00000000-0005-0000-0000-00003E060000}"/>
    <cellStyle name="Migliaia 35 2" xfId="634" xr:uid="{00000000-0005-0000-0000-00003F060000}"/>
    <cellStyle name="Migliaia 35 2 2" xfId="2386" xr:uid="{00000000-0005-0000-0000-000040060000}"/>
    <cellStyle name="Migliaia 35 2 2 2" xfId="3756" xr:uid="{00000000-0005-0000-0000-000041060000}"/>
    <cellStyle name="Migliaia 35 3" xfId="635" xr:uid="{00000000-0005-0000-0000-000042060000}"/>
    <cellStyle name="Migliaia 35 3 2" xfId="636" xr:uid="{00000000-0005-0000-0000-000043060000}"/>
    <cellStyle name="Migliaia 35 3 2 2" xfId="3757" xr:uid="{00000000-0005-0000-0000-000044060000}"/>
    <cellStyle name="Migliaia 35 3 2 3" xfId="3758" xr:uid="{00000000-0005-0000-0000-000045060000}"/>
    <cellStyle name="Migliaia 35 3 3" xfId="637" xr:uid="{00000000-0005-0000-0000-000046060000}"/>
    <cellStyle name="Migliaia 35 3 3 2" xfId="2387" xr:uid="{00000000-0005-0000-0000-000047060000}"/>
    <cellStyle name="Migliaia 35 3 4" xfId="2388" xr:uid="{00000000-0005-0000-0000-000048060000}"/>
    <cellStyle name="Migliaia 35 4" xfId="638" xr:uid="{00000000-0005-0000-0000-000049060000}"/>
    <cellStyle name="Migliaia 35 4 2" xfId="2389" xr:uid="{00000000-0005-0000-0000-00004A060000}"/>
    <cellStyle name="Migliaia 35 4 2 2" xfId="2390" xr:uid="{00000000-0005-0000-0000-00004B060000}"/>
    <cellStyle name="Migliaia 35 4 2 3" xfId="3759" xr:uid="{00000000-0005-0000-0000-00004C060000}"/>
    <cellStyle name="Migliaia 35 4 3" xfId="2391" xr:uid="{00000000-0005-0000-0000-00004D060000}"/>
    <cellStyle name="Migliaia 35 5" xfId="639" xr:uid="{00000000-0005-0000-0000-00004E060000}"/>
    <cellStyle name="Migliaia 36" xfId="640" xr:uid="{00000000-0005-0000-0000-00004F060000}"/>
    <cellStyle name="Migliaia 36 2" xfId="641" xr:uid="{00000000-0005-0000-0000-000050060000}"/>
    <cellStyle name="Migliaia 36 2 2" xfId="2392" xr:uid="{00000000-0005-0000-0000-000051060000}"/>
    <cellStyle name="Migliaia 36 2 2 2" xfId="3760" xr:uid="{00000000-0005-0000-0000-000052060000}"/>
    <cellStyle name="Migliaia 36 3" xfId="642" xr:uid="{00000000-0005-0000-0000-000053060000}"/>
    <cellStyle name="Migliaia 36 3 2" xfId="643" xr:uid="{00000000-0005-0000-0000-000054060000}"/>
    <cellStyle name="Migliaia 36 3 2 2" xfId="3761" xr:uid="{00000000-0005-0000-0000-000055060000}"/>
    <cellStyle name="Migliaia 36 3 2 3" xfId="3762" xr:uid="{00000000-0005-0000-0000-000056060000}"/>
    <cellStyle name="Migliaia 36 3 3" xfId="644" xr:uid="{00000000-0005-0000-0000-000057060000}"/>
    <cellStyle name="Migliaia 36 3 3 2" xfId="2393" xr:uid="{00000000-0005-0000-0000-000058060000}"/>
    <cellStyle name="Migliaia 36 3 4" xfId="2394" xr:uid="{00000000-0005-0000-0000-000059060000}"/>
    <cellStyle name="Migliaia 36 4" xfId="645" xr:uid="{00000000-0005-0000-0000-00005A060000}"/>
    <cellStyle name="Migliaia 36 4 2" xfId="2395" xr:uid="{00000000-0005-0000-0000-00005B060000}"/>
    <cellStyle name="Migliaia 36 4 2 2" xfId="2396" xr:uid="{00000000-0005-0000-0000-00005C060000}"/>
    <cellStyle name="Migliaia 36 4 2 3" xfId="3763" xr:uid="{00000000-0005-0000-0000-00005D060000}"/>
    <cellStyle name="Migliaia 36 4 3" xfId="2397" xr:uid="{00000000-0005-0000-0000-00005E060000}"/>
    <cellStyle name="Migliaia 36 5" xfId="646" xr:uid="{00000000-0005-0000-0000-00005F060000}"/>
    <cellStyle name="Migliaia 37" xfId="647" xr:uid="{00000000-0005-0000-0000-000060060000}"/>
    <cellStyle name="Migliaia 37 2" xfId="648" xr:uid="{00000000-0005-0000-0000-000061060000}"/>
    <cellStyle name="Migliaia 37 2 2" xfId="2398" xr:uid="{00000000-0005-0000-0000-000062060000}"/>
    <cellStyle name="Migliaia 37 2 2 2" xfId="3764" xr:uid="{00000000-0005-0000-0000-000063060000}"/>
    <cellStyle name="Migliaia 37 3" xfId="649" xr:uid="{00000000-0005-0000-0000-000064060000}"/>
    <cellStyle name="Migliaia 37 3 2" xfId="650" xr:uid="{00000000-0005-0000-0000-000065060000}"/>
    <cellStyle name="Migliaia 37 3 2 2" xfId="3765" xr:uid="{00000000-0005-0000-0000-000066060000}"/>
    <cellStyle name="Migliaia 37 3 2 3" xfId="3766" xr:uid="{00000000-0005-0000-0000-000067060000}"/>
    <cellStyle name="Migliaia 37 3 3" xfId="651" xr:uid="{00000000-0005-0000-0000-000068060000}"/>
    <cellStyle name="Migliaia 37 3 3 2" xfId="2399" xr:uid="{00000000-0005-0000-0000-000069060000}"/>
    <cellStyle name="Migliaia 37 3 4" xfId="2400" xr:uid="{00000000-0005-0000-0000-00006A060000}"/>
    <cellStyle name="Migliaia 37 4" xfId="652" xr:uid="{00000000-0005-0000-0000-00006B060000}"/>
    <cellStyle name="Migliaia 37 4 2" xfId="2401" xr:uid="{00000000-0005-0000-0000-00006C060000}"/>
    <cellStyle name="Migliaia 37 4 2 2" xfId="2402" xr:uid="{00000000-0005-0000-0000-00006D060000}"/>
    <cellStyle name="Migliaia 37 4 2 3" xfId="3767" xr:uid="{00000000-0005-0000-0000-00006E060000}"/>
    <cellStyle name="Migliaia 37 4 3" xfId="2403" xr:uid="{00000000-0005-0000-0000-00006F060000}"/>
    <cellStyle name="Migliaia 37 5" xfId="653" xr:uid="{00000000-0005-0000-0000-000070060000}"/>
    <cellStyle name="Migliaia 38" xfId="654" xr:uid="{00000000-0005-0000-0000-000071060000}"/>
    <cellStyle name="Migliaia 38 2" xfId="655" xr:uid="{00000000-0005-0000-0000-000072060000}"/>
    <cellStyle name="Migliaia 38 2 2" xfId="2404" xr:uid="{00000000-0005-0000-0000-000073060000}"/>
    <cellStyle name="Migliaia 38 2 2 2" xfId="3768" xr:uid="{00000000-0005-0000-0000-000074060000}"/>
    <cellStyle name="Migliaia 38 3" xfId="656" xr:uid="{00000000-0005-0000-0000-000075060000}"/>
    <cellStyle name="Migliaia 38 3 2" xfId="657" xr:uid="{00000000-0005-0000-0000-000076060000}"/>
    <cellStyle name="Migliaia 38 3 2 2" xfId="3769" xr:uid="{00000000-0005-0000-0000-000077060000}"/>
    <cellStyle name="Migliaia 38 3 2 3" xfId="3770" xr:uid="{00000000-0005-0000-0000-000078060000}"/>
    <cellStyle name="Migliaia 38 3 3" xfId="658" xr:uid="{00000000-0005-0000-0000-000079060000}"/>
    <cellStyle name="Migliaia 38 3 3 2" xfId="2405" xr:uid="{00000000-0005-0000-0000-00007A060000}"/>
    <cellStyle name="Migliaia 38 3 4" xfId="2406" xr:uid="{00000000-0005-0000-0000-00007B060000}"/>
    <cellStyle name="Migliaia 38 4" xfId="659" xr:uid="{00000000-0005-0000-0000-00007C060000}"/>
    <cellStyle name="Migliaia 38 4 2" xfId="2407" xr:uid="{00000000-0005-0000-0000-00007D060000}"/>
    <cellStyle name="Migliaia 38 4 2 2" xfId="2408" xr:uid="{00000000-0005-0000-0000-00007E060000}"/>
    <cellStyle name="Migliaia 38 4 2 3" xfId="3771" xr:uid="{00000000-0005-0000-0000-00007F060000}"/>
    <cellStyle name="Migliaia 38 4 3" xfId="2409" xr:uid="{00000000-0005-0000-0000-000080060000}"/>
    <cellStyle name="Migliaia 38 5" xfId="660" xr:uid="{00000000-0005-0000-0000-000081060000}"/>
    <cellStyle name="Migliaia 39" xfId="661" xr:uid="{00000000-0005-0000-0000-000082060000}"/>
    <cellStyle name="Migliaia 39 2" xfId="662" xr:uid="{00000000-0005-0000-0000-000083060000}"/>
    <cellStyle name="Migliaia 39 2 2" xfId="2410" xr:uid="{00000000-0005-0000-0000-000084060000}"/>
    <cellStyle name="Migliaia 39 2 2 2" xfId="3772" xr:uid="{00000000-0005-0000-0000-000085060000}"/>
    <cellStyle name="Migliaia 39 3" xfId="663" xr:uid="{00000000-0005-0000-0000-000086060000}"/>
    <cellStyle name="Migliaia 39 3 2" xfId="664" xr:uid="{00000000-0005-0000-0000-000087060000}"/>
    <cellStyle name="Migliaia 39 3 2 2" xfId="3773" xr:uid="{00000000-0005-0000-0000-000088060000}"/>
    <cellStyle name="Migliaia 39 3 2 3" xfId="3774" xr:uid="{00000000-0005-0000-0000-000089060000}"/>
    <cellStyle name="Migliaia 39 3 3" xfId="665" xr:uid="{00000000-0005-0000-0000-00008A060000}"/>
    <cellStyle name="Migliaia 39 3 3 2" xfId="2411" xr:uid="{00000000-0005-0000-0000-00008B060000}"/>
    <cellStyle name="Migliaia 39 3 4" xfId="2412" xr:uid="{00000000-0005-0000-0000-00008C060000}"/>
    <cellStyle name="Migliaia 39 4" xfId="666" xr:uid="{00000000-0005-0000-0000-00008D060000}"/>
    <cellStyle name="Migliaia 39 4 2" xfId="2413" xr:uid="{00000000-0005-0000-0000-00008E060000}"/>
    <cellStyle name="Migliaia 39 4 2 2" xfId="2414" xr:uid="{00000000-0005-0000-0000-00008F060000}"/>
    <cellStyle name="Migliaia 39 4 2 3" xfId="3775" xr:uid="{00000000-0005-0000-0000-000090060000}"/>
    <cellStyle name="Migliaia 39 4 3" xfId="2415" xr:uid="{00000000-0005-0000-0000-000091060000}"/>
    <cellStyle name="Migliaia 39 5" xfId="667" xr:uid="{00000000-0005-0000-0000-000092060000}"/>
    <cellStyle name="Migliaia 4" xfId="668" xr:uid="{00000000-0005-0000-0000-000093060000}"/>
    <cellStyle name="Migliaia 4 2" xfId="669" xr:uid="{00000000-0005-0000-0000-000094060000}"/>
    <cellStyle name="Migliaia 4 2 2" xfId="2416" xr:uid="{00000000-0005-0000-0000-000095060000}"/>
    <cellStyle name="Migliaia 4 2 2 2" xfId="3776" xr:uid="{00000000-0005-0000-0000-000096060000}"/>
    <cellStyle name="Migliaia 4 3" xfId="670" xr:uid="{00000000-0005-0000-0000-000097060000}"/>
    <cellStyle name="Migliaia 4 3 2" xfId="671" xr:uid="{00000000-0005-0000-0000-000098060000}"/>
    <cellStyle name="Migliaia 4 3 2 2" xfId="3777" xr:uid="{00000000-0005-0000-0000-000099060000}"/>
    <cellStyle name="Migliaia 4 3 2 3" xfId="3778" xr:uid="{00000000-0005-0000-0000-00009A060000}"/>
    <cellStyle name="Migliaia 4 3 3" xfId="672" xr:uid="{00000000-0005-0000-0000-00009B060000}"/>
    <cellStyle name="Migliaia 4 3 3 2" xfId="2417" xr:uid="{00000000-0005-0000-0000-00009C060000}"/>
    <cellStyle name="Migliaia 4 3 4" xfId="2418" xr:uid="{00000000-0005-0000-0000-00009D060000}"/>
    <cellStyle name="Migliaia 4 4" xfId="673" xr:uid="{00000000-0005-0000-0000-00009E060000}"/>
    <cellStyle name="Migliaia 4 4 2" xfId="2419" xr:uid="{00000000-0005-0000-0000-00009F060000}"/>
    <cellStyle name="Migliaia 4 4 2 2" xfId="2420" xr:uid="{00000000-0005-0000-0000-0000A0060000}"/>
    <cellStyle name="Migliaia 4 4 2 3" xfId="3779" xr:uid="{00000000-0005-0000-0000-0000A1060000}"/>
    <cellStyle name="Migliaia 4 4 3" xfId="2421" xr:uid="{00000000-0005-0000-0000-0000A2060000}"/>
    <cellStyle name="Migliaia 4 5" xfId="674" xr:uid="{00000000-0005-0000-0000-0000A3060000}"/>
    <cellStyle name="Migliaia 40" xfId="675" xr:uid="{00000000-0005-0000-0000-0000A4060000}"/>
    <cellStyle name="Migliaia 40 2" xfId="676" xr:uid="{00000000-0005-0000-0000-0000A5060000}"/>
    <cellStyle name="Migliaia 40 2 2" xfId="2422" xr:uid="{00000000-0005-0000-0000-0000A6060000}"/>
    <cellStyle name="Migliaia 40 2 2 2" xfId="3780" xr:uid="{00000000-0005-0000-0000-0000A7060000}"/>
    <cellStyle name="Migliaia 40 3" xfId="677" xr:uid="{00000000-0005-0000-0000-0000A8060000}"/>
    <cellStyle name="Migliaia 40 3 2" xfId="678" xr:uid="{00000000-0005-0000-0000-0000A9060000}"/>
    <cellStyle name="Migliaia 40 3 2 2" xfId="3781" xr:uid="{00000000-0005-0000-0000-0000AA060000}"/>
    <cellStyle name="Migliaia 40 3 2 3" xfId="3782" xr:uid="{00000000-0005-0000-0000-0000AB060000}"/>
    <cellStyle name="Migliaia 40 3 3" xfId="679" xr:uid="{00000000-0005-0000-0000-0000AC060000}"/>
    <cellStyle name="Migliaia 40 3 3 2" xfId="2423" xr:uid="{00000000-0005-0000-0000-0000AD060000}"/>
    <cellStyle name="Migliaia 40 3 4" xfId="2424" xr:uid="{00000000-0005-0000-0000-0000AE060000}"/>
    <cellStyle name="Migliaia 40 4" xfId="680" xr:uid="{00000000-0005-0000-0000-0000AF060000}"/>
    <cellStyle name="Migliaia 40 4 2" xfId="2425" xr:uid="{00000000-0005-0000-0000-0000B0060000}"/>
    <cellStyle name="Migliaia 40 4 2 2" xfId="2426" xr:uid="{00000000-0005-0000-0000-0000B1060000}"/>
    <cellStyle name="Migliaia 40 4 2 3" xfId="3783" xr:uid="{00000000-0005-0000-0000-0000B2060000}"/>
    <cellStyle name="Migliaia 40 4 3" xfId="2427" xr:uid="{00000000-0005-0000-0000-0000B3060000}"/>
    <cellStyle name="Migliaia 40 5" xfId="681" xr:uid="{00000000-0005-0000-0000-0000B4060000}"/>
    <cellStyle name="Migliaia 41" xfId="682" xr:uid="{00000000-0005-0000-0000-0000B5060000}"/>
    <cellStyle name="Migliaia 41 2" xfId="683" xr:uid="{00000000-0005-0000-0000-0000B6060000}"/>
    <cellStyle name="Migliaia 41 2 2" xfId="2428" xr:uid="{00000000-0005-0000-0000-0000B7060000}"/>
    <cellStyle name="Migliaia 41 2 2 2" xfId="3784" xr:uid="{00000000-0005-0000-0000-0000B8060000}"/>
    <cellStyle name="Migliaia 41 3" xfId="684" xr:uid="{00000000-0005-0000-0000-0000B9060000}"/>
    <cellStyle name="Migliaia 41 3 2" xfId="685" xr:uid="{00000000-0005-0000-0000-0000BA060000}"/>
    <cellStyle name="Migliaia 41 3 2 2" xfId="3785" xr:uid="{00000000-0005-0000-0000-0000BB060000}"/>
    <cellStyle name="Migliaia 41 3 2 3" xfId="3786" xr:uid="{00000000-0005-0000-0000-0000BC060000}"/>
    <cellStyle name="Migliaia 41 3 3" xfId="686" xr:uid="{00000000-0005-0000-0000-0000BD060000}"/>
    <cellStyle name="Migliaia 41 3 3 2" xfId="2429" xr:uid="{00000000-0005-0000-0000-0000BE060000}"/>
    <cellStyle name="Migliaia 41 3 4" xfId="2430" xr:uid="{00000000-0005-0000-0000-0000BF060000}"/>
    <cellStyle name="Migliaia 41 4" xfId="687" xr:uid="{00000000-0005-0000-0000-0000C0060000}"/>
    <cellStyle name="Migliaia 41 4 2" xfId="2431" xr:uid="{00000000-0005-0000-0000-0000C1060000}"/>
    <cellStyle name="Migliaia 41 4 2 2" xfId="2432" xr:uid="{00000000-0005-0000-0000-0000C2060000}"/>
    <cellStyle name="Migliaia 41 4 2 3" xfId="3787" xr:uid="{00000000-0005-0000-0000-0000C3060000}"/>
    <cellStyle name="Migliaia 41 4 3" xfId="2433" xr:uid="{00000000-0005-0000-0000-0000C4060000}"/>
    <cellStyle name="Migliaia 41 5" xfId="688" xr:uid="{00000000-0005-0000-0000-0000C5060000}"/>
    <cellStyle name="Migliaia 42" xfId="689" xr:uid="{00000000-0005-0000-0000-0000C6060000}"/>
    <cellStyle name="Migliaia 42 2" xfId="690" xr:uid="{00000000-0005-0000-0000-0000C7060000}"/>
    <cellStyle name="Migliaia 42 2 2" xfId="2434" xr:uid="{00000000-0005-0000-0000-0000C8060000}"/>
    <cellStyle name="Migliaia 42 2 2 2" xfId="3788" xr:uid="{00000000-0005-0000-0000-0000C9060000}"/>
    <cellStyle name="Migliaia 42 3" xfId="691" xr:uid="{00000000-0005-0000-0000-0000CA060000}"/>
    <cellStyle name="Migliaia 42 3 2" xfId="692" xr:uid="{00000000-0005-0000-0000-0000CB060000}"/>
    <cellStyle name="Migliaia 42 3 2 2" xfId="3789" xr:uid="{00000000-0005-0000-0000-0000CC060000}"/>
    <cellStyle name="Migliaia 42 3 2 3" xfId="3790" xr:uid="{00000000-0005-0000-0000-0000CD060000}"/>
    <cellStyle name="Migliaia 42 3 3" xfId="693" xr:uid="{00000000-0005-0000-0000-0000CE060000}"/>
    <cellStyle name="Migliaia 42 3 3 2" xfId="2435" xr:uid="{00000000-0005-0000-0000-0000CF060000}"/>
    <cellStyle name="Migliaia 42 3 4" xfId="2436" xr:uid="{00000000-0005-0000-0000-0000D0060000}"/>
    <cellStyle name="Migliaia 42 4" xfId="694" xr:uid="{00000000-0005-0000-0000-0000D1060000}"/>
    <cellStyle name="Migliaia 42 4 2" xfId="2437" xr:uid="{00000000-0005-0000-0000-0000D2060000}"/>
    <cellStyle name="Migliaia 42 4 2 2" xfId="2438" xr:uid="{00000000-0005-0000-0000-0000D3060000}"/>
    <cellStyle name="Migliaia 42 4 2 3" xfId="3791" xr:uid="{00000000-0005-0000-0000-0000D4060000}"/>
    <cellStyle name="Migliaia 42 4 3" xfId="2439" xr:uid="{00000000-0005-0000-0000-0000D5060000}"/>
    <cellStyle name="Migliaia 42 5" xfId="695" xr:uid="{00000000-0005-0000-0000-0000D6060000}"/>
    <cellStyle name="Migliaia 43" xfId="696" xr:uid="{00000000-0005-0000-0000-0000D7060000}"/>
    <cellStyle name="Migliaia 43 2" xfId="697" xr:uid="{00000000-0005-0000-0000-0000D8060000}"/>
    <cellStyle name="Migliaia 43 2 2" xfId="2440" xr:uid="{00000000-0005-0000-0000-0000D9060000}"/>
    <cellStyle name="Migliaia 43 2 2 2" xfId="3792" xr:uid="{00000000-0005-0000-0000-0000DA060000}"/>
    <cellStyle name="Migliaia 43 3" xfId="698" xr:uid="{00000000-0005-0000-0000-0000DB060000}"/>
    <cellStyle name="Migliaia 43 3 2" xfId="699" xr:uid="{00000000-0005-0000-0000-0000DC060000}"/>
    <cellStyle name="Migliaia 43 3 2 2" xfId="3793" xr:uid="{00000000-0005-0000-0000-0000DD060000}"/>
    <cellStyle name="Migliaia 43 3 2 3" xfId="3794" xr:uid="{00000000-0005-0000-0000-0000DE060000}"/>
    <cellStyle name="Migliaia 43 3 3" xfId="700" xr:uid="{00000000-0005-0000-0000-0000DF060000}"/>
    <cellStyle name="Migliaia 43 3 3 2" xfId="2441" xr:uid="{00000000-0005-0000-0000-0000E0060000}"/>
    <cellStyle name="Migliaia 43 3 4" xfId="2442" xr:uid="{00000000-0005-0000-0000-0000E1060000}"/>
    <cellStyle name="Migliaia 43 4" xfId="701" xr:uid="{00000000-0005-0000-0000-0000E2060000}"/>
    <cellStyle name="Migliaia 43 4 2" xfId="2443" xr:uid="{00000000-0005-0000-0000-0000E3060000}"/>
    <cellStyle name="Migliaia 43 4 2 2" xfId="2444" xr:uid="{00000000-0005-0000-0000-0000E4060000}"/>
    <cellStyle name="Migliaia 43 4 2 3" xfId="3795" xr:uid="{00000000-0005-0000-0000-0000E5060000}"/>
    <cellStyle name="Migliaia 43 4 3" xfId="2445" xr:uid="{00000000-0005-0000-0000-0000E6060000}"/>
    <cellStyle name="Migliaia 43 5" xfId="702" xr:uid="{00000000-0005-0000-0000-0000E7060000}"/>
    <cellStyle name="Migliaia 44" xfId="703" xr:uid="{00000000-0005-0000-0000-0000E8060000}"/>
    <cellStyle name="Migliaia 44 2" xfId="704" xr:uid="{00000000-0005-0000-0000-0000E9060000}"/>
    <cellStyle name="Migliaia 44 2 2" xfId="2446" xr:uid="{00000000-0005-0000-0000-0000EA060000}"/>
    <cellStyle name="Migliaia 44 2 2 2" xfId="3796" xr:uid="{00000000-0005-0000-0000-0000EB060000}"/>
    <cellStyle name="Migliaia 44 3" xfId="705" xr:uid="{00000000-0005-0000-0000-0000EC060000}"/>
    <cellStyle name="Migliaia 44 3 2" xfId="706" xr:uid="{00000000-0005-0000-0000-0000ED060000}"/>
    <cellStyle name="Migliaia 44 3 2 2" xfId="3797" xr:uid="{00000000-0005-0000-0000-0000EE060000}"/>
    <cellStyle name="Migliaia 44 3 2 3" xfId="3798" xr:uid="{00000000-0005-0000-0000-0000EF060000}"/>
    <cellStyle name="Migliaia 44 3 3" xfId="707" xr:uid="{00000000-0005-0000-0000-0000F0060000}"/>
    <cellStyle name="Migliaia 44 3 3 2" xfId="2447" xr:uid="{00000000-0005-0000-0000-0000F1060000}"/>
    <cellStyle name="Migliaia 44 3 4" xfId="2448" xr:uid="{00000000-0005-0000-0000-0000F2060000}"/>
    <cellStyle name="Migliaia 44 4" xfId="708" xr:uid="{00000000-0005-0000-0000-0000F3060000}"/>
    <cellStyle name="Migliaia 44 4 2" xfId="2449" xr:uid="{00000000-0005-0000-0000-0000F4060000}"/>
    <cellStyle name="Migliaia 44 4 2 2" xfId="2450" xr:uid="{00000000-0005-0000-0000-0000F5060000}"/>
    <cellStyle name="Migliaia 44 4 2 3" xfId="3799" xr:uid="{00000000-0005-0000-0000-0000F6060000}"/>
    <cellStyle name="Migliaia 44 4 3" xfId="2451" xr:uid="{00000000-0005-0000-0000-0000F7060000}"/>
    <cellStyle name="Migliaia 44 5" xfId="709" xr:uid="{00000000-0005-0000-0000-0000F8060000}"/>
    <cellStyle name="Migliaia 45" xfId="710" xr:uid="{00000000-0005-0000-0000-0000F9060000}"/>
    <cellStyle name="Migliaia 45 2" xfId="711" xr:uid="{00000000-0005-0000-0000-0000FA060000}"/>
    <cellStyle name="Migliaia 45 2 2" xfId="2452" xr:uid="{00000000-0005-0000-0000-0000FB060000}"/>
    <cellStyle name="Migliaia 45 2 2 2" xfId="3800" xr:uid="{00000000-0005-0000-0000-0000FC060000}"/>
    <cellStyle name="Migliaia 45 3" xfId="712" xr:uid="{00000000-0005-0000-0000-0000FD060000}"/>
    <cellStyle name="Migliaia 45 3 2" xfId="713" xr:uid="{00000000-0005-0000-0000-0000FE060000}"/>
    <cellStyle name="Migliaia 45 3 2 2" xfId="3801" xr:uid="{00000000-0005-0000-0000-0000FF060000}"/>
    <cellStyle name="Migliaia 45 3 2 3" xfId="3802" xr:uid="{00000000-0005-0000-0000-000000070000}"/>
    <cellStyle name="Migliaia 45 3 3" xfId="714" xr:uid="{00000000-0005-0000-0000-000001070000}"/>
    <cellStyle name="Migliaia 45 3 3 2" xfId="2453" xr:uid="{00000000-0005-0000-0000-000002070000}"/>
    <cellStyle name="Migliaia 45 3 4" xfId="2454" xr:uid="{00000000-0005-0000-0000-000003070000}"/>
    <cellStyle name="Migliaia 45 4" xfId="715" xr:uid="{00000000-0005-0000-0000-000004070000}"/>
    <cellStyle name="Migliaia 45 4 2" xfId="2455" xr:uid="{00000000-0005-0000-0000-000005070000}"/>
    <cellStyle name="Migliaia 45 4 2 2" xfId="2456" xr:uid="{00000000-0005-0000-0000-000006070000}"/>
    <cellStyle name="Migliaia 45 4 2 3" xfId="3803" xr:uid="{00000000-0005-0000-0000-000007070000}"/>
    <cellStyle name="Migliaia 45 4 3" xfId="2457" xr:uid="{00000000-0005-0000-0000-000008070000}"/>
    <cellStyle name="Migliaia 45 5" xfId="716" xr:uid="{00000000-0005-0000-0000-000009070000}"/>
    <cellStyle name="Migliaia 46" xfId="717" xr:uid="{00000000-0005-0000-0000-00000A070000}"/>
    <cellStyle name="Migliaia 46 2" xfId="718" xr:uid="{00000000-0005-0000-0000-00000B070000}"/>
    <cellStyle name="Migliaia 46 2 2" xfId="2458" xr:uid="{00000000-0005-0000-0000-00000C070000}"/>
    <cellStyle name="Migliaia 46 2 2 2" xfId="3804" xr:uid="{00000000-0005-0000-0000-00000D070000}"/>
    <cellStyle name="Migliaia 46 3" xfId="719" xr:uid="{00000000-0005-0000-0000-00000E070000}"/>
    <cellStyle name="Migliaia 46 3 2" xfId="720" xr:uid="{00000000-0005-0000-0000-00000F070000}"/>
    <cellStyle name="Migliaia 46 3 2 2" xfId="3805" xr:uid="{00000000-0005-0000-0000-000010070000}"/>
    <cellStyle name="Migliaia 46 3 2 3" xfId="3806" xr:uid="{00000000-0005-0000-0000-000011070000}"/>
    <cellStyle name="Migliaia 46 3 3" xfId="721" xr:uid="{00000000-0005-0000-0000-000012070000}"/>
    <cellStyle name="Migliaia 46 3 3 2" xfId="2459" xr:uid="{00000000-0005-0000-0000-000013070000}"/>
    <cellStyle name="Migliaia 46 3 4" xfId="2460" xr:uid="{00000000-0005-0000-0000-000014070000}"/>
    <cellStyle name="Migliaia 46 4" xfId="722" xr:uid="{00000000-0005-0000-0000-000015070000}"/>
    <cellStyle name="Migliaia 46 4 2" xfId="2461" xr:uid="{00000000-0005-0000-0000-000016070000}"/>
    <cellStyle name="Migliaia 46 4 2 2" xfId="2462" xr:uid="{00000000-0005-0000-0000-000017070000}"/>
    <cellStyle name="Migliaia 46 4 2 3" xfId="3807" xr:uid="{00000000-0005-0000-0000-000018070000}"/>
    <cellStyle name="Migliaia 46 4 3" xfId="2463" xr:uid="{00000000-0005-0000-0000-000019070000}"/>
    <cellStyle name="Migliaia 46 5" xfId="723" xr:uid="{00000000-0005-0000-0000-00001A070000}"/>
    <cellStyle name="Migliaia 47" xfId="724" xr:uid="{00000000-0005-0000-0000-00001B070000}"/>
    <cellStyle name="Migliaia 47 2" xfId="725" xr:uid="{00000000-0005-0000-0000-00001C070000}"/>
    <cellStyle name="Migliaia 47 2 2" xfId="2464" xr:uid="{00000000-0005-0000-0000-00001D070000}"/>
    <cellStyle name="Migliaia 47 2 2 2" xfId="3808" xr:uid="{00000000-0005-0000-0000-00001E070000}"/>
    <cellStyle name="Migliaia 47 3" xfId="726" xr:uid="{00000000-0005-0000-0000-00001F070000}"/>
    <cellStyle name="Migliaia 47 3 2" xfId="727" xr:uid="{00000000-0005-0000-0000-000020070000}"/>
    <cellStyle name="Migliaia 47 3 2 2" xfId="3809" xr:uid="{00000000-0005-0000-0000-000021070000}"/>
    <cellStyle name="Migliaia 47 3 2 3" xfId="3810" xr:uid="{00000000-0005-0000-0000-000022070000}"/>
    <cellStyle name="Migliaia 47 3 3" xfId="728" xr:uid="{00000000-0005-0000-0000-000023070000}"/>
    <cellStyle name="Migliaia 47 3 3 2" xfId="2465" xr:uid="{00000000-0005-0000-0000-000024070000}"/>
    <cellStyle name="Migliaia 47 3 4" xfId="2466" xr:uid="{00000000-0005-0000-0000-000025070000}"/>
    <cellStyle name="Migliaia 47 4" xfId="729" xr:uid="{00000000-0005-0000-0000-000026070000}"/>
    <cellStyle name="Migliaia 47 4 2" xfId="2467" xr:uid="{00000000-0005-0000-0000-000027070000}"/>
    <cellStyle name="Migliaia 47 4 2 2" xfId="2468" xr:uid="{00000000-0005-0000-0000-000028070000}"/>
    <cellStyle name="Migliaia 47 4 2 3" xfId="3811" xr:uid="{00000000-0005-0000-0000-000029070000}"/>
    <cellStyle name="Migliaia 47 4 3" xfId="2469" xr:uid="{00000000-0005-0000-0000-00002A070000}"/>
    <cellStyle name="Migliaia 47 5" xfId="730" xr:uid="{00000000-0005-0000-0000-00002B070000}"/>
    <cellStyle name="Migliaia 48" xfId="731" xr:uid="{00000000-0005-0000-0000-00002C070000}"/>
    <cellStyle name="Migliaia 48 2" xfId="732" xr:uid="{00000000-0005-0000-0000-00002D070000}"/>
    <cellStyle name="Migliaia 48 2 2" xfId="2470" xr:uid="{00000000-0005-0000-0000-00002E070000}"/>
    <cellStyle name="Migliaia 48 2 2 2" xfId="3812" xr:uid="{00000000-0005-0000-0000-00002F070000}"/>
    <cellStyle name="Migliaia 48 3" xfId="733" xr:uid="{00000000-0005-0000-0000-000030070000}"/>
    <cellStyle name="Migliaia 48 3 2" xfId="734" xr:uid="{00000000-0005-0000-0000-000031070000}"/>
    <cellStyle name="Migliaia 48 3 2 2" xfId="3813" xr:uid="{00000000-0005-0000-0000-000032070000}"/>
    <cellStyle name="Migliaia 48 3 2 3" xfId="3814" xr:uid="{00000000-0005-0000-0000-000033070000}"/>
    <cellStyle name="Migliaia 48 3 3" xfId="735" xr:uid="{00000000-0005-0000-0000-000034070000}"/>
    <cellStyle name="Migliaia 48 3 3 2" xfId="2471" xr:uid="{00000000-0005-0000-0000-000035070000}"/>
    <cellStyle name="Migliaia 48 3 4" xfId="2472" xr:uid="{00000000-0005-0000-0000-000036070000}"/>
    <cellStyle name="Migliaia 48 4" xfId="736" xr:uid="{00000000-0005-0000-0000-000037070000}"/>
    <cellStyle name="Migliaia 48 4 2" xfId="2473" xr:uid="{00000000-0005-0000-0000-000038070000}"/>
    <cellStyle name="Migliaia 48 4 2 2" xfId="2474" xr:uid="{00000000-0005-0000-0000-000039070000}"/>
    <cellStyle name="Migliaia 48 4 2 3" xfId="3815" xr:uid="{00000000-0005-0000-0000-00003A070000}"/>
    <cellStyle name="Migliaia 48 4 3" xfId="2475" xr:uid="{00000000-0005-0000-0000-00003B070000}"/>
    <cellStyle name="Migliaia 48 5" xfId="737" xr:uid="{00000000-0005-0000-0000-00003C070000}"/>
    <cellStyle name="Migliaia 49" xfId="738" xr:uid="{00000000-0005-0000-0000-00003D070000}"/>
    <cellStyle name="Migliaia 49 2" xfId="739" xr:uid="{00000000-0005-0000-0000-00003E070000}"/>
    <cellStyle name="Migliaia 49 2 2" xfId="2476" xr:uid="{00000000-0005-0000-0000-00003F070000}"/>
    <cellStyle name="Migliaia 49 2 2 2" xfId="3816" xr:uid="{00000000-0005-0000-0000-000040070000}"/>
    <cellStyle name="Migliaia 49 3" xfId="740" xr:uid="{00000000-0005-0000-0000-000041070000}"/>
    <cellStyle name="Migliaia 49 3 2" xfId="741" xr:uid="{00000000-0005-0000-0000-000042070000}"/>
    <cellStyle name="Migliaia 49 3 2 2" xfId="3817" xr:uid="{00000000-0005-0000-0000-000043070000}"/>
    <cellStyle name="Migliaia 49 3 2 3" xfId="3818" xr:uid="{00000000-0005-0000-0000-000044070000}"/>
    <cellStyle name="Migliaia 49 3 3" xfId="742" xr:uid="{00000000-0005-0000-0000-000045070000}"/>
    <cellStyle name="Migliaia 49 3 3 2" xfId="2477" xr:uid="{00000000-0005-0000-0000-000046070000}"/>
    <cellStyle name="Migliaia 49 3 4" xfId="2478" xr:uid="{00000000-0005-0000-0000-000047070000}"/>
    <cellStyle name="Migliaia 49 4" xfId="743" xr:uid="{00000000-0005-0000-0000-000048070000}"/>
    <cellStyle name="Migliaia 49 4 2" xfId="2479" xr:uid="{00000000-0005-0000-0000-000049070000}"/>
    <cellStyle name="Migliaia 49 4 2 2" xfId="2480" xr:uid="{00000000-0005-0000-0000-00004A070000}"/>
    <cellStyle name="Migliaia 49 4 2 3" xfId="3819" xr:uid="{00000000-0005-0000-0000-00004B070000}"/>
    <cellStyle name="Migliaia 49 4 3" xfId="2481" xr:uid="{00000000-0005-0000-0000-00004C070000}"/>
    <cellStyle name="Migliaia 49 5" xfId="744" xr:uid="{00000000-0005-0000-0000-00004D070000}"/>
    <cellStyle name="Migliaia 5" xfId="745" xr:uid="{00000000-0005-0000-0000-00004E070000}"/>
    <cellStyle name="Migliaia 5 2" xfId="746" xr:uid="{00000000-0005-0000-0000-00004F070000}"/>
    <cellStyle name="Migliaia 5 2 2" xfId="2482" xr:uid="{00000000-0005-0000-0000-000050070000}"/>
    <cellStyle name="Migliaia 5 2 2 2" xfId="3820" xr:uid="{00000000-0005-0000-0000-000051070000}"/>
    <cellStyle name="Migliaia 5 3" xfId="747" xr:uid="{00000000-0005-0000-0000-000052070000}"/>
    <cellStyle name="Migliaia 5 3 2" xfId="748" xr:uid="{00000000-0005-0000-0000-000053070000}"/>
    <cellStyle name="Migliaia 5 3 2 2" xfId="3821" xr:uid="{00000000-0005-0000-0000-000054070000}"/>
    <cellStyle name="Migliaia 5 3 2 3" xfId="3822" xr:uid="{00000000-0005-0000-0000-000055070000}"/>
    <cellStyle name="Migliaia 5 3 3" xfId="749" xr:uid="{00000000-0005-0000-0000-000056070000}"/>
    <cellStyle name="Migliaia 5 3 3 2" xfId="2483" xr:uid="{00000000-0005-0000-0000-000057070000}"/>
    <cellStyle name="Migliaia 5 3 4" xfId="2484" xr:uid="{00000000-0005-0000-0000-000058070000}"/>
    <cellStyle name="Migliaia 5 4" xfId="750" xr:uid="{00000000-0005-0000-0000-000059070000}"/>
    <cellStyle name="Migliaia 5 4 2" xfId="2485" xr:uid="{00000000-0005-0000-0000-00005A070000}"/>
    <cellStyle name="Migliaia 5 4 2 2" xfId="2486" xr:uid="{00000000-0005-0000-0000-00005B070000}"/>
    <cellStyle name="Migliaia 5 4 2 3" xfId="3823" xr:uid="{00000000-0005-0000-0000-00005C070000}"/>
    <cellStyle name="Migliaia 5 4 3" xfId="2487" xr:uid="{00000000-0005-0000-0000-00005D070000}"/>
    <cellStyle name="Migliaia 5 5" xfId="751" xr:uid="{00000000-0005-0000-0000-00005E070000}"/>
    <cellStyle name="Migliaia 50" xfId="752" xr:uid="{00000000-0005-0000-0000-00005F070000}"/>
    <cellStyle name="Migliaia 50 2" xfId="753" xr:uid="{00000000-0005-0000-0000-000060070000}"/>
    <cellStyle name="Migliaia 50 2 2" xfId="2488" xr:uid="{00000000-0005-0000-0000-000061070000}"/>
    <cellStyle name="Migliaia 50 2 2 2" xfId="3824" xr:uid="{00000000-0005-0000-0000-000062070000}"/>
    <cellStyle name="Migliaia 50 3" xfId="754" xr:uid="{00000000-0005-0000-0000-000063070000}"/>
    <cellStyle name="Migliaia 50 3 2" xfId="755" xr:uid="{00000000-0005-0000-0000-000064070000}"/>
    <cellStyle name="Migliaia 50 3 2 2" xfId="3825" xr:uid="{00000000-0005-0000-0000-000065070000}"/>
    <cellStyle name="Migliaia 50 3 2 3" xfId="3826" xr:uid="{00000000-0005-0000-0000-000066070000}"/>
    <cellStyle name="Migliaia 50 3 3" xfId="756" xr:uid="{00000000-0005-0000-0000-000067070000}"/>
    <cellStyle name="Migliaia 50 3 3 2" xfId="2489" xr:uid="{00000000-0005-0000-0000-000068070000}"/>
    <cellStyle name="Migliaia 50 3 4" xfId="2490" xr:uid="{00000000-0005-0000-0000-000069070000}"/>
    <cellStyle name="Migliaia 50 4" xfId="757" xr:uid="{00000000-0005-0000-0000-00006A070000}"/>
    <cellStyle name="Migliaia 50 4 2" xfId="2491" xr:uid="{00000000-0005-0000-0000-00006B070000}"/>
    <cellStyle name="Migliaia 50 4 2 2" xfId="2492" xr:uid="{00000000-0005-0000-0000-00006C070000}"/>
    <cellStyle name="Migliaia 50 4 2 3" xfId="3827" xr:uid="{00000000-0005-0000-0000-00006D070000}"/>
    <cellStyle name="Migliaia 50 4 3" xfId="2493" xr:uid="{00000000-0005-0000-0000-00006E070000}"/>
    <cellStyle name="Migliaia 50 5" xfId="758" xr:uid="{00000000-0005-0000-0000-00006F070000}"/>
    <cellStyle name="Migliaia 51" xfId="759" xr:uid="{00000000-0005-0000-0000-000070070000}"/>
    <cellStyle name="Migliaia 51 2" xfId="760" xr:uid="{00000000-0005-0000-0000-000071070000}"/>
    <cellStyle name="Migliaia 51 2 2" xfId="2494" xr:uid="{00000000-0005-0000-0000-000072070000}"/>
    <cellStyle name="Migliaia 51 2 2 2" xfId="3828" xr:uid="{00000000-0005-0000-0000-000073070000}"/>
    <cellStyle name="Migliaia 51 3" xfId="761" xr:uid="{00000000-0005-0000-0000-000074070000}"/>
    <cellStyle name="Migliaia 51 3 2" xfId="762" xr:uid="{00000000-0005-0000-0000-000075070000}"/>
    <cellStyle name="Migliaia 51 3 2 2" xfId="3829" xr:uid="{00000000-0005-0000-0000-000076070000}"/>
    <cellStyle name="Migliaia 51 3 2 3" xfId="3830" xr:uid="{00000000-0005-0000-0000-000077070000}"/>
    <cellStyle name="Migliaia 51 3 3" xfId="763" xr:uid="{00000000-0005-0000-0000-000078070000}"/>
    <cellStyle name="Migliaia 51 3 3 2" xfId="2495" xr:uid="{00000000-0005-0000-0000-000079070000}"/>
    <cellStyle name="Migliaia 51 3 4" xfId="2496" xr:uid="{00000000-0005-0000-0000-00007A070000}"/>
    <cellStyle name="Migliaia 51 4" xfId="764" xr:uid="{00000000-0005-0000-0000-00007B070000}"/>
    <cellStyle name="Migliaia 51 4 2" xfId="2497" xr:uid="{00000000-0005-0000-0000-00007C070000}"/>
    <cellStyle name="Migliaia 51 4 2 2" xfId="2498" xr:uid="{00000000-0005-0000-0000-00007D070000}"/>
    <cellStyle name="Migliaia 51 4 2 3" xfId="3831" xr:uid="{00000000-0005-0000-0000-00007E070000}"/>
    <cellStyle name="Migliaia 51 4 3" xfId="2499" xr:uid="{00000000-0005-0000-0000-00007F070000}"/>
    <cellStyle name="Migliaia 51 5" xfId="765" xr:uid="{00000000-0005-0000-0000-000080070000}"/>
    <cellStyle name="Migliaia 52" xfId="766" xr:uid="{00000000-0005-0000-0000-000081070000}"/>
    <cellStyle name="Migliaia 52 2" xfId="767" xr:uid="{00000000-0005-0000-0000-000082070000}"/>
    <cellStyle name="Migliaia 52 2 2" xfId="2500" xr:uid="{00000000-0005-0000-0000-000083070000}"/>
    <cellStyle name="Migliaia 52 2 2 2" xfId="3832" xr:uid="{00000000-0005-0000-0000-000084070000}"/>
    <cellStyle name="Migliaia 52 3" xfId="768" xr:uid="{00000000-0005-0000-0000-000085070000}"/>
    <cellStyle name="Migliaia 52 3 2" xfId="769" xr:uid="{00000000-0005-0000-0000-000086070000}"/>
    <cellStyle name="Migliaia 52 3 2 2" xfId="3833" xr:uid="{00000000-0005-0000-0000-000087070000}"/>
    <cellStyle name="Migliaia 52 3 2 3" xfId="3834" xr:uid="{00000000-0005-0000-0000-000088070000}"/>
    <cellStyle name="Migliaia 52 3 3" xfId="770" xr:uid="{00000000-0005-0000-0000-000089070000}"/>
    <cellStyle name="Migliaia 52 3 3 2" xfId="2501" xr:uid="{00000000-0005-0000-0000-00008A070000}"/>
    <cellStyle name="Migliaia 52 3 4" xfId="2502" xr:uid="{00000000-0005-0000-0000-00008B070000}"/>
    <cellStyle name="Migliaia 52 4" xfId="771" xr:uid="{00000000-0005-0000-0000-00008C070000}"/>
    <cellStyle name="Migliaia 52 4 2" xfId="2503" xr:uid="{00000000-0005-0000-0000-00008D070000}"/>
    <cellStyle name="Migliaia 52 4 2 2" xfId="2504" xr:uid="{00000000-0005-0000-0000-00008E070000}"/>
    <cellStyle name="Migliaia 52 4 2 3" xfId="3835" xr:uid="{00000000-0005-0000-0000-00008F070000}"/>
    <cellStyle name="Migliaia 52 4 3" xfId="2505" xr:uid="{00000000-0005-0000-0000-000090070000}"/>
    <cellStyle name="Migliaia 52 5" xfId="772" xr:uid="{00000000-0005-0000-0000-000091070000}"/>
    <cellStyle name="Migliaia 53" xfId="773" xr:uid="{00000000-0005-0000-0000-000092070000}"/>
    <cellStyle name="Migliaia 53 2" xfId="774" xr:uid="{00000000-0005-0000-0000-000093070000}"/>
    <cellStyle name="Migliaia 53 2 2" xfId="2506" xr:uid="{00000000-0005-0000-0000-000094070000}"/>
    <cellStyle name="Migliaia 53 2 2 2" xfId="3836" xr:uid="{00000000-0005-0000-0000-000095070000}"/>
    <cellStyle name="Migliaia 53 3" xfId="775" xr:uid="{00000000-0005-0000-0000-000096070000}"/>
    <cellStyle name="Migliaia 53 3 2" xfId="776" xr:uid="{00000000-0005-0000-0000-000097070000}"/>
    <cellStyle name="Migliaia 53 3 2 2" xfId="3837" xr:uid="{00000000-0005-0000-0000-000098070000}"/>
    <cellStyle name="Migliaia 53 3 2 3" xfId="3838" xr:uid="{00000000-0005-0000-0000-000099070000}"/>
    <cellStyle name="Migliaia 53 3 3" xfId="777" xr:uid="{00000000-0005-0000-0000-00009A070000}"/>
    <cellStyle name="Migliaia 53 3 3 2" xfId="2507" xr:uid="{00000000-0005-0000-0000-00009B070000}"/>
    <cellStyle name="Migliaia 53 3 4" xfId="2508" xr:uid="{00000000-0005-0000-0000-00009C070000}"/>
    <cellStyle name="Migliaia 53 4" xfId="778" xr:uid="{00000000-0005-0000-0000-00009D070000}"/>
    <cellStyle name="Migliaia 53 4 2" xfId="2509" xr:uid="{00000000-0005-0000-0000-00009E070000}"/>
    <cellStyle name="Migliaia 53 4 2 2" xfId="2510" xr:uid="{00000000-0005-0000-0000-00009F070000}"/>
    <cellStyle name="Migliaia 53 4 2 3" xfId="3839" xr:uid="{00000000-0005-0000-0000-0000A0070000}"/>
    <cellStyle name="Migliaia 53 4 3" xfId="2511" xr:uid="{00000000-0005-0000-0000-0000A1070000}"/>
    <cellStyle name="Migliaia 53 5" xfId="779" xr:uid="{00000000-0005-0000-0000-0000A2070000}"/>
    <cellStyle name="Migliaia 54" xfId="780" xr:uid="{00000000-0005-0000-0000-0000A3070000}"/>
    <cellStyle name="Migliaia 54 2" xfId="781" xr:uid="{00000000-0005-0000-0000-0000A4070000}"/>
    <cellStyle name="Migliaia 54 2 2" xfId="2512" xr:uid="{00000000-0005-0000-0000-0000A5070000}"/>
    <cellStyle name="Migliaia 54 2 2 2" xfId="3840" xr:uid="{00000000-0005-0000-0000-0000A6070000}"/>
    <cellStyle name="Migliaia 54 3" xfId="782" xr:uid="{00000000-0005-0000-0000-0000A7070000}"/>
    <cellStyle name="Migliaia 54 3 2" xfId="783" xr:uid="{00000000-0005-0000-0000-0000A8070000}"/>
    <cellStyle name="Migliaia 54 3 2 2" xfId="3841" xr:uid="{00000000-0005-0000-0000-0000A9070000}"/>
    <cellStyle name="Migliaia 54 3 2 3" xfId="3842" xr:uid="{00000000-0005-0000-0000-0000AA070000}"/>
    <cellStyle name="Migliaia 54 3 3" xfId="784" xr:uid="{00000000-0005-0000-0000-0000AB070000}"/>
    <cellStyle name="Migliaia 54 3 3 2" xfId="2513" xr:uid="{00000000-0005-0000-0000-0000AC070000}"/>
    <cellStyle name="Migliaia 54 3 4" xfId="2514" xr:uid="{00000000-0005-0000-0000-0000AD070000}"/>
    <cellStyle name="Migliaia 54 4" xfId="785" xr:uid="{00000000-0005-0000-0000-0000AE070000}"/>
    <cellStyle name="Migliaia 54 4 2" xfId="2515" xr:uid="{00000000-0005-0000-0000-0000AF070000}"/>
    <cellStyle name="Migliaia 54 4 2 2" xfId="2516" xr:uid="{00000000-0005-0000-0000-0000B0070000}"/>
    <cellStyle name="Migliaia 54 4 2 3" xfId="3843" xr:uid="{00000000-0005-0000-0000-0000B1070000}"/>
    <cellStyle name="Migliaia 54 4 3" xfId="2517" xr:uid="{00000000-0005-0000-0000-0000B2070000}"/>
    <cellStyle name="Migliaia 54 5" xfId="786" xr:uid="{00000000-0005-0000-0000-0000B3070000}"/>
    <cellStyle name="Migliaia 55" xfId="787" xr:uid="{00000000-0005-0000-0000-0000B4070000}"/>
    <cellStyle name="Migliaia 55 2" xfId="788" xr:uid="{00000000-0005-0000-0000-0000B5070000}"/>
    <cellStyle name="Migliaia 55 2 2" xfId="2518" xr:uid="{00000000-0005-0000-0000-0000B6070000}"/>
    <cellStyle name="Migliaia 55 2 2 2" xfId="3844" xr:uid="{00000000-0005-0000-0000-0000B7070000}"/>
    <cellStyle name="Migliaia 55 3" xfId="789" xr:uid="{00000000-0005-0000-0000-0000B8070000}"/>
    <cellStyle name="Migliaia 55 3 2" xfId="790" xr:uid="{00000000-0005-0000-0000-0000B9070000}"/>
    <cellStyle name="Migliaia 55 3 2 2" xfId="3845" xr:uid="{00000000-0005-0000-0000-0000BA070000}"/>
    <cellStyle name="Migliaia 55 3 2 3" xfId="3846" xr:uid="{00000000-0005-0000-0000-0000BB070000}"/>
    <cellStyle name="Migliaia 55 3 3" xfId="791" xr:uid="{00000000-0005-0000-0000-0000BC070000}"/>
    <cellStyle name="Migliaia 55 3 3 2" xfId="2519" xr:uid="{00000000-0005-0000-0000-0000BD070000}"/>
    <cellStyle name="Migliaia 55 3 4" xfId="2520" xr:uid="{00000000-0005-0000-0000-0000BE070000}"/>
    <cellStyle name="Migliaia 55 4" xfId="792" xr:uid="{00000000-0005-0000-0000-0000BF070000}"/>
    <cellStyle name="Migliaia 55 4 2" xfId="2521" xr:uid="{00000000-0005-0000-0000-0000C0070000}"/>
    <cellStyle name="Migliaia 55 4 2 2" xfId="2522" xr:uid="{00000000-0005-0000-0000-0000C1070000}"/>
    <cellStyle name="Migliaia 55 4 2 3" xfId="3847" xr:uid="{00000000-0005-0000-0000-0000C2070000}"/>
    <cellStyle name="Migliaia 55 4 3" xfId="2523" xr:uid="{00000000-0005-0000-0000-0000C3070000}"/>
    <cellStyle name="Migliaia 55 5" xfId="793" xr:uid="{00000000-0005-0000-0000-0000C4070000}"/>
    <cellStyle name="Migliaia 56" xfId="794" xr:uid="{00000000-0005-0000-0000-0000C5070000}"/>
    <cellStyle name="Migliaia 56 2" xfId="795" xr:uid="{00000000-0005-0000-0000-0000C6070000}"/>
    <cellStyle name="Migliaia 56 2 2" xfId="2524" xr:uid="{00000000-0005-0000-0000-0000C7070000}"/>
    <cellStyle name="Migliaia 56 2 2 2" xfId="3848" xr:uid="{00000000-0005-0000-0000-0000C8070000}"/>
    <cellStyle name="Migliaia 56 3" xfId="796" xr:uid="{00000000-0005-0000-0000-0000C9070000}"/>
    <cellStyle name="Migliaia 56 3 2" xfId="797" xr:uid="{00000000-0005-0000-0000-0000CA070000}"/>
    <cellStyle name="Migliaia 56 3 2 2" xfId="3849" xr:uid="{00000000-0005-0000-0000-0000CB070000}"/>
    <cellStyle name="Migliaia 56 3 2 3" xfId="3850" xr:uid="{00000000-0005-0000-0000-0000CC070000}"/>
    <cellStyle name="Migliaia 56 3 3" xfId="798" xr:uid="{00000000-0005-0000-0000-0000CD070000}"/>
    <cellStyle name="Migliaia 56 3 3 2" xfId="2525" xr:uid="{00000000-0005-0000-0000-0000CE070000}"/>
    <cellStyle name="Migliaia 56 3 4" xfId="2526" xr:uid="{00000000-0005-0000-0000-0000CF070000}"/>
    <cellStyle name="Migliaia 56 4" xfId="799" xr:uid="{00000000-0005-0000-0000-0000D0070000}"/>
    <cellStyle name="Migliaia 56 4 2" xfId="2527" xr:uid="{00000000-0005-0000-0000-0000D1070000}"/>
    <cellStyle name="Migliaia 56 4 2 2" xfId="2528" xr:uid="{00000000-0005-0000-0000-0000D2070000}"/>
    <cellStyle name="Migliaia 56 4 2 3" xfId="3851" xr:uid="{00000000-0005-0000-0000-0000D3070000}"/>
    <cellStyle name="Migliaia 56 4 3" xfId="2529" xr:uid="{00000000-0005-0000-0000-0000D4070000}"/>
    <cellStyle name="Migliaia 56 5" xfId="800" xr:uid="{00000000-0005-0000-0000-0000D5070000}"/>
    <cellStyle name="Migliaia 57" xfId="801" xr:uid="{00000000-0005-0000-0000-0000D6070000}"/>
    <cellStyle name="Migliaia 57 2" xfId="802" xr:uid="{00000000-0005-0000-0000-0000D7070000}"/>
    <cellStyle name="Migliaia 57 2 2" xfId="2530" xr:uid="{00000000-0005-0000-0000-0000D8070000}"/>
    <cellStyle name="Migliaia 57 2 2 2" xfId="3852" xr:uid="{00000000-0005-0000-0000-0000D9070000}"/>
    <cellStyle name="Migliaia 57 3" xfId="803" xr:uid="{00000000-0005-0000-0000-0000DA070000}"/>
    <cellStyle name="Migliaia 57 3 2" xfId="804" xr:uid="{00000000-0005-0000-0000-0000DB070000}"/>
    <cellStyle name="Migliaia 57 3 2 2" xfId="3853" xr:uid="{00000000-0005-0000-0000-0000DC070000}"/>
    <cellStyle name="Migliaia 57 3 2 3" xfId="3854" xr:uid="{00000000-0005-0000-0000-0000DD070000}"/>
    <cellStyle name="Migliaia 57 3 3" xfId="805" xr:uid="{00000000-0005-0000-0000-0000DE070000}"/>
    <cellStyle name="Migliaia 57 3 3 2" xfId="2531" xr:uid="{00000000-0005-0000-0000-0000DF070000}"/>
    <cellStyle name="Migliaia 57 3 4" xfId="2532" xr:uid="{00000000-0005-0000-0000-0000E0070000}"/>
    <cellStyle name="Migliaia 57 4" xfId="806" xr:uid="{00000000-0005-0000-0000-0000E1070000}"/>
    <cellStyle name="Migliaia 57 4 2" xfId="2533" xr:uid="{00000000-0005-0000-0000-0000E2070000}"/>
    <cellStyle name="Migliaia 57 4 2 2" xfId="2534" xr:uid="{00000000-0005-0000-0000-0000E3070000}"/>
    <cellStyle name="Migliaia 57 4 2 3" xfId="3855" xr:uid="{00000000-0005-0000-0000-0000E4070000}"/>
    <cellStyle name="Migliaia 57 4 3" xfId="2535" xr:uid="{00000000-0005-0000-0000-0000E5070000}"/>
    <cellStyle name="Migliaia 57 5" xfId="807" xr:uid="{00000000-0005-0000-0000-0000E6070000}"/>
    <cellStyle name="Migliaia 58" xfId="808" xr:uid="{00000000-0005-0000-0000-0000E7070000}"/>
    <cellStyle name="Migliaia 58 2" xfId="809" xr:uid="{00000000-0005-0000-0000-0000E8070000}"/>
    <cellStyle name="Migliaia 58 2 2" xfId="2536" xr:uid="{00000000-0005-0000-0000-0000E9070000}"/>
    <cellStyle name="Migliaia 58 2 2 2" xfId="3856" xr:uid="{00000000-0005-0000-0000-0000EA070000}"/>
    <cellStyle name="Migliaia 58 3" xfId="810" xr:uid="{00000000-0005-0000-0000-0000EB070000}"/>
    <cellStyle name="Migliaia 58 3 2" xfId="811" xr:uid="{00000000-0005-0000-0000-0000EC070000}"/>
    <cellStyle name="Migliaia 58 3 2 2" xfId="3857" xr:uid="{00000000-0005-0000-0000-0000ED070000}"/>
    <cellStyle name="Migliaia 58 3 2 3" xfId="3858" xr:uid="{00000000-0005-0000-0000-0000EE070000}"/>
    <cellStyle name="Migliaia 58 3 3" xfId="812" xr:uid="{00000000-0005-0000-0000-0000EF070000}"/>
    <cellStyle name="Migliaia 58 3 3 2" xfId="2537" xr:uid="{00000000-0005-0000-0000-0000F0070000}"/>
    <cellStyle name="Migliaia 58 3 4" xfId="2538" xr:uid="{00000000-0005-0000-0000-0000F1070000}"/>
    <cellStyle name="Migliaia 58 4" xfId="813" xr:uid="{00000000-0005-0000-0000-0000F2070000}"/>
    <cellStyle name="Migliaia 58 4 2" xfId="2539" xr:uid="{00000000-0005-0000-0000-0000F3070000}"/>
    <cellStyle name="Migliaia 58 4 2 2" xfId="2540" xr:uid="{00000000-0005-0000-0000-0000F4070000}"/>
    <cellStyle name="Migliaia 58 4 2 3" xfId="3859" xr:uid="{00000000-0005-0000-0000-0000F5070000}"/>
    <cellStyle name="Migliaia 58 4 3" xfId="2541" xr:uid="{00000000-0005-0000-0000-0000F6070000}"/>
    <cellStyle name="Migliaia 58 5" xfId="814" xr:uid="{00000000-0005-0000-0000-0000F7070000}"/>
    <cellStyle name="Migliaia 59" xfId="815" xr:uid="{00000000-0005-0000-0000-0000F8070000}"/>
    <cellStyle name="Migliaia 59 2" xfId="816" xr:uid="{00000000-0005-0000-0000-0000F9070000}"/>
    <cellStyle name="Migliaia 59 2 2" xfId="2542" xr:uid="{00000000-0005-0000-0000-0000FA070000}"/>
    <cellStyle name="Migliaia 59 2 2 2" xfId="3860" xr:uid="{00000000-0005-0000-0000-0000FB070000}"/>
    <cellStyle name="Migliaia 59 3" xfId="817" xr:uid="{00000000-0005-0000-0000-0000FC070000}"/>
    <cellStyle name="Migliaia 59 3 2" xfId="818" xr:uid="{00000000-0005-0000-0000-0000FD070000}"/>
    <cellStyle name="Migliaia 59 3 2 2" xfId="3861" xr:uid="{00000000-0005-0000-0000-0000FE070000}"/>
    <cellStyle name="Migliaia 59 3 2 3" xfId="3862" xr:uid="{00000000-0005-0000-0000-0000FF070000}"/>
    <cellStyle name="Migliaia 59 3 3" xfId="819" xr:uid="{00000000-0005-0000-0000-000000080000}"/>
    <cellStyle name="Migliaia 59 3 3 2" xfId="2543" xr:uid="{00000000-0005-0000-0000-000001080000}"/>
    <cellStyle name="Migliaia 59 3 4" xfId="2544" xr:uid="{00000000-0005-0000-0000-000002080000}"/>
    <cellStyle name="Migliaia 59 4" xfId="820" xr:uid="{00000000-0005-0000-0000-000003080000}"/>
    <cellStyle name="Migliaia 59 4 2" xfId="2545" xr:uid="{00000000-0005-0000-0000-000004080000}"/>
    <cellStyle name="Migliaia 59 4 2 2" xfId="2546" xr:uid="{00000000-0005-0000-0000-000005080000}"/>
    <cellStyle name="Migliaia 59 4 2 3" xfId="3863" xr:uid="{00000000-0005-0000-0000-000006080000}"/>
    <cellStyle name="Migliaia 59 4 3" xfId="2547" xr:uid="{00000000-0005-0000-0000-000007080000}"/>
    <cellStyle name="Migliaia 59 5" xfId="821" xr:uid="{00000000-0005-0000-0000-000008080000}"/>
    <cellStyle name="Migliaia 6" xfId="822" xr:uid="{00000000-0005-0000-0000-000009080000}"/>
    <cellStyle name="Migliaia 6 2" xfId="823" xr:uid="{00000000-0005-0000-0000-00000A080000}"/>
    <cellStyle name="Migliaia 6 2 2" xfId="2548" xr:uid="{00000000-0005-0000-0000-00000B080000}"/>
    <cellStyle name="Migliaia 6 2 2 2" xfId="3864" xr:uid="{00000000-0005-0000-0000-00000C080000}"/>
    <cellStyle name="Migliaia 6 3" xfId="824" xr:uid="{00000000-0005-0000-0000-00000D080000}"/>
    <cellStyle name="Migliaia 6 3 2" xfId="825" xr:uid="{00000000-0005-0000-0000-00000E080000}"/>
    <cellStyle name="Migliaia 6 3 2 2" xfId="3865" xr:uid="{00000000-0005-0000-0000-00000F080000}"/>
    <cellStyle name="Migliaia 6 3 2 3" xfId="3866" xr:uid="{00000000-0005-0000-0000-000010080000}"/>
    <cellStyle name="Migliaia 6 3 3" xfId="826" xr:uid="{00000000-0005-0000-0000-000011080000}"/>
    <cellStyle name="Migliaia 6 3 3 2" xfId="2549" xr:uid="{00000000-0005-0000-0000-000012080000}"/>
    <cellStyle name="Migliaia 6 3 4" xfId="2550" xr:uid="{00000000-0005-0000-0000-000013080000}"/>
    <cellStyle name="Migliaia 6 4" xfId="827" xr:uid="{00000000-0005-0000-0000-000014080000}"/>
    <cellStyle name="Migliaia 6 4 2" xfId="2551" xr:uid="{00000000-0005-0000-0000-000015080000}"/>
    <cellStyle name="Migliaia 6 4 2 2" xfId="2552" xr:uid="{00000000-0005-0000-0000-000016080000}"/>
    <cellStyle name="Migliaia 6 4 2 3" xfId="3867" xr:uid="{00000000-0005-0000-0000-000017080000}"/>
    <cellStyle name="Migliaia 6 4 3" xfId="2553" xr:uid="{00000000-0005-0000-0000-000018080000}"/>
    <cellStyle name="Migliaia 6 5" xfId="828" xr:uid="{00000000-0005-0000-0000-000019080000}"/>
    <cellStyle name="Migliaia 60" xfId="829" xr:uid="{00000000-0005-0000-0000-00001A080000}"/>
    <cellStyle name="Migliaia 60 2" xfId="830" xr:uid="{00000000-0005-0000-0000-00001B080000}"/>
    <cellStyle name="Migliaia 60 2 2" xfId="2554" xr:uid="{00000000-0005-0000-0000-00001C080000}"/>
    <cellStyle name="Migliaia 60 2 2 2" xfId="3868" xr:uid="{00000000-0005-0000-0000-00001D080000}"/>
    <cellStyle name="Migliaia 60 3" xfId="831" xr:uid="{00000000-0005-0000-0000-00001E080000}"/>
    <cellStyle name="Migliaia 60 3 2" xfId="832" xr:uid="{00000000-0005-0000-0000-00001F080000}"/>
    <cellStyle name="Migliaia 60 3 2 2" xfId="3869" xr:uid="{00000000-0005-0000-0000-000020080000}"/>
    <cellStyle name="Migliaia 60 3 2 3" xfId="3870" xr:uid="{00000000-0005-0000-0000-000021080000}"/>
    <cellStyle name="Migliaia 60 3 3" xfId="833" xr:uid="{00000000-0005-0000-0000-000022080000}"/>
    <cellStyle name="Migliaia 60 3 3 2" xfId="2555" xr:uid="{00000000-0005-0000-0000-000023080000}"/>
    <cellStyle name="Migliaia 60 3 4" xfId="2556" xr:uid="{00000000-0005-0000-0000-000024080000}"/>
    <cellStyle name="Migliaia 60 4" xfId="834" xr:uid="{00000000-0005-0000-0000-000025080000}"/>
    <cellStyle name="Migliaia 60 4 2" xfId="2557" xr:uid="{00000000-0005-0000-0000-000026080000}"/>
    <cellStyle name="Migliaia 60 4 2 2" xfId="2558" xr:uid="{00000000-0005-0000-0000-000027080000}"/>
    <cellStyle name="Migliaia 60 4 2 3" xfId="3871" xr:uid="{00000000-0005-0000-0000-000028080000}"/>
    <cellStyle name="Migliaia 60 4 3" xfId="2559" xr:uid="{00000000-0005-0000-0000-000029080000}"/>
    <cellStyle name="Migliaia 60 5" xfId="835" xr:uid="{00000000-0005-0000-0000-00002A080000}"/>
    <cellStyle name="Migliaia 61" xfId="836" xr:uid="{00000000-0005-0000-0000-00002B080000}"/>
    <cellStyle name="Migliaia 61 2" xfId="837" xr:uid="{00000000-0005-0000-0000-00002C080000}"/>
    <cellStyle name="Migliaia 61 2 2" xfId="2560" xr:uid="{00000000-0005-0000-0000-00002D080000}"/>
    <cellStyle name="Migliaia 61 2 2 2" xfId="3872" xr:uid="{00000000-0005-0000-0000-00002E080000}"/>
    <cellStyle name="Migliaia 61 3" xfId="838" xr:uid="{00000000-0005-0000-0000-00002F080000}"/>
    <cellStyle name="Migliaia 61 3 2" xfId="839" xr:uid="{00000000-0005-0000-0000-000030080000}"/>
    <cellStyle name="Migliaia 61 3 2 2" xfId="3873" xr:uid="{00000000-0005-0000-0000-000031080000}"/>
    <cellStyle name="Migliaia 61 3 2 3" xfId="3874" xr:uid="{00000000-0005-0000-0000-000032080000}"/>
    <cellStyle name="Migliaia 61 3 3" xfId="840" xr:uid="{00000000-0005-0000-0000-000033080000}"/>
    <cellStyle name="Migliaia 61 3 3 2" xfId="2561" xr:uid="{00000000-0005-0000-0000-000034080000}"/>
    <cellStyle name="Migliaia 61 3 4" xfId="2562" xr:uid="{00000000-0005-0000-0000-000035080000}"/>
    <cellStyle name="Migliaia 61 4" xfId="841" xr:uid="{00000000-0005-0000-0000-000036080000}"/>
    <cellStyle name="Migliaia 61 4 2" xfId="2563" xr:uid="{00000000-0005-0000-0000-000037080000}"/>
    <cellStyle name="Migliaia 61 4 2 2" xfId="2564" xr:uid="{00000000-0005-0000-0000-000038080000}"/>
    <cellStyle name="Migliaia 61 4 2 3" xfId="3875" xr:uid="{00000000-0005-0000-0000-000039080000}"/>
    <cellStyle name="Migliaia 61 4 3" xfId="2565" xr:uid="{00000000-0005-0000-0000-00003A080000}"/>
    <cellStyle name="Migliaia 61 5" xfId="842" xr:uid="{00000000-0005-0000-0000-00003B080000}"/>
    <cellStyle name="Migliaia 7" xfId="843" xr:uid="{00000000-0005-0000-0000-00003C080000}"/>
    <cellStyle name="Migliaia 7 2" xfId="844" xr:uid="{00000000-0005-0000-0000-00003D080000}"/>
    <cellStyle name="Migliaia 7 2 2" xfId="2566" xr:uid="{00000000-0005-0000-0000-00003E080000}"/>
    <cellStyle name="Migliaia 7 2 2 2" xfId="3876" xr:uid="{00000000-0005-0000-0000-00003F080000}"/>
    <cellStyle name="Migliaia 7 3" xfId="845" xr:uid="{00000000-0005-0000-0000-000040080000}"/>
    <cellStyle name="Migliaia 7 3 2" xfId="846" xr:uid="{00000000-0005-0000-0000-000041080000}"/>
    <cellStyle name="Migliaia 7 3 2 2" xfId="3877" xr:uid="{00000000-0005-0000-0000-000042080000}"/>
    <cellStyle name="Migliaia 7 3 2 3" xfId="3878" xr:uid="{00000000-0005-0000-0000-000043080000}"/>
    <cellStyle name="Migliaia 7 3 3" xfId="847" xr:uid="{00000000-0005-0000-0000-000044080000}"/>
    <cellStyle name="Migliaia 7 3 3 2" xfId="2567" xr:uid="{00000000-0005-0000-0000-000045080000}"/>
    <cellStyle name="Migliaia 7 3 4" xfId="2568" xr:uid="{00000000-0005-0000-0000-000046080000}"/>
    <cellStyle name="Migliaia 7 4" xfId="848" xr:uid="{00000000-0005-0000-0000-000047080000}"/>
    <cellStyle name="Migliaia 7 4 2" xfId="2569" xr:uid="{00000000-0005-0000-0000-000048080000}"/>
    <cellStyle name="Migliaia 7 4 2 2" xfId="2570" xr:uid="{00000000-0005-0000-0000-000049080000}"/>
    <cellStyle name="Migliaia 7 4 2 3" xfId="3879" xr:uid="{00000000-0005-0000-0000-00004A080000}"/>
    <cellStyle name="Migliaia 7 4 3" xfId="2571" xr:uid="{00000000-0005-0000-0000-00004B080000}"/>
    <cellStyle name="Migliaia 7 5" xfId="849" xr:uid="{00000000-0005-0000-0000-00004C080000}"/>
    <cellStyle name="Migliaia 8" xfId="850" xr:uid="{00000000-0005-0000-0000-00004D080000}"/>
    <cellStyle name="Migliaia 8 2" xfId="851" xr:uid="{00000000-0005-0000-0000-00004E080000}"/>
    <cellStyle name="Migliaia 8 2 2" xfId="2572" xr:uid="{00000000-0005-0000-0000-00004F080000}"/>
    <cellStyle name="Migliaia 8 2 2 2" xfId="3880" xr:uid="{00000000-0005-0000-0000-000050080000}"/>
    <cellStyle name="Migliaia 8 3" xfId="852" xr:uid="{00000000-0005-0000-0000-000051080000}"/>
    <cellStyle name="Migliaia 8 3 2" xfId="853" xr:uid="{00000000-0005-0000-0000-000052080000}"/>
    <cellStyle name="Migliaia 8 3 2 2" xfId="3881" xr:uid="{00000000-0005-0000-0000-000053080000}"/>
    <cellStyle name="Migliaia 8 3 2 3" xfId="3882" xr:uid="{00000000-0005-0000-0000-000054080000}"/>
    <cellStyle name="Migliaia 8 3 3" xfId="854" xr:uid="{00000000-0005-0000-0000-000055080000}"/>
    <cellStyle name="Migliaia 8 3 3 2" xfId="2573" xr:uid="{00000000-0005-0000-0000-000056080000}"/>
    <cellStyle name="Migliaia 8 3 4" xfId="2574" xr:uid="{00000000-0005-0000-0000-000057080000}"/>
    <cellStyle name="Migliaia 8 4" xfId="855" xr:uid="{00000000-0005-0000-0000-000058080000}"/>
    <cellStyle name="Migliaia 8 4 2" xfId="2575" xr:uid="{00000000-0005-0000-0000-000059080000}"/>
    <cellStyle name="Migliaia 8 4 2 2" xfId="2576" xr:uid="{00000000-0005-0000-0000-00005A080000}"/>
    <cellStyle name="Migliaia 8 4 2 3" xfId="3883" xr:uid="{00000000-0005-0000-0000-00005B080000}"/>
    <cellStyle name="Migliaia 8 4 3" xfId="2577" xr:uid="{00000000-0005-0000-0000-00005C080000}"/>
    <cellStyle name="Migliaia 8 5" xfId="856" xr:uid="{00000000-0005-0000-0000-00005D080000}"/>
    <cellStyle name="Migliaia 9" xfId="857" xr:uid="{00000000-0005-0000-0000-00005E080000}"/>
    <cellStyle name="Migliaia 9 2" xfId="858" xr:uid="{00000000-0005-0000-0000-00005F080000}"/>
    <cellStyle name="Migliaia 9 2 2" xfId="2578" xr:uid="{00000000-0005-0000-0000-000060080000}"/>
    <cellStyle name="Migliaia 9 2 2 2" xfId="3884" xr:uid="{00000000-0005-0000-0000-000061080000}"/>
    <cellStyle name="Migliaia 9 3" xfId="859" xr:uid="{00000000-0005-0000-0000-000062080000}"/>
    <cellStyle name="Migliaia 9 3 2" xfId="860" xr:uid="{00000000-0005-0000-0000-000063080000}"/>
    <cellStyle name="Migliaia 9 3 2 2" xfId="3885" xr:uid="{00000000-0005-0000-0000-000064080000}"/>
    <cellStyle name="Migliaia 9 3 2 3" xfId="3886" xr:uid="{00000000-0005-0000-0000-000065080000}"/>
    <cellStyle name="Migliaia 9 3 3" xfId="861" xr:uid="{00000000-0005-0000-0000-000066080000}"/>
    <cellStyle name="Migliaia 9 3 3 2" xfId="2579" xr:uid="{00000000-0005-0000-0000-000067080000}"/>
    <cellStyle name="Migliaia 9 3 4" xfId="2580" xr:uid="{00000000-0005-0000-0000-000068080000}"/>
    <cellStyle name="Migliaia 9 4" xfId="862" xr:uid="{00000000-0005-0000-0000-000069080000}"/>
    <cellStyle name="Migliaia 9 4 2" xfId="2581" xr:uid="{00000000-0005-0000-0000-00006A080000}"/>
    <cellStyle name="Migliaia 9 4 2 2" xfId="2582" xr:uid="{00000000-0005-0000-0000-00006B080000}"/>
    <cellStyle name="Migliaia 9 4 2 3" xfId="3887" xr:uid="{00000000-0005-0000-0000-00006C080000}"/>
    <cellStyle name="Migliaia 9 4 3" xfId="2583" xr:uid="{00000000-0005-0000-0000-00006D080000}"/>
    <cellStyle name="Migliaia 9 5" xfId="863" xr:uid="{00000000-0005-0000-0000-00006E080000}"/>
    <cellStyle name="Neutral 2" xfId="3888" xr:uid="{00000000-0005-0000-0000-00006F080000}"/>
    <cellStyle name="Neutrale" xfId="864" xr:uid="{00000000-0005-0000-0000-000070080000}"/>
    <cellStyle name="Normal" xfId="0" builtinId="0"/>
    <cellStyle name="Normal 10" xfId="865" xr:uid="{00000000-0005-0000-0000-000072080000}"/>
    <cellStyle name="Normal 10 2" xfId="2584" xr:uid="{00000000-0005-0000-0000-000073080000}"/>
    <cellStyle name="Normal 11" xfId="1815" xr:uid="{00000000-0005-0000-0000-000074080000}"/>
    <cellStyle name="Normal 11 2" xfId="2585" xr:uid="{00000000-0005-0000-0000-000075080000}"/>
    <cellStyle name="Normal 11 3" xfId="3889" xr:uid="{00000000-0005-0000-0000-000076080000}"/>
    <cellStyle name="Normal 12" xfId="2586" xr:uid="{00000000-0005-0000-0000-000077080000}"/>
    <cellStyle name="Normal 12 2" xfId="3890" xr:uid="{00000000-0005-0000-0000-000078080000}"/>
    <cellStyle name="Normal 13" xfId="2587" xr:uid="{00000000-0005-0000-0000-000079080000}"/>
    <cellStyle name="Normal 14" xfId="3362" xr:uid="{00000000-0005-0000-0000-00007A080000}"/>
    <cellStyle name="Normal 14 2" xfId="3891" xr:uid="{00000000-0005-0000-0000-00007B080000}"/>
    <cellStyle name="Normal 15" xfId="3892" xr:uid="{00000000-0005-0000-0000-00007C080000}"/>
    <cellStyle name="Normal 16" xfId="3893" xr:uid="{00000000-0005-0000-0000-00007D080000}"/>
    <cellStyle name="Normal 16 2" xfId="3894" xr:uid="{00000000-0005-0000-0000-00007E080000}"/>
    <cellStyle name="Normal 16 3" xfId="3895" xr:uid="{00000000-0005-0000-0000-00007F080000}"/>
    <cellStyle name="Normal 17" xfId="3896" xr:uid="{00000000-0005-0000-0000-000080080000}"/>
    <cellStyle name="Normal 17 2" xfId="3897" xr:uid="{00000000-0005-0000-0000-000081080000}"/>
    <cellStyle name="Normal 18" xfId="3898" xr:uid="{00000000-0005-0000-0000-000082080000}"/>
    <cellStyle name="Normal 18 2" xfId="3899" xr:uid="{00000000-0005-0000-0000-000083080000}"/>
    <cellStyle name="Normal 19" xfId="3900" xr:uid="{00000000-0005-0000-0000-000084080000}"/>
    <cellStyle name="Normal 19 2" xfId="3901" xr:uid="{00000000-0005-0000-0000-000085080000}"/>
    <cellStyle name="Normal 19 3" xfId="3902" xr:uid="{00000000-0005-0000-0000-000086080000}"/>
    <cellStyle name="Normal 2" xfId="866" xr:uid="{00000000-0005-0000-0000-000087080000}"/>
    <cellStyle name="Normal 2 2" xfId="867" xr:uid="{00000000-0005-0000-0000-000088080000}"/>
    <cellStyle name="Normal 2 2 2" xfId="2588" xr:uid="{00000000-0005-0000-0000-000089080000}"/>
    <cellStyle name="Normal 2 2 2 2" xfId="2589" xr:uid="{00000000-0005-0000-0000-00008A080000}"/>
    <cellStyle name="Normal 2 2 2 2 2" xfId="3903" xr:uid="{00000000-0005-0000-0000-00008B080000}"/>
    <cellStyle name="Normal 2 2 2 2 2 2" xfId="3904" xr:uid="{00000000-0005-0000-0000-00008C080000}"/>
    <cellStyle name="Normal 2 2 2 2 3" xfId="3905" xr:uid="{00000000-0005-0000-0000-00008D080000}"/>
    <cellStyle name="Normal 2 2 2 2 4" xfId="3906" xr:uid="{00000000-0005-0000-0000-00008E080000}"/>
    <cellStyle name="Normal 2 2 2 3" xfId="2590" xr:uid="{00000000-0005-0000-0000-00008F080000}"/>
    <cellStyle name="Normal 2 2 3" xfId="3907" xr:uid="{00000000-0005-0000-0000-000090080000}"/>
    <cellStyle name="Normal 2 2 3 2" xfId="3908" xr:uid="{00000000-0005-0000-0000-000091080000}"/>
    <cellStyle name="Normal 2 2 3 2 2" xfId="3909" xr:uid="{00000000-0005-0000-0000-000092080000}"/>
    <cellStyle name="Normal 2 2 3 3" xfId="3910" xr:uid="{00000000-0005-0000-0000-000093080000}"/>
    <cellStyle name="Normal 2 2 4" xfId="3911" xr:uid="{00000000-0005-0000-0000-000094080000}"/>
    <cellStyle name="Normal 2 2 4 2" xfId="3912" xr:uid="{00000000-0005-0000-0000-000095080000}"/>
    <cellStyle name="Normal 2 2 5" xfId="3913" xr:uid="{00000000-0005-0000-0000-000096080000}"/>
    <cellStyle name="Normal 2 3" xfId="868" xr:uid="{00000000-0005-0000-0000-000097080000}"/>
    <cellStyle name="Normal 2 3 2" xfId="3364" xr:uid="{00000000-0005-0000-0000-000098080000}"/>
    <cellStyle name="Normal 2 4" xfId="869" xr:uid="{00000000-0005-0000-0000-000099080000}"/>
    <cellStyle name="Normal 2 4 2" xfId="2591" xr:uid="{00000000-0005-0000-0000-00009A080000}"/>
    <cellStyle name="Normal 2 4 2 2" xfId="3914" xr:uid="{00000000-0005-0000-0000-00009B080000}"/>
    <cellStyle name="Normal 2 4 2 3" xfId="3915" xr:uid="{00000000-0005-0000-0000-00009C080000}"/>
    <cellStyle name="Normal 2 4 3" xfId="3916" xr:uid="{00000000-0005-0000-0000-00009D080000}"/>
    <cellStyle name="Normal 2 5" xfId="2592" xr:uid="{00000000-0005-0000-0000-00009E080000}"/>
    <cellStyle name="Normal 2 6" xfId="4343" xr:uid="{00000000-0005-0000-0000-00009F080000}"/>
    <cellStyle name="Normal 2 7" xfId="4349" xr:uid="{5E34964D-EE7E-41D8-844C-5D5959F79D93}"/>
    <cellStyle name="Normal 2_Plants" xfId="3917" xr:uid="{00000000-0005-0000-0000-0000A0080000}"/>
    <cellStyle name="Normal 20" xfId="3918" xr:uid="{00000000-0005-0000-0000-0000A1080000}"/>
    <cellStyle name="Normal 21" xfId="3919" xr:uid="{00000000-0005-0000-0000-0000A2080000}"/>
    <cellStyle name="Normal 22" xfId="3920" xr:uid="{00000000-0005-0000-0000-0000A3080000}"/>
    <cellStyle name="Normal 23" xfId="3921" xr:uid="{00000000-0005-0000-0000-0000A4080000}"/>
    <cellStyle name="Normal 24" xfId="3922" xr:uid="{00000000-0005-0000-0000-0000A5080000}"/>
    <cellStyle name="Normal 25" xfId="3923" xr:uid="{00000000-0005-0000-0000-0000A6080000}"/>
    <cellStyle name="Normal 26" xfId="3924" xr:uid="{00000000-0005-0000-0000-0000A7080000}"/>
    <cellStyle name="Normal 27" xfId="3925" xr:uid="{00000000-0005-0000-0000-0000A8080000}"/>
    <cellStyle name="Normal 28" xfId="3926" xr:uid="{00000000-0005-0000-0000-0000A9080000}"/>
    <cellStyle name="Normal 29" xfId="3927" xr:uid="{00000000-0005-0000-0000-0000AA080000}"/>
    <cellStyle name="Normal 29 2" xfId="3928" xr:uid="{00000000-0005-0000-0000-0000AB080000}"/>
    <cellStyle name="Normal 3" xfId="870" xr:uid="{00000000-0005-0000-0000-0000AC080000}"/>
    <cellStyle name="Normal 3 10" xfId="3929" xr:uid="{00000000-0005-0000-0000-0000AD080000}"/>
    <cellStyle name="Normal 3 11" xfId="3930" xr:uid="{00000000-0005-0000-0000-0000AE080000}"/>
    <cellStyle name="Normal 3 12" xfId="3931" xr:uid="{00000000-0005-0000-0000-0000AF080000}"/>
    <cellStyle name="Normal 3 13" xfId="3932" xr:uid="{00000000-0005-0000-0000-0000B0080000}"/>
    <cellStyle name="Normal 3 14" xfId="3933" xr:uid="{00000000-0005-0000-0000-0000B1080000}"/>
    <cellStyle name="Normal 3 15" xfId="3934" xr:uid="{00000000-0005-0000-0000-0000B2080000}"/>
    <cellStyle name="Normal 3 16" xfId="3935" xr:uid="{00000000-0005-0000-0000-0000B3080000}"/>
    <cellStyle name="Normal 3 17" xfId="3936" xr:uid="{00000000-0005-0000-0000-0000B4080000}"/>
    <cellStyle name="Normal 3 2" xfId="871" xr:uid="{00000000-0005-0000-0000-0000B5080000}"/>
    <cellStyle name="Normal 3 2 2" xfId="2593" xr:uid="{00000000-0005-0000-0000-0000B6080000}"/>
    <cellStyle name="Normal 3 2 2 2" xfId="2594" xr:uid="{00000000-0005-0000-0000-0000B7080000}"/>
    <cellStyle name="Normal 3 2 2 3" xfId="3937" xr:uid="{00000000-0005-0000-0000-0000B8080000}"/>
    <cellStyle name="Normal 3 2 2 3 2" xfId="3938" xr:uid="{00000000-0005-0000-0000-0000B9080000}"/>
    <cellStyle name="Normal 3 2 2 4" xfId="3939" xr:uid="{00000000-0005-0000-0000-0000BA080000}"/>
    <cellStyle name="Normal 3 2 3" xfId="2595" xr:uid="{00000000-0005-0000-0000-0000BB080000}"/>
    <cellStyle name="Normal 3 2 3 2" xfId="3940" xr:uid="{00000000-0005-0000-0000-0000BC080000}"/>
    <cellStyle name="Normal 3 2 3 2 2" xfId="3941" xr:uid="{00000000-0005-0000-0000-0000BD080000}"/>
    <cellStyle name="Normal 3 2 3 3" xfId="3942" xr:uid="{00000000-0005-0000-0000-0000BE080000}"/>
    <cellStyle name="Normal 3 2 3 4" xfId="3943" xr:uid="{00000000-0005-0000-0000-0000BF080000}"/>
    <cellStyle name="Normal 3 2 4" xfId="3944" xr:uid="{00000000-0005-0000-0000-0000C0080000}"/>
    <cellStyle name="Normal 3 2 4 2" xfId="3945" xr:uid="{00000000-0005-0000-0000-0000C1080000}"/>
    <cellStyle name="Normal 3 2 5" xfId="3946" xr:uid="{00000000-0005-0000-0000-0000C2080000}"/>
    <cellStyle name="Normal 3 2 6" xfId="3947" xr:uid="{00000000-0005-0000-0000-0000C3080000}"/>
    <cellStyle name="Normal 3 3" xfId="872" xr:uid="{00000000-0005-0000-0000-0000C4080000}"/>
    <cellStyle name="Normal 3 3 2" xfId="2596" xr:uid="{00000000-0005-0000-0000-0000C5080000}"/>
    <cellStyle name="Normal 3 3 2 2" xfId="3948" xr:uid="{00000000-0005-0000-0000-0000C6080000}"/>
    <cellStyle name="Normal 3 3 2 2 2" xfId="3949" xr:uid="{00000000-0005-0000-0000-0000C7080000}"/>
    <cellStyle name="Normal 3 3 2 3" xfId="3950" xr:uid="{00000000-0005-0000-0000-0000C8080000}"/>
    <cellStyle name="Normal 3 3 2 4" xfId="3951" xr:uid="{00000000-0005-0000-0000-0000C9080000}"/>
    <cellStyle name="Normal 3 3 3" xfId="3952" xr:uid="{00000000-0005-0000-0000-0000CA080000}"/>
    <cellStyle name="Normal 3 3 3 2" xfId="3953" xr:uid="{00000000-0005-0000-0000-0000CB080000}"/>
    <cellStyle name="Normal 3 3 4" xfId="3954" xr:uid="{00000000-0005-0000-0000-0000CC080000}"/>
    <cellStyle name="Normal 3 3 5" xfId="3955" xr:uid="{00000000-0005-0000-0000-0000CD080000}"/>
    <cellStyle name="Normal 3 4" xfId="3956" xr:uid="{00000000-0005-0000-0000-0000CE080000}"/>
    <cellStyle name="Normal 3 4 2" xfId="3957" xr:uid="{00000000-0005-0000-0000-0000CF080000}"/>
    <cellStyle name="Normal 3 5" xfId="3958" xr:uid="{00000000-0005-0000-0000-0000D0080000}"/>
    <cellStyle name="Normal 3 6" xfId="3959" xr:uid="{00000000-0005-0000-0000-0000D1080000}"/>
    <cellStyle name="Normal 3 6 2" xfId="3960" xr:uid="{00000000-0005-0000-0000-0000D2080000}"/>
    <cellStyle name="Normal 3 7" xfId="3961" xr:uid="{00000000-0005-0000-0000-0000D3080000}"/>
    <cellStyle name="Normal 3 8" xfId="3962" xr:uid="{00000000-0005-0000-0000-0000D4080000}"/>
    <cellStyle name="Normal 3 9" xfId="3963" xr:uid="{00000000-0005-0000-0000-0000D5080000}"/>
    <cellStyle name="Normal 30" xfId="3964" xr:uid="{00000000-0005-0000-0000-0000D6080000}"/>
    <cellStyle name="Normal 31" xfId="3965" xr:uid="{00000000-0005-0000-0000-0000D7080000}"/>
    <cellStyle name="Normal 32" xfId="3966" xr:uid="{00000000-0005-0000-0000-0000D8080000}"/>
    <cellStyle name="Normal 33" xfId="3967" xr:uid="{00000000-0005-0000-0000-0000D9080000}"/>
    <cellStyle name="Normal 34" xfId="3968" xr:uid="{00000000-0005-0000-0000-0000DA080000}"/>
    <cellStyle name="Normal 35" xfId="4335" xr:uid="{00000000-0005-0000-0000-0000DB080000}"/>
    <cellStyle name="Normal 36" xfId="4336" xr:uid="{00000000-0005-0000-0000-0000DC080000}"/>
    <cellStyle name="Normal 37" xfId="4337" xr:uid="{00000000-0005-0000-0000-0000DD080000}"/>
    <cellStyle name="Normal 38" xfId="4338" xr:uid="{00000000-0005-0000-0000-0000DE080000}"/>
    <cellStyle name="Normal 39" xfId="4339" xr:uid="{00000000-0005-0000-0000-0000DF080000}"/>
    <cellStyle name="Normal 4" xfId="873" xr:uid="{00000000-0005-0000-0000-0000E0080000}"/>
    <cellStyle name="Normal 4 10" xfId="3969" xr:uid="{00000000-0005-0000-0000-0000E1080000}"/>
    <cellStyle name="Normal 4 11" xfId="3970" xr:uid="{00000000-0005-0000-0000-0000E2080000}"/>
    <cellStyle name="Normal 4 12" xfId="3971" xr:uid="{00000000-0005-0000-0000-0000E3080000}"/>
    <cellStyle name="Normal 4 13" xfId="3972" xr:uid="{00000000-0005-0000-0000-0000E4080000}"/>
    <cellStyle name="Normal 4 14" xfId="3973" xr:uid="{00000000-0005-0000-0000-0000E5080000}"/>
    <cellStyle name="Normal 4 15" xfId="3974" xr:uid="{00000000-0005-0000-0000-0000E6080000}"/>
    <cellStyle name="Normal 4 2" xfId="2597" xr:uid="{00000000-0005-0000-0000-0000E7080000}"/>
    <cellStyle name="Normal 4 2 2" xfId="2598" xr:uid="{00000000-0005-0000-0000-0000E8080000}"/>
    <cellStyle name="Normal 4 3" xfId="3975" xr:uid="{00000000-0005-0000-0000-0000E9080000}"/>
    <cellStyle name="Normal 4 4" xfId="3976" xr:uid="{00000000-0005-0000-0000-0000EA080000}"/>
    <cellStyle name="Normal 4 5" xfId="3977" xr:uid="{00000000-0005-0000-0000-0000EB080000}"/>
    <cellStyle name="Normal 4 6" xfId="3978" xr:uid="{00000000-0005-0000-0000-0000EC080000}"/>
    <cellStyle name="Normal 4 7" xfId="3979" xr:uid="{00000000-0005-0000-0000-0000ED080000}"/>
    <cellStyle name="Normal 4 8" xfId="3980" xr:uid="{00000000-0005-0000-0000-0000EE080000}"/>
    <cellStyle name="Normal 4 9" xfId="3981" xr:uid="{00000000-0005-0000-0000-0000EF080000}"/>
    <cellStyle name="Normal 40" xfId="4340" xr:uid="{00000000-0005-0000-0000-0000F0080000}"/>
    <cellStyle name="Normal 41" xfId="4342" xr:uid="{00000000-0005-0000-0000-0000F1080000}"/>
    <cellStyle name="Normal 42" xfId="4348" xr:uid="{855632BA-AB96-4D5E-AE80-180192B6B548}"/>
    <cellStyle name="Normal 43" xfId="4350" xr:uid="{8808A2B7-68E9-44DC-AF4C-35A6DD799D38}"/>
    <cellStyle name="Normal 5" xfId="874" xr:uid="{00000000-0005-0000-0000-0000F2080000}"/>
    <cellStyle name="Normal 5 2" xfId="2599" xr:uid="{00000000-0005-0000-0000-0000F3080000}"/>
    <cellStyle name="Normal 5 2 2" xfId="2600" xr:uid="{00000000-0005-0000-0000-0000F4080000}"/>
    <cellStyle name="Normal 5 2 2 2" xfId="2601" xr:uid="{00000000-0005-0000-0000-0000F5080000}"/>
    <cellStyle name="Normal 5 2 2 3" xfId="3982" xr:uid="{00000000-0005-0000-0000-0000F6080000}"/>
    <cellStyle name="Normal 5 2 3" xfId="3983" xr:uid="{00000000-0005-0000-0000-0000F7080000}"/>
    <cellStyle name="Normal 5 2 3 2" xfId="3984" xr:uid="{00000000-0005-0000-0000-0000F8080000}"/>
    <cellStyle name="Normal 5 3" xfId="3985" xr:uid="{00000000-0005-0000-0000-0000F9080000}"/>
    <cellStyle name="Normal 6" xfId="875" xr:uid="{00000000-0005-0000-0000-0000FA080000}"/>
    <cellStyle name="Normal 6 2" xfId="2602" xr:uid="{00000000-0005-0000-0000-0000FB080000}"/>
    <cellStyle name="Normal 6 2 2" xfId="2603" xr:uid="{00000000-0005-0000-0000-0000FC080000}"/>
    <cellStyle name="Normal 6 2 3" xfId="3986" xr:uid="{00000000-0005-0000-0000-0000FD080000}"/>
    <cellStyle name="Normal 6 2 3 2" xfId="3987" xr:uid="{00000000-0005-0000-0000-0000FE080000}"/>
    <cellStyle name="Normal 6 2 4" xfId="3988" xr:uid="{00000000-0005-0000-0000-0000FF080000}"/>
    <cellStyle name="Normal 6 3" xfId="2604" xr:uid="{00000000-0005-0000-0000-000000090000}"/>
    <cellStyle name="Normal 6 3 2" xfId="3989" xr:uid="{00000000-0005-0000-0000-000001090000}"/>
    <cellStyle name="Normal 6 3 2 2" xfId="3990" xr:uid="{00000000-0005-0000-0000-000002090000}"/>
    <cellStyle name="Normal 6 3 2 2 2" xfId="3991" xr:uid="{00000000-0005-0000-0000-000003090000}"/>
    <cellStyle name="Normal 6 3 2 3" xfId="3992" xr:uid="{00000000-0005-0000-0000-000004090000}"/>
    <cellStyle name="Normal 6 3 3" xfId="3993" xr:uid="{00000000-0005-0000-0000-000005090000}"/>
    <cellStyle name="Normal 6 4" xfId="3994" xr:uid="{00000000-0005-0000-0000-000006090000}"/>
    <cellStyle name="Normal 6 4 2" xfId="3995" xr:uid="{00000000-0005-0000-0000-000007090000}"/>
    <cellStyle name="Normal 6 5" xfId="3996" xr:uid="{00000000-0005-0000-0000-000008090000}"/>
    <cellStyle name="Normal 6 6" xfId="3997" xr:uid="{00000000-0005-0000-0000-000009090000}"/>
    <cellStyle name="Normal 7" xfId="876" xr:uid="{00000000-0005-0000-0000-00000A090000}"/>
    <cellStyle name="Normal 7 2" xfId="2605" xr:uid="{00000000-0005-0000-0000-00000B090000}"/>
    <cellStyle name="Normal 7 3" xfId="3998" xr:uid="{00000000-0005-0000-0000-00000C090000}"/>
    <cellStyle name="Normal 7 3 2" xfId="3999" xr:uid="{00000000-0005-0000-0000-00000D090000}"/>
    <cellStyle name="Normal 7 3 2 2" xfId="4000" xr:uid="{00000000-0005-0000-0000-00000E090000}"/>
    <cellStyle name="Normal 7 3 3" xfId="4001" xr:uid="{00000000-0005-0000-0000-00000F090000}"/>
    <cellStyle name="Normal 8" xfId="877" xr:uid="{00000000-0005-0000-0000-000010090000}"/>
    <cellStyle name="Normal 8 2" xfId="2606" xr:uid="{00000000-0005-0000-0000-000011090000}"/>
    <cellStyle name="Normal 8 2 2" xfId="2607" xr:uid="{00000000-0005-0000-0000-000012090000}"/>
    <cellStyle name="Normal 8 2 2 2" xfId="4002" xr:uid="{00000000-0005-0000-0000-000013090000}"/>
    <cellStyle name="Normal 8 2 2 2 2" xfId="4003" xr:uid="{00000000-0005-0000-0000-000014090000}"/>
    <cellStyle name="Normal 8 2 2 3" xfId="4004" xr:uid="{00000000-0005-0000-0000-000015090000}"/>
    <cellStyle name="Normal 8 2 2 4" xfId="4005" xr:uid="{00000000-0005-0000-0000-000016090000}"/>
    <cellStyle name="Normal 8 2 3" xfId="4006" xr:uid="{00000000-0005-0000-0000-000017090000}"/>
    <cellStyle name="Normal 8 3" xfId="4007" xr:uid="{00000000-0005-0000-0000-000018090000}"/>
    <cellStyle name="Normal 8 4" xfId="4008" xr:uid="{00000000-0005-0000-0000-000019090000}"/>
    <cellStyle name="Normal 8 5" xfId="4009" xr:uid="{00000000-0005-0000-0000-00001A090000}"/>
    <cellStyle name="Normal 9" xfId="878" xr:uid="{00000000-0005-0000-0000-00001B090000}"/>
    <cellStyle name="Normal 9 2" xfId="4010" xr:uid="{00000000-0005-0000-0000-00001C090000}"/>
    <cellStyle name="Normal 9 2 2" xfId="4011" xr:uid="{00000000-0005-0000-0000-00001D090000}"/>
    <cellStyle name="Normal 9 3" xfId="4012" xr:uid="{00000000-0005-0000-0000-00001E090000}"/>
    <cellStyle name="Normal GHG Numbers (0.00)" xfId="879" xr:uid="{00000000-0005-0000-0000-00001F090000}"/>
    <cellStyle name="Normal GHG Numbers (0.00) 2" xfId="880" xr:uid="{00000000-0005-0000-0000-000020090000}"/>
    <cellStyle name="Normal GHG Numbers (0.00) 2 2" xfId="4013" xr:uid="{00000000-0005-0000-0000-000021090000}"/>
    <cellStyle name="Normal GHG Numbers (0.00) 3" xfId="4014" xr:uid="{00000000-0005-0000-0000-000022090000}"/>
    <cellStyle name="Normal GHG Numbers (0.00) 4" xfId="4015" xr:uid="{00000000-0005-0000-0000-000023090000}"/>
    <cellStyle name="Normal GHG Textfiels Bold" xfId="881" xr:uid="{00000000-0005-0000-0000-000024090000}"/>
    <cellStyle name="Normal GHG-Shade" xfId="882" xr:uid="{00000000-0005-0000-0000-000025090000}"/>
    <cellStyle name="Normal GHG-Shade 2" xfId="2608" xr:uid="{00000000-0005-0000-0000-000026090000}"/>
    <cellStyle name="Normale 10" xfId="883" xr:uid="{00000000-0005-0000-0000-000027090000}"/>
    <cellStyle name="Normale 10 2" xfId="884" xr:uid="{00000000-0005-0000-0000-000028090000}"/>
    <cellStyle name="Normale 10 2 2" xfId="2609" xr:uid="{00000000-0005-0000-0000-000029090000}"/>
    <cellStyle name="Normale 10 3" xfId="885" xr:uid="{00000000-0005-0000-0000-00002A090000}"/>
    <cellStyle name="Normale 10 3 2" xfId="2610" xr:uid="{00000000-0005-0000-0000-00002B090000}"/>
    <cellStyle name="Normale 10 4" xfId="2611" xr:uid="{00000000-0005-0000-0000-00002C090000}"/>
    <cellStyle name="Normale 10_EDEN industria 2008 rev" xfId="886" xr:uid="{00000000-0005-0000-0000-00002D090000}"/>
    <cellStyle name="Normale 11" xfId="887" xr:uid="{00000000-0005-0000-0000-00002E090000}"/>
    <cellStyle name="Normale 11 2" xfId="888" xr:uid="{00000000-0005-0000-0000-00002F090000}"/>
    <cellStyle name="Normale 11 2 2" xfId="2612" xr:uid="{00000000-0005-0000-0000-000030090000}"/>
    <cellStyle name="Normale 11 3" xfId="889" xr:uid="{00000000-0005-0000-0000-000031090000}"/>
    <cellStyle name="Normale 11 3 2" xfId="2613" xr:uid="{00000000-0005-0000-0000-000032090000}"/>
    <cellStyle name="Normale 11 4" xfId="2614" xr:uid="{00000000-0005-0000-0000-000033090000}"/>
    <cellStyle name="Normale 11_EDEN industria 2008 rev" xfId="890" xr:uid="{00000000-0005-0000-0000-000034090000}"/>
    <cellStyle name="Normale 12" xfId="891" xr:uid="{00000000-0005-0000-0000-000035090000}"/>
    <cellStyle name="Normale 12 2" xfId="892" xr:uid="{00000000-0005-0000-0000-000036090000}"/>
    <cellStyle name="Normale 12 2 2" xfId="2615" xr:uid="{00000000-0005-0000-0000-000037090000}"/>
    <cellStyle name="Normale 12 3" xfId="893" xr:uid="{00000000-0005-0000-0000-000038090000}"/>
    <cellStyle name="Normale 12 3 2" xfId="2616" xr:uid="{00000000-0005-0000-0000-000039090000}"/>
    <cellStyle name="Normale 12 4" xfId="2617" xr:uid="{00000000-0005-0000-0000-00003A090000}"/>
    <cellStyle name="Normale 12_EDEN industria 2008 rev" xfId="894" xr:uid="{00000000-0005-0000-0000-00003B090000}"/>
    <cellStyle name="Normale 13" xfId="895" xr:uid="{00000000-0005-0000-0000-00003C090000}"/>
    <cellStyle name="Normale 13 2" xfId="896" xr:uid="{00000000-0005-0000-0000-00003D090000}"/>
    <cellStyle name="Normale 13 2 2" xfId="2618" xr:uid="{00000000-0005-0000-0000-00003E090000}"/>
    <cellStyle name="Normale 13 3" xfId="897" xr:uid="{00000000-0005-0000-0000-00003F090000}"/>
    <cellStyle name="Normale 13 3 2" xfId="2619" xr:uid="{00000000-0005-0000-0000-000040090000}"/>
    <cellStyle name="Normale 13 4" xfId="2620" xr:uid="{00000000-0005-0000-0000-000041090000}"/>
    <cellStyle name="Normale 13_EDEN industria 2008 rev" xfId="898" xr:uid="{00000000-0005-0000-0000-000042090000}"/>
    <cellStyle name="Normale 14" xfId="899" xr:uid="{00000000-0005-0000-0000-000043090000}"/>
    <cellStyle name="Normale 14 2" xfId="900" xr:uid="{00000000-0005-0000-0000-000044090000}"/>
    <cellStyle name="Normale 14 2 2" xfId="2621" xr:uid="{00000000-0005-0000-0000-000045090000}"/>
    <cellStyle name="Normale 14 3" xfId="901" xr:uid="{00000000-0005-0000-0000-000046090000}"/>
    <cellStyle name="Normale 14 3 2" xfId="2622" xr:uid="{00000000-0005-0000-0000-000047090000}"/>
    <cellStyle name="Normale 14 4" xfId="2623" xr:uid="{00000000-0005-0000-0000-000048090000}"/>
    <cellStyle name="Normale 14_EDEN industria 2008 rev" xfId="902" xr:uid="{00000000-0005-0000-0000-000049090000}"/>
    <cellStyle name="Normale 15" xfId="903" xr:uid="{00000000-0005-0000-0000-00004A090000}"/>
    <cellStyle name="Normale 15 2" xfId="904" xr:uid="{00000000-0005-0000-0000-00004B090000}"/>
    <cellStyle name="Normale 15 2 2" xfId="2624" xr:uid="{00000000-0005-0000-0000-00004C090000}"/>
    <cellStyle name="Normale 15 3" xfId="905" xr:uid="{00000000-0005-0000-0000-00004D090000}"/>
    <cellStyle name="Normale 15 3 2" xfId="2625" xr:uid="{00000000-0005-0000-0000-00004E090000}"/>
    <cellStyle name="Normale 15 4" xfId="2626" xr:uid="{00000000-0005-0000-0000-00004F090000}"/>
    <cellStyle name="Normale 15_EDEN industria 2008 rev" xfId="906" xr:uid="{00000000-0005-0000-0000-000050090000}"/>
    <cellStyle name="Normale 16" xfId="907" xr:uid="{00000000-0005-0000-0000-000051090000}"/>
    <cellStyle name="Normale 16 2" xfId="2627" xr:uid="{00000000-0005-0000-0000-000052090000}"/>
    <cellStyle name="Normale 17" xfId="908" xr:uid="{00000000-0005-0000-0000-000053090000}"/>
    <cellStyle name="Normale 17 2" xfId="2628" xr:uid="{00000000-0005-0000-0000-000054090000}"/>
    <cellStyle name="Normale 18" xfId="909" xr:uid="{00000000-0005-0000-0000-000055090000}"/>
    <cellStyle name="Normale 18 2" xfId="4016" xr:uid="{00000000-0005-0000-0000-000056090000}"/>
    <cellStyle name="Normale 19" xfId="910" xr:uid="{00000000-0005-0000-0000-000057090000}"/>
    <cellStyle name="Normale 19 2" xfId="4017" xr:uid="{00000000-0005-0000-0000-000058090000}"/>
    <cellStyle name="Normale 2" xfId="911" xr:uid="{00000000-0005-0000-0000-000059090000}"/>
    <cellStyle name="Normale 2 2" xfId="912" xr:uid="{00000000-0005-0000-0000-00005A090000}"/>
    <cellStyle name="Normale 2 2 2" xfId="2629" xr:uid="{00000000-0005-0000-0000-00005B090000}"/>
    <cellStyle name="Normale 2 3" xfId="2630" xr:uid="{00000000-0005-0000-0000-00005C090000}"/>
    <cellStyle name="Normale 2_EDEN industria 2008 rev" xfId="913" xr:uid="{00000000-0005-0000-0000-00005D090000}"/>
    <cellStyle name="Normale 20" xfId="914" xr:uid="{00000000-0005-0000-0000-00005E090000}"/>
    <cellStyle name="Normale 20 2" xfId="2631" xr:uid="{00000000-0005-0000-0000-00005F090000}"/>
    <cellStyle name="Normale 21" xfId="915" xr:uid="{00000000-0005-0000-0000-000060090000}"/>
    <cellStyle name="Normale 21 2" xfId="2632" xr:uid="{00000000-0005-0000-0000-000061090000}"/>
    <cellStyle name="Normale 22" xfId="916" xr:uid="{00000000-0005-0000-0000-000062090000}"/>
    <cellStyle name="Normale 22 2" xfId="2633" xr:uid="{00000000-0005-0000-0000-000063090000}"/>
    <cellStyle name="Normale 23" xfId="917" xr:uid="{00000000-0005-0000-0000-000064090000}"/>
    <cellStyle name="Normale 23 2" xfId="2634" xr:uid="{00000000-0005-0000-0000-000065090000}"/>
    <cellStyle name="Normale 24" xfId="918" xr:uid="{00000000-0005-0000-0000-000066090000}"/>
    <cellStyle name="Normale 24 2" xfId="2635" xr:uid="{00000000-0005-0000-0000-000067090000}"/>
    <cellStyle name="Normale 25" xfId="919" xr:uid="{00000000-0005-0000-0000-000068090000}"/>
    <cellStyle name="Normale 25 2" xfId="2636" xr:uid="{00000000-0005-0000-0000-000069090000}"/>
    <cellStyle name="Normale 26" xfId="920" xr:uid="{00000000-0005-0000-0000-00006A090000}"/>
    <cellStyle name="Normale 26 2" xfId="2637" xr:uid="{00000000-0005-0000-0000-00006B090000}"/>
    <cellStyle name="Normale 27" xfId="921" xr:uid="{00000000-0005-0000-0000-00006C090000}"/>
    <cellStyle name="Normale 27 2" xfId="2638" xr:uid="{00000000-0005-0000-0000-00006D090000}"/>
    <cellStyle name="Normale 28" xfId="922" xr:uid="{00000000-0005-0000-0000-00006E090000}"/>
    <cellStyle name="Normale 28 2" xfId="2639" xr:uid="{00000000-0005-0000-0000-00006F090000}"/>
    <cellStyle name="Normale 29" xfId="923" xr:uid="{00000000-0005-0000-0000-000070090000}"/>
    <cellStyle name="Normale 29 2" xfId="2640" xr:uid="{00000000-0005-0000-0000-000071090000}"/>
    <cellStyle name="Normale 3" xfId="924" xr:uid="{00000000-0005-0000-0000-000072090000}"/>
    <cellStyle name="Normale 3 2" xfId="925" xr:uid="{00000000-0005-0000-0000-000073090000}"/>
    <cellStyle name="Normale 3 2 2" xfId="2641" xr:uid="{00000000-0005-0000-0000-000074090000}"/>
    <cellStyle name="Normale 3 3" xfId="926" xr:uid="{00000000-0005-0000-0000-000075090000}"/>
    <cellStyle name="Normale 3 3 2" xfId="2642" xr:uid="{00000000-0005-0000-0000-000076090000}"/>
    <cellStyle name="Normale 3 4" xfId="2643" xr:uid="{00000000-0005-0000-0000-000077090000}"/>
    <cellStyle name="Normale 3_EDEN industria 2008 rev" xfId="927" xr:uid="{00000000-0005-0000-0000-000078090000}"/>
    <cellStyle name="Normale 30" xfId="928" xr:uid="{00000000-0005-0000-0000-000079090000}"/>
    <cellStyle name="Normale 30 2" xfId="2644" xr:uid="{00000000-0005-0000-0000-00007A090000}"/>
    <cellStyle name="Normale 31" xfId="929" xr:uid="{00000000-0005-0000-0000-00007B090000}"/>
    <cellStyle name="Normale 31 2" xfId="2645" xr:uid="{00000000-0005-0000-0000-00007C090000}"/>
    <cellStyle name="Normale 32" xfId="930" xr:uid="{00000000-0005-0000-0000-00007D090000}"/>
    <cellStyle name="Normale 32 2" xfId="2646" xr:uid="{00000000-0005-0000-0000-00007E090000}"/>
    <cellStyle name="Normale 33" xfId="931" xr:uid="{00000000-0005-0000-0000-00007F090000}"/>
    <cellStyle name="Normale 33 2" xfId="2647" xr:uid="{00000000-0005-0000-0000-000080090000}"/>
    <cellStyle name="Normale 34" xfId="932" xr:uid="{00000000-0005-0000-0000-000081090000}"/>
    <cellStyle name="Normale 34 2" xfId="2648" xr:uid="{00000000-0005-0000-0000-000082090000}"/>
    <cellStyle name="Normale 35" xfId="933" xr:uid="{00000000-0005-0000-0000-000083090000}"/>
    <cellStyle name="Normale 35 2" xfId="2649" xr:uid="{00000000-0005-0000-0000-000084090000}"/>
    <cellStyle name="Normale 36" xfId="934" xr:uid="{00000000-0005-0000-0000-000085090000}"/>
    <cellStyle name="Normale 36 2" xfId="2650" xr:uid="{00000000-0005-0000-0000-000086090000}"/>
    <cellStyle name="Normale 37" xfId="935" xr:uid="{00000000-0005-0000-0000-000087090000}"/>
    <cellStyle name="Normale 37 2" xfId="2651" xr:uid="{00000000-0005-0000-0000-000088090000}"/>
    <cellStyle name="Normale 38" xfId="936" xr:uid="{00000000-0005-0000-0000-000089090000}"/>
    <cellStyle name="Normale 38 2" xfId="2652" xr:uid="{00000000-0005-0000-0000-00008A090000}"/>
    <cellStyle name="Normale 39" xfId="937" xr:uid="{00000000-0005-0000-0000-00008B090000}"/>
    <cellStyle name="Normale 39 2" xfId="2653" xr:uid="{00000000-0005-0000-0000-00008C090000}"/>
    <cellStyle name="Normale 4" xfId="938" xr:uid="{00000000-0005-0000-0000-00008D090000}"/>
    <cellStyle name="Normale 4 2" xfId="939" xr:uid="{00000000-0005-0000-0000-00008E090000}"/>
    <cellStyle name="Normale 4 2 2" xfId="2654" xr:uid="{00000000-0005-0000-0000-00008F090000}"/>
    <cellStyle name="Normale 4 3" xfId="940" xr:uid="{00000000-0005-0000-0000-000090090000}"/>
    <cellStyle name="Normale 4 3 2" xfId="2655" xr:uid="{00000000-0005-0000-0000-000091090000}"/>
    <cellStyle name="Normale 4 4" xfId="2656" xr:uid="{00000000-0005-0000-0000-000092090000}"/>
    <cellStyle name="Normale 4_EDEN industria 2008 rev" xfId="941" xr:uid="{00000000-0005-0000-0000-000093090000}"/>
    <cellStyle name="Normale 40" xfId="942" xr:uid="{00000000-0005-0000-0000-000094090000}"/>
    <cellStyle name="Normale 40 2" xfId="2657" xr:uid="{00000000-0005-0000-0000-000095090000}"/>
    <cellStyle name="Normale 41" xfId="943" xr:uid="{00000000-0005-0000-0000-000096090000}"/>
    <cellStyle name="Normale 41 2" xfId="2658" xr:uid="{00000000-0005-0000-0000-000097090000}"/>
    <cellStyle name="Normale 42" xfId="944" xr:uid="{00000000-0005-0000-0000-000098090000}"/>
    <cellStyle name="Normale 42 2" xfId="2659" xr:uid="{00000000-0005-0000-0000-000099090000}"/>
    <cellStyle name="Normale 43" xfId="945" xr:uid="{00000000-0005-0000-0000-00009A090000}"/>
    <cellStyle name="Normale 43 2" xfId="2660" xr:uid="{00000000-0005-0000-0000-00009B090000}"/>
    <cellStyle name="Normale 44" xfId="946" xr:uid="{00000000-0005-0000-0000-00009C090000}"/>
    <cellStyle name="Normale 44 2" xfId="2661" xr:uid="{00000000-0005-0000-0000-00009D090000}"/>
    <cellStyle name="Normale 45" xfId="947" xr:uid="{00000000-0005-0000-0000-00009E090000}"/>
    <cellStyle name="Normale 45 2" xfId="2662" xr:uid="{00000000-0005-0000-0000-00009F090000}"/>
    <cellStyle name="Normale 46" xfId="948" xr:uid="{00000000-0005-0000-0000-0000A0090000}"/>
    <cellStyle name="Normale 46 2" xfId="2663" xr:uid="{00000000-0005-0000-0000-0000A1090000}"/>
    <cellStyle name="Normale 47" xfId="949" xr:uid="{00000000-0005-0000-0000-0000A2090000}"/>
    <cellStyle name="Normale 47 2" xfId="2664" xr:uid="{00000000-0005-0000-0000-0000A3090000}"/>
    <cellStyle name="Normale 48" xfId="950" xr:uid="{00000000-0005-0000-0000-0000A4090000}"/>
    <cellStyle name="Normale 48 2" xfId="2665" xr:uid="{00000000-0005-0000-0000-0000A5090000}"/>
    <cellStyle name="Normale 49" xfId="951" xr:uid="{00000000-0005-0000-0000-0000A6090000}"/>
    <cellStyle name="Normale 49 2" xfId="2666" xr:uid="{00000000-0005-0000-0000-0000A7090000}"/>
    <cellStyle name="Normale 5" xfId="952" xr:uid="{00000000-0005-0000-0000-0000A8090000}"/>
    <cellStyle name="Normale 5 2" xfId="953" xr:uid="{00000000-0005-0000-0000-0000A9090000}"/>
    <cellStyle name="Normale 5 2 2" xfId="2667" xr:uid="{00000000-0005-0000-0000-0000AA090000}"/>
    <cellStyle name="Normale 5 3" xfId="954" xr:uid="{00000000-0005-0000-0000-0000AB090000}"/>
    <cellStyle name="Normale 5 3 2" xfId="2668" xr:uid="{00000000-0005-0000-0000-0000AC090000}"/>
    <cellStyle name="Normale 5 4" xfId="2669" xr:uid="{00000000-0005-0000-0000-0000AD090000}"/>
    <cellStyle name="Normale 5_EDEN industria 2008 rev" xfId="955" xr:uid="{00000000-0005-0000-0000-0000AE090000}"/>
    <cellStyle name="Normale 50" xfId="956" xr:uid="{00000000-0005-0000-0000-0000AF090000}"/>
    <cellStyle name="Normale 50 2" xfId="2670" xr:uid="{00000000-0005-0000-0000-0000B0090000}"/>
    <cellStyle name="Normale 51" xfId="957" xr:uid="{00000000-0005-0000-0000-0000B1090000}"/>
    <cellStyle name="Normale 51 2" xfId="2671" xr:uid="{00000000-0005-0000-0000-0000B2090000}"/>
    <cellStyle name="Normale 52" xfId="958" xr:uid="{00000000-0005-0000-0000-0000B3090000}"/>
    <cellStyle name="Normale 52 2" xfId="2672" xr:uid="{00000000-0005-0000-0000-0000B4090000}"/>
    <cellStyle name="Normale 53" xfId="959" xr:uid="{00000000-0005-0000-0000-0000B5090000}"/>
    <cellStyle name="Normale 53 2" xfId="2673" xr:uid="{00000000-0005-0000-0000-0000B6090000}"/>
    <cellStyle name="Normale 54" xfId="960" xr:uid="{00000000-0005-0000-0000-0000B7090000}"/>
    <cellStyle name="Normale 54 2" xfId="2674" xr:uid="{00000000-0005-0000-0000-0000B8090000}"/>
    <cellStyle name="Normale 55" xfId="961" xr:uid="{00000000-0005-0000-0000-0000B9090000}"/>
    <cellStyle name="Normale 55 2" xfId="2675" xr:uid="{00000000-0005-0000-0000-0000BA090000}"/>
    <cellStyle name="Normale 56" xfId="962" xr:uid="{00000000-0005-0000-0000-0000BB090000}"/>
    <cellStyle name="Normale 56 2" xfId="2676" xr:uid="{00000000-0005-0000-0000-0000BC090000}"/>
    <cellStyle name="Normale 57" xfId="963" xr:uid="{00000000-0005-0000-0000-0000BD090000}"/>
    <cellStyle name="Normale 57 2" xfId="2677" xr:uid="{00000000-0005-0000-0000-0000BE090000}"/>
    <cellStyle name="Normale 58" xfId="964" xr:uid="{00000000-0005-0000-0000-0000BF090000}"/>
    <cellStyle name="Normale 58 2" xfId="2678" xr:uid="{00000000-0005-0000-0000-0000C0090000}"/>
    <cellStyle name="Normale 59" xfId="965" xr:uid="{00000000-0005-0000-0000-0000C1090000}"/>
    <cellStyle name="Normale 59 2" xfId="2679" xr:uid="{00000000-0005-0000-0000-0000C2090000}"/>
    <cellStyle name="Normale 6" xfId="966" xr:uid="{00000000-0005-0000-0000-0000C3090000}"/>
    <cellStyle name="Normale 6 2" xfId="967" xr:uid="{00000000-0005-0000-0000-0000C4090000}"/>
    <cellStyle name="Normale 6 2 2" xfId="2680" xr:uid="{00000000-0005-0000-0000-0000C5090000}"/>
    <cellStyle name="Normale 6 3" xfId="968" xr:uid="{00000000-0005-0000-0000-0000C6090000}"/>
    <cellStyle name="Normale 6 3 2" xfId="2681" xr:uid="{00000000-0005-0000-0000-0000C7090000}"/>
    <cellStyle name="Normale 6 4" xfId="2682" xr:uid="{00000000-0005-0000-0000-0000C8090000}"/>
    <cellStyle name="Normale 6_EDEN industria 2008 rev" xfId="969" xr:uid="{00000000-0005-0000-0000-0000C9090000}"/>
    <cellStyle name="Normale 60" xfId="970" xr:uid="{00000000-0005-0000-0000-0000CA090000}"/>
    <cellStyle name="Normale 60 2" xfId="2683" xr:uid="{00000000-0005-0000-0000-0000CB090000}"/>
    <cellStyle name="Normale 61" xfId="971" xr:uid="{00000000-0005-0000-0000-0000CC090000}"/>
    <cellStyle name="Normale 61 2" xfId="2684" xr:uid="{00000000-0005-0000-0000-0000CD090000}"/>
    <cellStyle name="Normale 62" xfId="972" xr:uid="{00000000-0005-0000-0000-0000CE090000}"/>
    <cellStyle name="Normale 62 2" xfId="2685" xr:uid="{00000000-0005-0000-0000-0000CF090000}"/>
    <cellStyle name="Normale 63" xfId="973" xr:uid="{00000000-0005-0000-0000-0000D0090000}"/>
    <cellStyle name="Normale 63 2" xfId="2686" xr:uid="{00000000-0005-0000-0000-0000D1090000}"/>
    <cellStyle name="Normale 64" xfId="974" xr:uid="{00000000-0005-0000-0000-0000D2090000}"/>
    <cellStyle name="Normale 64 2" xfId="2687" xr:uid="{00000000-0005-0000-0000-0000D3090000}"/>
    <cellStyle name="Normale 65" xfId="975" xr:uid="{00000000-0005-0000-0000-0000D4090000}"/>
    <cellStyle name="Normale 65 2" xfId="2688" xr:uid="{00000000-0005-0000-0000-0000D5090000}"/>
    <cellStyle name="Normale 7" xfId="976" xr:uid="{00000000-0005-0000-0000-0000D6090000}"/>
    <cellStyle name="Normale 7 2" xfId="977" xr:uid="{00000000-0005-0000-0000-0000D7090000}"/>
    <cellStyle name="Normale 7 2 2" xfId="2689" xr:uid="{00000000-0005-0000-0000-0000D8090000}"/>
    <cellStyle name="Normale 7 3" xfId="978" xr:uid="{00000000-0005-0000-0000-0000D9090000}"/>
    <cellStyle name="Normale 7 3 2" xfId="2690" xr:uid="{00000000-0005-0000-0000-0000DA090000}"/>
    <cellStyle name="Normale 7 4" xfId="2691" xr:uid="{00000000-0005-0000-0000-0000DB090000}"/>
    <cellStyle name="Normale 7_EDEN industria 2008 rev" xfId="979" xr:uid="{00000000-0005-0000-0000-0000DC090000}"/>
    <cellStyle name="Normale 8" xfId="980" xr:uid="{00000000-0005-0000-0000-0000DD090000}"/>
    <cellStyle name="Normale 8 2" xfId="981" xr:uid="{00000000-0005-0000-0000-0000DE090000}"/>
    <cellStyle name="Normale 8 2 2" xfId="2692" xr:uid="{00000000-0005-0000-0000-0000DF090000}"/>
    <cellStyle name="Normale 8 3" xfId="982" xr:uid="{00000000-0005-0000-0000-0000E0090000}"/>
    <cellStyle name="Normale 8 3 2" xfId="2693" xr:uid="{00000000-0005-0000-0000-0000E1090000}"/>
    <cellStyle name="Normale 8 4" xfId="2694" xr:uid="{00000000-0005-0000-0000-0000E2090000}"/>
    <cellStyle name="Normale 8_EDEN industria 2008 rev" xfId="983" xr:uid="{00000000-0005-0000-0000-0000E3090000}"/>
    <cellStyle name="Normale 9" xfId="984" xr:uid="{00000000-0005-0000-0000-0000E4090000}"/>
    <cellStyle name="Normale 9 2" xfId="985" xr:uid="{00000000-0005-0000-0000-0000E5090000}"/>
    <cellStyle name="Normale 9 2 2" xfId="2695" xr:uid="{00000000-0005-0000-0000-0000E6090000}"/>
    <cellStyle name="Normale 9 3" xfId="986" xr:uid="{00000000-0005-0000-0000-0000E7090000}"/>
    <cellStyle name="Normale 9 3 2" xfId="2696" xr:uid="{00000000-0005-0000-0000-0000E8090000}"/>
    <cellStyle name="Normale 9 4" xfId="2697" xr:uid="{00000000-0005-0000-0000-0000E9090000}"/>
    <cellStyle name="Normale 9_EDEN industria 2008 rev" xfId="987" xr:uid="{00000000-0005-0000-0000-0000EA090000}"/>
    <cellStyle name="Normale_B2020" xfId="988" xr:uid="{00000000-0005-0000-0000-0000EB090000}"/>
    <cellStyle name="Nota" xfId="989" xr:uid="{00000000-0005-0000-0000-0000EC090000}"/>
    <cellStyle name="Nota 10" xfId="990" xr:uid="{00000000-0005-0000-0000-0000ED090000}"/>
    <cellStyle name="Nota 11" xfId="4018" xr:uid="{00000000-0005-0000-0000-0000EE090000}"/>
    <cellStyle name="Nota 2" xfId="991" xr:uid="{00000000-0005-0000-0000-0000EF090000}"/>
    <cellStyle name="Nota 2 2" xfId="992" xr:uid="{00000000-0005-0000-0000-0000F0090000}"/>
    <cellStyle name="Nota 2 2 2" xfId="4019" xr:uid="{00000000-0005-0000-0000-0000F1090000}"/>
    <cellStyle name="Nota 2 3" xfId="993" xr:uid="{00000000-0005-0000-0000-0000F2090000}"/>
    <cellStyle name="Nota 2 4" xfId="994" xr:uid="{00000000-0005-0000-0000-0000F3090000}"/>
    <cellStyle name="Nota 2 5" xfId="995" xr:uid="{00000000-0005-0000-0000-0000F4090000}"/>
    <cellStyle name="Nota 2 6" xfId="996" xr:uid="{00000000-0005-0000-0000-0000F5090000}"/>
    <cellStyle name="Nota 2 7" xfId="4020" xr:uid="{00000000-0005-0000-0000-0000F6090000}"/>
    <cellStyle name="Nota 3" xfId="997" xr:uid="{00000000-0005-0000-0000-0000F7090000}"/>
    <cellStyle name="Nota 3 2" xfId="998" xr:uid="{00000000-0005-0000-0000-0000F8090000}"/>
    <cellStyle name="Nota 3 2 2" xfId="999" xr:uid="{00000000-0005-0000-0000-0000F9090000}"/>
    <cellStyle name="Nota 3 2 2 2" xfId="4021" xr:uid="{00000000-0005-0000-0000-0000FA090000}"/>
    <cellStyle name="Nota 3 2 2 3" xfId="4022" xr:uid="{00000000-0005-0000-0000-0000FB090000}"/>
    <cellStyle name="Nota 3 2 3" xfId="1000" xr:uid="{00000000-0005-0000-0000-0000FC090000}"/>
    <cellStyle name="Nota 3 2 3 2" xfId="4023" xr:uid="{00000000-0005-0000-0000-0000FD090000}"/>
    <cellStyle name="Nota 3 2 4" xfId="1001" xr:uid="{00000000-0005-0000-0000-0000FE090000}"/>
    <cellStyle name="Nota 3 2 5" xfId="1002" xr:uid="{00000000-0005-0000-0000-0000FF090000}"/>
    <cellStyle name="Nota 3 2 6" xfId="1003" xr:uid="{00000000-0005-0000-0000-0000000A0000}"/>
    <cellStyle name="Nota 3 2 7" xfId="4024" xr:uid="{00000000-0005-0000-0000-0000010A0000}"/>
    <cellStyle name="Nota 3 3" xfId="1004" xr:uid="{00000000-0005-0000-0000-0000020A0000}"/>
    <cellStyle name="Nota 3 3 2" xfId="2698" xr:uid="{00000000-0005-0000-0000-0000030A0000}"/>
    <cellStyle name="Nota 3 3 3" xfId="4025" xr:uid="{00000000-0005-0000-0000-0000040A0000}"/>
    <cellStyle name="Nota 3 4" xfId="1005" xr:uid="{00000000-0005-0000-0000-0000050A0000}"/>
    <cellStyle name="Nota 3 5" xfId="1006" xr:uid="{00000000-0005-0000-0000-0000060A0000}"/>
    <cellStyle name="Nota 3 6" xfId="1007" xr:uid="{00000000-0005-0000-0000-0000070A0000}"/>
    <cellStyle name="Nota 3 7" xfId="1008" xr:uid="{00000000-0005-0000-0000-0000080A0000}"/>
    <cellStyle name="Nota 3 8" xfId="4026" xr:uid="{00000000-0005-0000-0000-0000090A0000}"/>
    <cellStyle name="Nota 4" xfId="1009" xr:uid="{00000000-0005-0000-0000-00000A0A0000}"/>
    <cellStyle name="Nota 4 2" xfId="1010" xr:uid="{00000000-0005-0000-0000-00000B0A0000}"/>
    <cellStyle name="Nota 4 2 2" xfId="2699" xr:uid="{00000000-0005-0000-0000-00000C0A0000}"/>
    <cellStyle name="Nota 4 2 2 2" xfId="4027" xr:uid="{00000000-0005-0000-0000-00000D0A0000}"/>
    <cellStyle name="Nota 4 2 3" xfId="4028" xr:uid="{00000000-0005-0000-0000-00000E0A0000}"/>
    <cellStyle name="Nota 4 3" xfId="1011" xr:uid="{00000000-0005-0000-0000-00000F0A0000}"/>
    <cellStyle name="Nota 4 3 2" xfId="4029" xr:uid="{00000000-0005-0000-0000-0000100A0000}"/>
    <cellStyle name="Nota 4 4" xfId="1012" xr:uid="{00000000-0005-0000-0000-0000110A0000}"/>
    <cellStyle name="Nota 4 5" xfId="1013" xr:uid="{00000000-0005-0000-0000-0000120A0000}"/>
    <cellStyle name="Nota 4 6" xfId="1014" xr:uid="{00000000-0005-0000-0000-0000130A0000}"/>
    <cellStyle name="Nota 4 7" xfId="4030" xr:uid="{00000000-0005-0000-0000-0000140A0000}"/>
    <cellStyle name="Nota 5" xfId="1015" xr:uid="{00000000-0005-0000-0000-0000150A0000}"/>
    <cellStyle name="Nota 5 2" xfId="1016" xr:uid="{00000000-0005-0000-0000-0000160A0000}"/>
    <cellStyle name="Nota 5 2 2" xfId="4031" xr:uid="{00000000-0005-0000-0000-0000170A0000}"/>
    <cellStyle name="Nota 5 3" xfId="1017" xr:uid="{00000000-0005-0000-0000-0000180A0000}"/>
    <cellStyle name="Nota 5 4" xfId="1018" xr:uid="{00000000-0005-0000-0000-0000190A0000}"/>
    <cellStyle name="Nota 5 5" xfId="1019" xr:uid="{00000000-0005-0000-0000-00001A0A0000}"/>
    <cellStyle name="Nota 5 6" xfId="1020" xr:uid="{00000000-0005-0000-0000-00001B0A0000}"/>
    <cellStyle name="Nota 5 7" xfId="4032" xr:uid="{00000000-0005-0000-0000-00001C0A0000}"/>
    <cellStyle name="Nota 6" xfId="1021" xr:uid="{00000000-0005-0000-0000-00001D0A0000}"/>
    <cellStyle name="Nota 6 2" xfId="4033" xr:uid="{00000000-0005-0000-0000-00001E0A0000}"/>
    <cellStyle name="Nota 7" xfId="1022" xr:uid="{00000000-0005-0000-0000-00001F0A0000}"/>
    <cellStyle name="Nota 8" xfId="1023" xr:uid="{00000000-0005-0000-0000-0000200A0000}"/>
    <cellStyle name="Nota 9" xfId="1024" xr:uid="{00000000-0005-0000-0000-0000210A0000}"/>
    <cellStyle name="Note 2" xfId="4034" xr:uid="{00000000-0005-0000-0000-0000220A0000}"/>
    <cellStyle name="Note 2 2" xfId="4035" xr:uid="{00000000-0005-0000-0000-0000230A0000}"/>
    <cellStyle name="Note 2 2 2" xfId="4036" xr:uid="{00000000-0005-0000-0000-0000240A0000}"/>
    <cellStyle name="Note 2 3" xfId="4037" xr:uid="{00000000-0005-0000-0000-0000250A0000}"/>
    <cellStyle name="Nuovo" xfId="1025" xr:uid="{00000000-0005-0000-0000-0000260A0000}"/>
    <cellStyle name="Nuovo 10" xfId="1026" xr:uid="{00000000-0005-0000-0000-0000270A0000}"/>
    <cellStyle name="Nuovo 10 2" xfId="1027" xr:uid="{00000000-0005-0000-0000-0000280A0000}"/>
    <cellStyle name="Nuovo 10 2 2" xfId="2700" xr:uid="{00000000-0005-0000-0000-0000290A0000}"/>
    <cellStyle name="Nuovo 10 3" xfId="1028" xr:uid="{00000000-0005-0000-0000-00002A0A0000}"/>
    <cellStyle name="Nuovo 10 3 2" xfId="1029" xr:uid="{00000000-0005-0000-0000-00002B0A0000}"/>
    <cellStyle name="Nuovo 10 3 2 2" xfId="4038" xr:uid="{00000000-0005-0000-0000-00002C0A0000}"/>
    <cellStyle name="Nuovo 10 3 2 3" xfId="4039" xr:uid="{00000000-0005-0000-0000-00002D0A0000}"/>
    <cellStyle name="Nuovo 10 3 3" xfId="1030" xr:uid="{00000000-0005-0000-0000-00002E0A0000}"/>
    <cellStyle name="Nuovo 10 3 3 2" xfId="2701" xr:uid="{00000000-0005-0000-0000-00002F0A0000}"/>
    <cellStyle name="Nuovo 10 3 4" xfId="2702" xr:uid="{00000000-0005-0000-0000-0000300A0000}"/>
    <cellStyle name="Nuovo 10 4" xfId="1031" xr:uid="{00000000-0005-0000-0000-0000310A0000}"/>
    <cellStyle name="Nuovo 10 4 2" xfId="2703" xr:uid="{00000000-0005-0000-0000-0000320A0000}"/>
    <cellStyle name="Nuovo 10 4 2 2" xfId="2704" xr:uid="{00000000-0005-0000-0000-0000330A0000}"/>
    <cellStyle name="Nuovo 10 4 3" xfId="2705" xr:uid="{00000000-0005-0000-0000-0000340A0000}"/>
    <cellStyle name="Nuovo 10 5" xfId="1032" xr:uid="{00000000-0005-0000-0000-0000350A0000}"/>
    <cellStyle name="Nuovo 11" xfId="1033" xr:uid="{00000000-0005-0000-0000-0000360A0000}"/>
    <cellStyle name="Nuovo 11 2" xfId="1034" xr:uid="{00000000-0005-0000-0000-0000370A0000}"/>
    <cellStyle name="Nuovo 11 2 2" xfId="2706" xr:uid="{00000000-0005-0000-0000-0000380A0000}"/>
    <cellStyle name="Nuovo 11 3" xfId="1035" xr:uid="{00000000-0005-0000-0000-0000390A0000}"/>
    <cellStyle name="Nuovo 11 3 2" xfId="1036" xr:uid="{00000000-0005-0000-0000-00003A0A0000}"/>
    <cellStyle name="Nuovo 11 3 2 2" xfId="4040" xr:uid="{00000000-0005-0000-0000-00003B0A0000}"/>
    <cellStyle name="Nuovo 11 3 2 3" xfId="4041" xr:uid="{00000000-0005-0000-0000-00003C0A0000}"/>
    <cellStyle name="Nuovo 11 3 3" xfId="1037" xr:uid="{00000000-0005-0000-0000-00003D0A0000}"/>
    <cellStyle name="Nuovo 11 3 3 2" xfId="2707" xr:uid="{00000000-0005-0000-0000-00003E0A0000}"/>
    <cellStyle name="Nuovo 11 3 4" xfId="2708" xr:uid="{00000000-0005-0000-0000-00003F0A0000}"/>
    <cellStyle name="Nuovo 11 4" xfId="1038" xr:uid="{00000000-0005-0000-0000-0000400A0000}"/>
    <cellStyle name="Nuovo 11 4 2" xfId="2709" xr:uid="{00000000-0005-0000-0000-0000410A0000}"/>
    <cellStyle name="Nuovo 11 4 2 2" xfId="2710" xr:uid="{00000000-0005-0000-0000-0000420A0000}"/>
    <cellStyle name="Nuovo 11 4 3" xfId="2711" xr:uid="{00000000-0005-0000-0000-0000430A0000}"/>
    <cellStyle name="Nuovo 11 5" xfId="1039" xr:uid="{00000000-0005-0000-0000-0000440A0000}"/>
    <cellStyle name="Nuovo 12" xfId="1040" xr:uid="{00000000-0005-0000-0000-0000450A0000}"/>
    <cellStyle name="Nuovo 12 2" xfId="1041" xr:uid="{00000000-0005-0000-0000-0000460A0000}"/>
    <cellStyle name="Nuovo 12 2 2" xfId="2712" xr:uid="{00000000-0005-0000-0000-0000470A0000}"/>
    <cellStyle name="Nuovo 12 3" xfId="1042" xr:uid="{00000000-0005-0000-0000-0000480A0000}"/>
    <cellStyle name="Nuovo 12 3 2" xfId="1043" xr:uid="{00000000-0005-0000-0000-0000490A0000}"/>
    <cellStyle name="Nuovo 12 3 2 2" xfId="4042" xr:uid="{00000000-0005-0000-0000-00004A0A0000}"/>
    <cellStyle name="Nuovo 12 3 2 3" xfId="4043" xr:uid="{00000000-0005-0000-0000-00004B0A0000}"/>
    <cellStyle name="Nuovo 12 3 3" xfId="1044" xr:uid="{00000000-0005-0000-0000-00004C0A0000}"/>
    <cellStyle name="Nuovo 12 3 3 2" xfId="2713" xr:uid="{00000000-0005-0000-0000-00004D0A0000}"/>
    <cellStyle name="Nuovo 12 3 4" xfId="2714" xr:uid="{00000000-0005-0000-0000-00004E0A0000}"/>
    <cellStyle name="Nuovo 12 4" xfId="1045" xr:uid="{00000000-0005-0000-0000-00004F0A0000}"/>
    <cellStyle name="Nuovo 12 4 2" xfId="2715" xr:uid="{00000000-0005-0000-0000-0000500A0000}"/>
    <cellStyle name="Nuovo 12 4 2 2" xfId="2716" xr:uid="{00000000-0005-0000-0000-0000510A0000}"/>
    <cellStyle name="Nuovo 12 4 3" xfId="2717" xr:uid="{00000000-0005-0000-0000-0000520A0000}"/>
    <cellStyle name="Nuovo 12 5" xfId="1046" xr:uid="{00000000-0005-0000-0000-0000530A0000}"/>
    <cellStyle name="Nuovo 13" xfId="1047" xr:uid="{00000000-0005-0000-0000-0000540A0000}"/>
    <cellStyle name="Nuovo 13 2" xfId="1048" xr:uid="{00000000-0005-0000-0000-0000550A0000}"/>
    <cellStyle name="Nuovo 13 2 2" xfId="2718" xr:uid="{00000000-0005-0000-0000-0000560A0000}"/>
    <cellStyle name="Nuovo 13 3" xfId="1049" xr:uid="{00000000-0005-0000-0000-0000570A0000}"/>
    <cellStyle name="Nuovo 13 3 2" xfId="1050" xr:uid="{00000000-0005-0000-0000-0000580A0000}"/>
    <cellStyle name="Nuovo 13 3 2 2" xfId="4044" xr:uid="{00000000-0005-0000-0000-0000590A0000}"/>
    <cellStyle name="Nuovo 13 3 2 3" xfId="4045" xr:uid="{00000000-0005-0000-0000-00005A0A0000}"/>
    <cellStyle name="Nuovo 13 3 3" xfId="1051" xr:uid="{00000000-0005-0000-0000-00005B0A0000}"/>
    <cellStyle name="Nuovo 13 3 3 2" xfId="2719" xr:uid="{00000000-0005-0000-0000-00005C0A0000}"/>
    <cellStyle name="Nuovo 13 3 4" xfId="2720" xr:uid="{00000000-0005-0000-0000-00005D0A0000}"/>
    <cellStyle name="Nuovo 13 4" xfId="1052" xr:uid="{00000000-0005-0000-0000-00005E0A0000}"/>
    <cellStyle name="Nuovo 13 4 2" xfId="2721" xr:uid="{00000000-0005-0000-0000-00005F0A0000}"/>
    <cellStyle name="Nuovo 13 4 2 2" xfId="2722" xr:uid="{00000000-0005-0000-0000-0000600A0000}"/>
    <cellStyle name="Nuovo 13 4 3" xfId="2723" xr:uid="{00000000-0005-0000-0000-0000610A0000}"/>
    <cellStyle name="Nuovo 13 5" xfId="1053" xr:uid="{00000000-0005-0000-0000-0000620A0000}"/>
    <cellStyle name="Nuovo 14" xfId="1054" xr:uid="{00000000-0005-0000-0000-0000630A0000}"/>
    <cellStyle name="Nuovo 14 2" xfId="1055" xr:uid="{00000000-0005-0000-0000-0000640A0000}"/>
    <cellStyle name="Nuovo 14 2 2" xfId="2724" xr:uid="{00000000-0005-0000-0000-0000650A0000}"/>
    <cellStyle name="Nuovo 14 3" xfId="1056" xr:uid="{00000000-0005-0000-0000-0000660A0000}"/>
    <cellStyle name="Nuovo 14 3 2" xfId="1057" xr:uid="{00000000-0005-0000-0000-0000670A0000}"/>
    <cellStyle name="Nuovo 14 3 2 2" xfId="4046" xr:uid="{00000000-0005-0000-0000-0000680A0000}"/>
    <cellStyle name="Nuovo 14 3 2 3" xfId="4047" xr:uid="{00000000-0005-0000-0000-0000690A0000}"/>
    <cellStyle name="Nuovo 14 3 3" xfId="1058" xr:uid="{00000000-0005-0000-0000-00006A0A0000}"/>
    <cellStyle name="Nuovo 14 3 3 2" xfId="2725" xr:uid="{00000000-0005-0000-0000-00006B0A0000}"/>
    <cellStyle name="Nuovo 14 3 4" xfId="2726" xr:uid="{00000000-0005-0000-0000-00006C0A0000}"/>
    <cellStyle name="Nuovo 14 4" xfId="1059" xr:uid="{00000000-0005-0000-0000-00006D0A0000}"/>
    <cellStyle name="Nuovo 14 4 2" xfId="2727" xr:uid="{00000000-0005-0000-0000-00006E0A0000}"/>
    <cellStyle name="Nuovo 14 4 2 2" xfId="2728" xr:uid="{00000000-0005-0000-0000-00006F0A0000}"/>
    <cellStyle name="Nuovo 14 4 3" xfId="2729" xr:uid="{00000000-0005-0000-0000-0000700A0000}"/>
    <cellStyle name="Nuovo 14 5" xfId="1060" xr:uid="{00000000-0005-0000-0000-0000710A0000}"/>
    <cellStyle name="Nuovo 15" xfId="1061" xr:uid="{00000000-0005-0000-0000-0000720A0000}"/>
    <cellStyle name="Nuovo 15 2" xfId="1062" xr:uid="{00000000-0005-0000-0000-0000730A0000}"/>
    <cellStyle name="Nuovo 15 2 2" xfId="2730" xr:uid="{00000000-0005-0000-0000-0000740A0000}"/>
    <cellStyle name="Nuovo 15 3" xfId="1063" xr:uid="{00000000-0005-0000-0000-0000750A0000}"/>
    <cellStyle name="Nuovo 15 3 2" xfId="1064" xr:uid="{00000000-0005-0000-0000-0000760A0000}"/>
    <cellStyle name="Nuovo 15 3 2 2" xfId="4048" xr:uid="{00000000-0005-0000-0000-0000770A0000}"/>
    <cellStyle name="Nuovo 15 3 2 3" xfId="4049" xr:uid="{00000000-0005-0000-0000-0000780A0000}"/>
    <cellStyle name="Nuovo 15 3 3" xfId="1065" xr:uid="{00000000-0005-0000-0000-0000790A0000}"/>
    <cellStyle name="Nuovo 15 3 3 2" xfId="2731" xr:uid="{00000000-0005-0000-0000-00007A0A0000}"/>
    <cellStyle name="Nuovo 15 3 4" xfId="2732" xr:uid="{00000000-0005-0000-0000-00007B0A0000}"/>
    <cellStyle name="Nuovo 15 4" xfId="1066" xr:uid="{00000000-0005-0000-0000-00007C0A0000}"/>
    <cellStyle name="Nuovo 15 4 2" xfId="2733" xr:uid="{00000000-0005-0000-0000-00007D0A0000}"/>
    <cellStyle name="Nuovo 15 4 2 2" xfId="2734" xr:uid="{00000000-0005-0000-0000-00007E0A0000}"/>
    <cellStyle name="Nuovo 15 4 3" xfId="2735" xr:uid="{00000000-0005-0000-0000-00007F0A0000}"/>
    <cellStyle name="Nuovo 15 5" xfId="1067" xr:uid="{00000000-0005-0000-0000-0000800A0000}"/>
    <cellStyle name="Nuovo 16" xfId="1068" xr:uid="{00000000-0005-0000-0000-0000810A0000}"/>
    <cellStyle name="Nuovo 16 2" xfId="1069" xr:uid="{00000000-0005-0000-0000-0000820A0000}"/>
    <cellStyle name="Nuovo 16 2 2" xfId="2736" xr:uid="{00000000-0005-0000-0000-0000830A0000}"/>
    <cellStyle name="Nuovo 16 3" xfId="1070" xr:uid="{00000000-0005-0000-0000-0000840A0000}"/>
    <cellStyle name="Nuovo 16 3 2" xfId="1071" xr:uid="{00000000-0005-0000-0000-0000850A0000}"/>
    <cellStyle name="Nuovo 16 3 2 2" xfId="4050" xr:uid="{00000000-0005-0000-0000-0000860A0000}"/>
    <cellStyle name="Nuovo 16 3 2 3" xfId="4051" xr:uid="{00000000-0005-0000-0000-0000870A0000}"/>
    <cellStyle name="Nuovo 16 3 3" xfId="1072" xr:uid="{00000000-0005-0000-0000-0000880A0000}"/>
    <cellStyle name="Nuovo 16 3 3 2" xfId="2737" xr:uid="{00000000-0005-0000-0000-0000890A0000}"/>
    <cellStyle name="Nuovo 16 3 4" xfId="2738" xr:uid="{00000000-0005-0000-0000-00008A0A0000}"/>
    <cellStyle name="Nuovo 16 4" xfId="1073" xr:uid="{00000000-0005-0000-0000-00008B0A0000}"/>
    <cellStyle name="Nuovo 16 4 2" xfId="2739" xr:uid="{00000000-0005-0000-0000-00008C0A0000}"/>
    <cellStyle name="Nuovo 16 4 2 2" xfId="2740" xr:uid="{00000000-0005-0000-0000-00008D0A0000}"/>
    <cellStyle name="Nuovo 16 4 3" xfId="2741" xr:uid="{00000000-0005-0000-0000-00008E0A0000}"/>
    <cellStyle name="Nuovo 16 5" xfId="1074" xr:uid="{00000000-0005-0000-0000-00008F0A0000}"/>
    <cellStyle name="Nuovo 17" xfId="1075" xr:uid="{00000000-0005-0000-0000-0000900A0000}"/>
    <cellStyle name="Nuovo 17 2" xfId="1076" xr:uid="{00000000-0005-0000-0000-0000910A0000}"/>
    <cellStyle name="Nuovo 17 2 2" xfId="2742" xr:uid="{00000000-0005-0000-0000-0000920A0000}"/>
    <cellStyle name="Nuovo 17 3" xfId="1077" xr:uid="{00000000-0005-0000-0000-0000930A0000}"/>
    <cellStyle name="Nuovo 17 3 2" xfId="1078" xr:uid="{00000000-0005-0000-0000-0000940A0000}"/>
    <cellStyle name="Nuovo 17 3 2 2" xfId="4052" xr:uid="{00000000-0005-0000-0000-0000950A0000}"/>
    <cellStyle name="Nuovo 17 3 2 3" xfId="4053" xr:uid="{00000000-0005-0000-0000-0000960A0000}"/>
    <cellStyle name="Nuovo 17 3 3" xfId="1079" xr:uid="{00000000-0005-0000-0000-0000970A0000}"/>
    <cellStyle name="Nuovo 17 3 3 2" xfId="2743" xr:uid="{00000000-0005-0000-0000-0000980A0000}"/>
    <cellStyle name="Nuovo 17 3 4" xfId="2744" xr:uid="{00000000-0005-0000-0000-0000990A0000}"/>
    <cellStyle name="Nuovo 17 4" xfId="1080" xr:uid="{00000000-0005-0000-0000-00009A0A0000}"/>
    <cellStyle name="Nuovo 17 4 2" xfId="2745" xr:uid="{00000000-0005-0000-0000-00009B0A0000}"/>
    <cellStyle name="Nuovo 17 4 2 2" xfId="2746" xr:uid="{00000000-0005-0000-0000-00009C0A0000}"/>
    <cellStyle name="Nuovo 17 4 3" xfId="2747" xr:uid="{00000000-0005-0000-0000-00009D0A0000}"/>
    <cellStyle name="Nuovo 17 5" xfId="1081" xr:uid="{00000000-0005-0000-0000-00009E0A0000}"/>
    <cellStyle name="Nuovo 18" xfId="1082" xr:uid="{00000000-0005-0000-0000-00009F0A0000}"/>
    <cellStyle name="Nuovo 18 2" xfId="1083" xr:uid="{00000000-0005-0000-0000-0000A00A0000}"/>
    <cellStyle name="Nuovo 18 2 2" xfId="2748" xr:uid="{00000000-0005-0000-0000-0000A10A0000}"/>
    <cellStyle name="Nuovo 18 3" xfId="1084" xr:uid="{00000000-0005-0000-0000-0000A20A0000}"/>
    <cellStyle name="Nuovo 18 3 2" xfId="1085" xr:uid="{00000000-0005-0000-0000-0000A30A0000}"/>
    <cellStyle name="Nuovo 18 3 2 2" xfId="4054" xr:uid="{00000000-0005-0000-0000-0000A40A0000}"/>
    <cellStyle name="Nuovo 18 3 2 3" xfId="4055" xr:uid="{00000000-0005-0000-0000-0000A50A0000}"/>
    <cellStyle name="Nuovo 18 3 3" xfId="1086" xr:uid="{00000000-0005-0000-0000-0000A60A0000}"/>
    <cellStyle name="Nuovo 18 3 3 2" xfId="2749" xr:uid="{00000000-0005-0000-0000-0000A70A0000}"/>
    <cellStyle name="Nuovo 18 3 4" xfId="2750" xr:uid="{00000000-0005-0000-0000-0000A80A0000}"/>
    <cellStyle name="Nuovo 18 4" xfId="1087" xr:uid="{00000000-0005-0000-0000-0000A90A0000}"/>
    <cellStyle name="Nuovo 18 4 2" xfId="2751" xr:uid="{00000000-0005-0000-0000-0000AA0A0000}"/>
    <cellStyle name="Nuovo 18 4 2 2" xfId="2752" xr:uid="{00000000-0005-0000-0000-0000AB0A0000}"/>
    <cellStyle name="Nuovo 18 4 3" xfId="2753" xr:uid="{00000000-0005-0000-0000-0000AC0A0000}"/>
    <cellStyle name="Nuovo 18 5" xfId="1088" xr:uid="{00000000-0005-0000-0000-0000AD0A0000}"/>
    <cellStyle name="Nuovo 19" xfId="1089" xr:uid="{00000000-0005-0000-0000-0000AE0A0000}"/>
    <cellStyle name="Nuovo 19 2" xfId="1090" xr:uid="{00000000-0005-0000-0000-0000AF0A0000}"/>
    <cellStyle name="Nuovo 19 2 2" xfId="2754" xr:uid="{00000000-0005-0000-0000-0000B00A0000}"/>
    <cellStyle name="Nuovo 19 3" xfId="1091" xr:uid="{00000000-0005-0000-0000-0000B10A0000}"/>
    <cellStyle name="Nuovo 19 3 2" xfId="1092" xr:uid="{00000000-0005-0000-0000-0000B20A0000}"/>
    <cellStyle name="Nuovo 19 3 2 2" xfId="4056" xr:uid="{00000000-0005-0000-0000-0000B30A0000}"/>
    <cellStyle name="Nuovo 19 3 2 3" xfId="4057" xr:uid="{00000000-0005-0000-0000-0000B40A0000}"/>
    <cellStyle name="Nuovo 19 3 3" xfId="1093" xr:uid="{00000000-0005-0000-0000-0000B50A0000}"/>
    <cellStyle name="Nuovo 19 3 3 2" xfId="2755" xr:uid="{00000000-0005-0000-0000-0000B60A0000}"/>
    <cellStyle name="Nuovo 19 3 4" xfId="2756" xr:uid="{00000000-0005-0000-0000-0000B70A0000}"/>
    <cellStyle name="Nuovo 19 4" xfId="1094" xr:uid="{00000000-0005-0000-0000-0000B80A0000}"/>
    <cellStyle name="Nuovo 19 4 2" xfId="2757" xr:uid="{00000000-0005-0000-0000-0000B90A0000}"/>
    <cellStyle name="Nuovo 19 4 2 2" xfId="2758" xr:uid="{00000000-0005-0000-0000-0000BA0A0000}"/>
    <cellStyle name="Nuovo 19 4 3" xfId="2759" xr:uid="{00000000-0005-0000-0000-0000BB0A0000}"/>
    <cellStyle name="Nuovo 19 5" xfId="1095" xr:uid="{00000000-0005-0000-0000-0000BC0A0000}"/>
    <cellStyle name="Nuovo 2" xfId="1096" xr:uid="{00000000-0005-0000-0000-0000BD0A0000}"/>
    <cellStyle name="Nuovo 2 2" xfId="1097" xr:uid="{00000000-0005-0000-0000-0000BE0A0000}"/>
    <cellStyle name="Nuovo 2 2 2" xfId="2760" xr:uid="{00000000-0005-0000-0000-0000BF0A0000}"/>
    <cellStyle name="Nuovo 2 3" xfId="1098" xr:uid="{00000000-0005-0000-0000-0000C00A0000}"/>
    <cellStyle name="Nuovo 2 3 2" xfId="1099" xr:uid="{00000000-0005-0000-0000-0000C10A0000}"/>
    <cellStyle name="Nuovo 2 3 2 2" xfId="4058" xr:uid="{00000000-0005-0000-0000-0000C20A0000}"/>
    <cellStyle name="Nuovo 2 3 2 3" xfId="4059" xr:uid="{00000000-0005-0000-0000-0000C30A0000}"/>
    <cellStyle name="Nuovo 2 3 3" xfId="1100" xr:uid="{00000000-0005-0000-0000-0000C40A0000}"/>
    <cellStyle name="Nuovo 2 3 3 2" xfId="2761" xr:uid="{00000000-0005-0000-0000-0000C50A0000}"/>
    <cellStyle name="Nuovo 2 3 4" xfId="2762" xr:uid="{00000000-0005-0000-0000-0000C60A0000}"/>
    <cellStyle name="Nuovo 2 4" xfId="1101" xr:uid="{00000000-0005-0000-0000-0000C70A0000}"/>
    <cellStyle name="Nuovo 2 4 2" xfId="2763" xr:uid="{00000000-0005-0000-0000-0000C80A0000}"/>
    <cellStyle name="Nuovo 2 4 2 2" xfId="2764" xr:uid="{00000000-0005-0000-0000-0000C90A0000}"/>
    <cellStyle name="Nuovo 2 4 3" xfId="2765" xr:uid="{00000000-0005-0000-0000-0000CA0A0000}"/>
    <cellStyle name="Nuovo 2 5" xfId="1102" xr:uid="{00000000-0005-0000-0000-0000CB0A0000}"/>
    <cellStyle name="Nuovo 20" xfId="1103" xr:uid="{00000000-0005-0000-0000-0000CC0A0000}"/>
    <cellStyle name="Nuovo 20 2" xfId="1104" xr:uid="{00000000-0005-0000-0000-0000CD0A0000}"/>
    <cellStyle name="Nuovo 20 2 2" xfId="2766" xr:uid="{00000000-0005-0000-0000-0000CE0A0000}"/>
    <cellStyle name="Nuovo 20 3" xfId="1105" xr:uid="{00000000-0005-0000-0000-0000CF0A0000}"/>
    <cellStyle name="Nuovo 20 3 2" xfId="1106" xr:uid="{00000000-0005-0000-0000-0000D00A0000}"/>
    <cellStyle name="Nuovo 20 3 2 2" xfId="4060" xr:uid="{00000000-0005-0000-0000-0000D10A0000}"/>
    <cellStyle name="Nuovo 20 3 2 3" xfId="4061" xr:uid="{00000000-0005-0000-0000-0000D20A0000}"/>
    <cellStyle name="Nuovo 20 3 3" xfId="1107" xr:uid="{00000000-0005-0000-0000-0000D30A0000}"/>
    <cellStyle name="Nuovo 20 3 3 2" xfId="2767" xr:uid="{00000000-0005-0000-0000-0000D40A0000}"/>
    <cellStyle name="Nuovo 20 3 4" xfId="2768" xr:uid="{00000000-0005-0000-0000-0000D50A0000}"/>
    <cellStyle name="Nuovo 20 4" xfId="1108" xr:uid="{00000000-0005-0000-0000-0000D60A0000}"/>
    <cellStyle name="Nuovo 20 4 2" xfId="2769" xr:uid="{00000000-0005-0000-0000-0000D70A0000}"/>
    <cellStyle name="Nuovo 20 4 2 2" xfId="2770" xr:uid="{00000000-0005-0000-0000-0000D80A0000}"/>
    <cellStyle name="Nuovo 20 4 3" xfId="2771" xr:uid="{00000000-0005-0000-0000-0000D90A0000}"/>
    <cellStyle name="Nuovo 20 5" xfId="1109" xr:uid="{00000000-0005-0000-0000-0000DA0A0000}"/>
    <cellStyle name="Nuovo 21" xfId="1110" xr:uid="{00000000-0005-0000-0000-0000DB0A0000}"/>
    <cellStyle name="Nuovo 21 2" xfId="1111" xr:uid="{00000000-0005-0000-0000-0000DC0A0000}"/>
    <cellStyle name="Nuovo 21 2 2" xfId="2772" xr:uid="{00000000-0005-0000-0000-0000DD0A0000}"/>
    <cellStyle name="Nuovo 21 3" xfId="1112" xr:uid="{00000000-0005-0000-0000-0000DE0A0000}"/>
    <cellStyle name="Nuovo 21 3 2" xfId="1113" xr:uid="{00000000-0005-0000-0000-0000DF0A0000}"/>
    <cellStyle name="Nuovo 21 3 2 2" xfId="4062" xr:uid="{00000000-0005-0000-0000-0000E00A0000}"/>
    <cellStyle name="Nuovo 21 3 2 3" xfId="4063" xr:uid="{00000000-0005-0000-0000-0000E10A0000}"/>
    <cellStyle name="Nuovo 21 3 3" xfId="1114" xr:uid="{00000000-0005-0000-0000-0000E20A0000}"/>
    <cellStyle name="Nuovo 21 3 3 2" xfId="2773" xr:uid="{00000000-0005-0000-0000-0000E30A0000}"/>
    <cellStyle name="Nuovo 21 3 4" xfId="2774" xr:uid="{00000000-0005-0000-0000-0000E40A0000}"/>
    <cellStyle name="Nuovo 21 4" xfId="1115" xr:uid="{00000000-0005-0000-0000-0000E50A0000}"/>
    <cellStyle name="Nuovo 21 4 2" xfId="2775" xr:uid="{00000000-0005-0000-0000-0000E60A0000}"/>
    <cellStyle name="Nuovo 21 4 2 2" xfId="2776" xr:uid="{00000000-0005-0000-0000-0000E70A0000}"/>
    <cellStyle name="Nuovo 21 4 3" xfId="2777" xr:uid="{00000000-0005-0000-0000-0000E80A0000}"/>
    <cellStyle name="Nuovo 21 5" xfId="1116" xr:uid="{00000000-0005-0000-0000-0000E90A0000}"/>
    <cellStyle name="Nuovo 22" xfId="1117" xr:uid="{00000000-0005-0000-0000-0000EA0A0000}"/>
    <cellStyle name="Nuovo 22 2" xfId="1118" xr:uid="{00000000-0005-0000-0000-0000EB0A0000}"/>
    <cellStyle name="Nuovo 22 2 2" xfId="2778" xr:uid="{00000000-0005-0000-0000-0000EC0A0000}"/>
    <cellStyle name="Nuovo 22 3" xfId="1119" xr:uid="{00000000-0005-0000-0000-0000ED0A0000}"/>
    <cellStyle name="Nuovo 22 3 2" xfId="1120" xr:uid="{00000000-0005-0000-0000-0000EE0A0000}"/>
    <cellStyle name="Nuovo 22 3 2 2" xfId="4064" xr:uid="{00000000-0005-0000-0000-0000EF0A0000}"/>
    <cellStyle name="Nuovo 22 3 2 3" xfId="4065" xr:uid="{00000000-0005-0000-0000-0000F00A0000}"/>
    <cellStyle name="Nuovo 22 3 3" xfId="1121" xr:uid="{00000000-0005-0000-0000-0000F10A0000}"/>
    <cellStyle name="Nuovo 22 3 3 2" xfId="2779" xr:uid="{00000000-0005-0000-0000-0000F20A0000}"/>
    <cellStyle name="Nuovo 22 3 4" xfId="2780" xr:uid="{00000000-0005-0000-0000-0000F30A0000}"/>
    <cellStyle name="Nuovo 22 4" xfId="1122" xr:uid="{00000000-0005-0000-0000-0000F40A0000}"/>
    <cellStyle name="Nuovo 22 4 2" xfId="2781" xr:uid="{00000000-0005-0000-0000-0000F50A0000}"/>
    <cellStyle name="Nuovo 22 4 2 2" xfId="2782" xr:uid="{00000000-0005-0000-0000-0000F60A0000}"/>
    <cellStyle name="Nuovo 22 4 3" xfId="2783" xr:uid="{00000000-0005-0000-0000-0000F70A0000}"/>
    <cellStyle name="Nuovo 22 5" xfId="1123" xr:uid="{00000000-0005-0000-0000-0000F80A0000}"/>
    <cellStyle name="Nuovo 23" xfId="1124" xr:uid="{00000000-0005-0000-0000-0000F90A0000}"/>
    <cellStyle name="Nuovo 23 2" xfId="1125" xr:uid="{00000000-0005-0000-0000-0000FA0A0000}"/>
    <cellStyle name="Nuovo 23 2 2" xfId="2784" xr:uid="{00000000-0005-0000-0000-0000FB0A0000}"/>
    <cellStyle name="Nuovo 23 3" xfId="1126" xr:uid="{00000000-0005-0000-0000-0000FC0A0000}"/>
    <cellStyle name="Nuovo 23 3 2" xfId="1127" xr:uid="{00000000-0005-0000-0000-0000FD0A0000}"/>
    <cellStyle name="Nuovo 23 3 2 2" xfId="4066" xr:uid="{00000000-0005-0000-0000-0000FE0A0000}"/>
    <cellStyle name="Nuovo 23 3 2 3" xfId="4067" xr:uid="{00000000-0005-0000-0000-0000FF0A0000}"/>
    <cellStyle name="Nuovo 23 3 3" xfId="1128" xr:uid="{00000000-0005-0000-0000-0000000B0000}"/>
    <cellStyle name="Nuovo 23 3 3 2" xfId="2785" xr:uid="{00000000-0005-0000-0000-0000010B0000}"/>
    <cellStyle name="Nuovo 23 3 4" xfId="2786" xr:uid="{00000000-0005-0000-0000-0000020B0000}"/>
    <cellStyle name="Nuovo 23 4" xfId="1129" xr:uid="{00000000-0005-0000-0000-0000030B0000}"/>
    <cellStyle name="Nuovo 23 4 2" xfId="2787" xr:uid="{00000000-0005-0000-0000-0000040B0000}"/>
    <cellStyle name="Nuovo 23 4 2 2" xfId="2788" xr:uid="{00000000-0005-0000-0000-0000050B0000}"/>
    <cellStyle name="Nuovo 23 4 3" xfId="2789" xr:uid="{00000000-0005-0000-0000-0000060B0000}"/>
    <cellStyle name="Nuovo 23 5" xfId="1130" xr:uid="{00000000-0005-0000-0000-0000070B0000}"/>
    <cellStyle name="Nuovo 24" xfId="1131" xr:uid="{00000000-0005-0000-0000-0000080B0000}"/>
    <cellStyle name="Nuovo 24 2" xfId="1132" xr:uid="{00000000-0005-0000-0000-0000090B0000}"/>
    <cellStyle name="Nuovo 24 2 2" xfId="2790" xr:uid="{00000000-0005-0000-0000-00000A0B0000}"/>
    <cellStyle name="Nuovo 24 3" xfId="1133" xr:uid="{00000000-0005-0000-0000-00000B0B0000}"/>
    <cellStyle name="Nuovo 24 3 2" xfId="1134" xr:uid="{00000000-0005-0000-0000-00000C0B0000}"/>
    <cellStyle name="Nuovo 24 3 2 2" xfId="4068" xr:uid="{00000000-0005-0000-0000-00000D0B0000}"/>
    <cellStyle name="Nuovo 24 3 2 3" xfId="4069" xr:uid="{00000000-0005-0000-0000-00000E0B0000}"/>
    <cellStyle name="Nuovo 24 3 3" xfId="1135" xr:uid="{00000000-0005-0000-0000-00000F0B0000}"/>
    <cellStyle name="Nuovo 24 3 3 2" xfId="2791" xr:uid="{00000000-0005-0000-0000-0000100B0000}"/>
    <cellStyle name="Nuovo 24 3 4" xfId="2792" xr:uid="{00000000-0005-0000-0000-0000110B0000}"/>
    <cellStyle name="Nuovo 24 4" xfId="1136" xr:uid="{00000000-0005-0000-0000-0000120B0000}"/>
    <cellStyle name="Nuovo 24 4 2" xfId="2793" xr:uid="{00000000-0005-0000-0000-0000130B0000}"/>
    <cellStyle name="Nuovo 24 4 2 2" xfId="2794" xr:uid="{00000000-0005-0000-0000-0000140B0000}"/>
    <cellStyle name="Nuovo 24 4 3" xfId="2795" xr:uid="{00000000-0005-0000-0000-0000150B0000}"/>
    <cellStyle name="Nuovo 24 5" xfId="1137" xr:uid="{00000000-0005-0000-0000-0000160B0000}"/>
    <cellStyle name="Nuovo 25" xfId="1138" xr:uid="{00000000-0005-0000-0000-0000170B0000}"/>
    <cellStyle name="Nuovo 25 2" xfId="1139" xr:uid="{00000000-0005-0000-0000-0000180B0000}"/>
    <cellStyle name="Nuovo 25 2 2" xfId="2796" xr:uid="{00000000-0005-0000-0000-0000190B0000}"/>
    <cellStyle name="Nuovo 25 3" xfId="1140" xr:uid="{00000000-0005-0000-0000-00001A0B0000}"/>
    <cellStyle name="Nuovo 25 3 2" xfId="1141" xr:uid="{00000000-0005-0000-0000-00001B0B0000}"/>
    <cellStyle name="Nuovo 25 3 2 2" xfId="4070" xr:uid="{00000000-0005-0000-0000-00001C0B0000}"/>
    <cellStyle name="Nuovo 25 3 2 3" xfId="4071" xr:uid="{00000000-0005-0000-0000-00001D0B0000}"/>
    <cellStyle name="Nuovo 25 3 3" xfId="1142" xr:uid="{00000000-0005-0000-0000-00001E0B0000}"/>
    <cellStyle name="Nuovo 25 3 3 2" xfId="2797" xr:uid="{00000000-0005-0000-0000-00001F0B0000}"/>
    <cellStyle name="Nuovo 25 3 4" xfId="2798" xr:uid="{00000000-0005-0000-0000-0000200B0000}"/>
    <cellStyle name="Nuovo 25 4" xfId="1143" xr:uid="{00000000-0005-0000-0000-0000210B0000}"/>
    <cellStyle name="Nuovo 25 4 2" xfId="2799" xr:uid="{00000000-0005-0000-0000-0000220B0000}"/>
    <cellStyle name="Nuovo 25 4 2 2" xfId="2800" xr:uid="{00000000-0005-0000-0000-0000230B0000}"/>
    <cellStyle name="Nuovo 25 4 3" xfId="2801" xr:uid="{00000000-0005-0000-0000-0000240B0000}"/>
    <cellStyle name="Nuovo 25 5" xfId="1144" xr:uid="{00000000-0005-0000-0000-0000250B0000}"/>
    <cellStyle name="Nuovo 26" xfId="1145" xr:uid="{00000000-0005-0000-0000-0000260B0000}"/>
    <cellStyle name="Nuovo 26 2" xfId="1146" xr:uid="{00000000-0005-0000-0000-0000270B0000}"/>
    <cellStyle name="Nuovo 26 2 2" xfId="2802" xr:uid="{00000000-0005-0000-0000-0000280B0000}"/>
    <cellStyle name="Nuovo 26 3" xfId="1147" xr:uid="{00000000-0005-0000-0000-0000290B0000}"/>
    <cellStyle name="Nuovo 26 3 2" xfId="1148" xr:uid="{00000000-0005-0000-0000-00002A0B0000}"/>
    <cellStyle name="Nuovo 26 3 2 2" xfId="4072" xr:uid="{00000000-0005-0000-0000-00002B0B0000}"/>
    <cellStyle name="Nuovo 26 3 2 3" xfId="4073" xr:uid="{00000000-0005-0000-0000-00002C0B0000}"/>
    <cellStyle name="Nuovo 26 3 3" xfId="1149" xr:uid="{00000000-0005-0000-0000-00002D0B0000}"/>
    <cellStyle name="Nuovo 26 3 3 2" xfId="2803" xr:uid="{00000000-0005-0000-0000-00002E0B0000}"/>
    <cellStyle name="Nuovo 26 3 4" xfId="2804" xr:uid="{00000000-0005-0000-0000-00002F0B0000}"/>
    <cellStyle name="Nuovo 26 4" xfId="1150" xr:uid="{00000000-0005-0000-0000-0000300B0000}"/>
    <cellStyle name="Nuovo 26 4 2" xfId="2805" xr:uid="{00000000-0005-0000-0000-0000310B0000}"/>
    <cellStyle name="Nuovo 26 4 2 2" xfId="2806" xr:uid="{00000000-0005-0000-0000-0000320B0000}"/>
    <cellStyle name="Nuovo 26 4 3" xfId="2807" xr:uid="{00000000-0005-0000-0000-0000330B0000}"/>
    <cellStyle name="Nuovo 26 5" xfId="1151" xr:uid="{00000000-0005-0000-0000-0000340B0000}"/>
    <cellStyle name="Nuovo 27" xfId="1152" xr:uid="{00000000-0005-0000-0000-0000350B0000}"/>
    <cellStyle name="Nuovo 27 2" xfId="1153" xr:uid="{00000000-0005-0000-0000-0000360B0000}"/>
    <cellStyle name="Nuovo 27 2 2" xfId="2808" xr:uid="{00000000-0005-0000-0000-0000370B0000}"/>
    <cellStyle name="Nuovo 27 3" xfId="1154" xr:uid="{00000000-0005-0000-0000-0000380B0000}"/>
    <cellStyle name="Nuovo 27 3 2" xfId="1155" xr:uid="{00000000-0005-0000-0000-0000390B0000}"/>
    <cellStyle name="Nuovo 27 3 2 2" xfId="4074" xr:uid="{00000000-0005-0000-0000-00003A0B0000}"/>
    <cellStyle name="Nuovo 27 3 2 3" xfId="4075" xr:uid="{00000000-0005-0000-0000-00003B0B0000}"/>
    <cellStyle name="Nuovo 27 3 3" xfId="1156" xr:uid="{00000000-0005-0000-0000-00003C0B0000}"/>
    <cellStyle name="Nuovo 27 3 3 2" xfId="2809" xr:uid="{00000000-0005-0000-0000-00003D0B0000}"/>
    <cellStyle name="Nuovo 27 3 4" xfId="2810" xr:uid="{00000000-0005-0000-0000-00003E0B0000}"/>
    <cellStyle name="Nuovo 27 4" xfId="1157" xr:uid="{00000000-0005-0000-0000-00003F0B0000}"/>
    <cellStyle name="Nuovo 27 4 2" xfId="2811" xr:uid="{00000000-0005-0000-0000-0000400B0000}"/>
    <cellStyle name="Nuovo 27 4 2 2" xfId="2812" xr:uid="{00000000-0005-0000-0000-0000410B0000}"/>
    <cellStyle name="Nuovo 27 4 3" xfId="2813" xr:uid="{00000000-0005-0000-0000-0000420B0000}"/>
    <cellStyle name="Nuovo 27 5" xfId="1158" xr:uid="{00000000-0005-0000-0000-0000430B0000}"/>
    <cellStyle name="Nuovo 28" xfId="1159" xr:uid="{00000000-0005-0000-0000-0000440B0000}"/>
    <cellStyle name="Nuovo 28 2" xfId="1160" xr:uid="{00000000-0005-0000-0000-0000450B0000}"/>
    <cellStyle name="Nuovo 28 2 2" xfId="2814" xr:uid="{00000000-0005-0000-0000-0000460B0000}"/>
    <cellStyle name="Nuovo 28 3" xfId="1161" xr:uid="{00000000-0005-0000-0000-0000470B0000}"/>
    <cellStyle name="Nuovo 28 3 2" xfId="1162" xr:uid="{00000000-0005-0000-0000-0000480B0000}"/>
    <cellStyle name="Nuovo 28 3 2 2" xfId="4076" xr:uid="{00000000-0005-0000-0000-0000490B0000}"/>
    <cellStyle name="Nuovo 28 3 2 3" xfId="4077" xr:uid="{00000000-0005-0000-0000-00004A0B0000}"/>
    <cellStyle name="Nuovo 28 3 3" xfId="1163" xr:uid="{00000000-0005-0000-0000-00004B0B0000}"/>
    <cellStyle name="Nuovo 28 3 3 2" xfId="2815" xr:uid="{00000000-0005-0000-0000-00004C0B0000}"/>
    <cellStyle name="Nuovo 28 3 4" xfId="2816" xr:uid="{00000000-0005-0000-0000-00004D0B0000}"/>
    <cellStyle name="Nuovo 28 4" xfId="1164" xr:uid="{00000000-0005-0000-0000-00004E0B0000}"/>
    <cellStyle name="Nuovo 28 4 2" xfId="2817" xr:uid="{00000000-0005-0000-0000-00004F0B0000}"/>
    <cellStyle name="Nuovo 28 4 2 2" xfId="2818" xr:uid="{00000000-0005-0000-0000-0000500B0000}"/>
    <cellStyle name="Nuovo 28 4 3" xfId="2819" xr:uid="{00000000-0005-0000-0000-0000510B0000}"/>
    <cellStyle name="Nuovo 28 5" xfId="1165" xr:uid="{00000000-0005-0000-0000-0000520B0000}"/>
    <cellStyle name="Nuovo 29" xfId="1166" xr:uid="{00000000-0005-0000-0000-0000530B0000}"/>
    <cellStyle name="Nuovo 29 2" xfId="1167" xr:uid="{00000000-0005-0000-0000-0000540B0000}"/>
    <cellStyle name="Nuovo 29 2 2" xfId="2820" xr:uid="{00000000-0005-0000-0000-0000550B0000}"/>
    <cellStyle name="Nuovo 29 3" xfId="1168" xr:uid="{00000000-0005-0000-0000-0000560B0000}"/>
    <cellStyle name="Nuovo 29 3 2" xfId="1169" xr:uid="{00000000-0005-0000-0000-0000570B0000}"/>
    <cellStyle name="Nuovo 29 3 2 2" xfId="4078" xr:uid="{00000000-0005-0000-0000-0000580B0000}"/>
    <cellStyle name="Nuovo 29 3 2 3" xfId="4079" xr:uid="{00000000-0005-0000-0000-0000590B0000}"/>
    <cellStyle name="Nuovo 29 3 3" xfId="1170" xr:uid="{00000000-0005-0000-0000-00005A0B0000}"/>
    <cellStyle name="Nuovo 29 3 3 2" xfId="2821" xr:uid="{00000000-0005-0000-0000-00005B0B0000}"/>
    <cellStyle name="Nuovo 29 3 4" xfId="2822" xr:uid="{00000000-0005-0000-0000-00005C0B0000}"/>
    <cellStyle name="Nuovo 29 4" xfId="1171" xr:uid="{00000000-0005-0000-0000-00005D0B0000}"/>
    <cellStyle name="Nuovo 29 4 2" xfId="2823" xr:uid="{00000000-0005-0000-0000-00005E0B0000}"/>
    <cellStyle name="Nuovo 29 4 2 2" xfId="2824" xr:uid="{00000000-0005-0000-0000-00005F0B0000}"/>
    <cellStyle name="Nuovo 29 4 3" xfId="2825" xr:uid="{00000000-0005-0000-0000-0000600B0000}"/>
    <cellStyle name="Nuovo 29 5" xfId="1172" xr:uid="{00000000-0005-0000-0000-0000610B0000}"/>
    <cellStyle name="Nuovo 3" xfId="1173" xr:uid="{00000000-0005-0000-0000-0000620B0000}"/>
    <cellStyle name="Nuovo 3 2" xfId="1174" xr:uid="{00000000-0005-0000-0000-0000630B0000}"/>
    <cellStyle name="Nuovo 3 2 2" xfId="2826" xr:uid="{00000000-0005-0000-0000-0000640B0000}"/>
    <cellStyle name="Nuovo 3 3" xfId="1175" xr:uid="{00000000-0005-0000-0000-0000650B0000}"/>
    <cellStyle name="Nuovo 3 3 2" xfId="1176" xr:uid="{00000000-0005-0000-0000-0000660B0000}"/>
    <cellStyle name="Nuovo 3 3 2 2" xfId="4080" xr:uid="{00000000-0005-0000-0000-0000670B0000}"/>
    <cellStyle name="Nuovo 3 3 2 3" xfId="4081" xr:uid="{00000000-0005-0000-0000-0000680B0000}"/>
    <cellStyle name="Nuovo 3 3 3" xfId="1177" xr:uid="{00000000-0005-0000-0000-0000690B0000}"/>
    <cellStyle name="Nuovo 3 3 3 2" xfId="2827" xr:uid="{00000000-0005-0000-0000-00006A0B0000}"/>
    <cellStyle name="Nuovo 3 3 4" xfId="2828" xr:uid="{00000000-0005-0000-0000-00006B0B0000}"/>
    <cellStyle name="Nuovo 3 4" xfId="1178" xr:uid="{00000000-0005-0000-0000-00006C0B0000}"/>
    <cellStyle name="Nuovo 3 4 2" xfId="2829" xr:uid="{00000000-0005-0000-0000-00006D0B0000}"/>
    <cellStyle name="Nuovo 3 4 2 2" xfId="2830" xr:uid="{00000000-0005-0000-0000-00006E0B0000}"/>
    <cellStyle name="Nuovo 3 4 3" xfId="2831" xr:uid="{00000000-0005-0000-0000-00006F0B0000}"/>
    <cellStyle name="Nuovo 3 5" xfId="1179" xr:uid="{00000000-0005-0000-0000-0000700B0000}"/>
    <cellStyle name="Nuovo 30" xfId="1180" xr:uid="{00000000-0005-0000-0000-0000710B0000}"/>
    <cellStyle name="Nuovo 30 2" xfId="1181" xr:uid="{00000000-0005-0000-0000-0000720B0000}"/>
    <cellStyle name="Nuovo 30 2 2" xfId="2832" xr:uid="{00000000-0005-0000-0000-0000730B0000}"/>
    <cellStyle name="Nuovo 30 3" xfId="1182" xr:uid="{00000000-0005-0000-0000-0000740B0000}"/>
    <cellStyle name="Nuovo 30 3 2" xfId="1183" xr:uid="{00000000-0005-0000-0000-0000750B0000}"/>
    <cellStyle name="Nuovo 30 3 2 2" xfId="4082" xr:uid="{00000000-0005-0000-0000-0000760B0000}"/>
    <cellStyle name="Nuovo 30 3 2 3" xfId="4083" xr:uid="{00000000-0005-0000-0000-0000770B0000}"/>
    <cellStyle name="Nuovo 30 3 3" xfId="1184" xr:uid="{00000000-0005-0000-0000-0000780B0000}"/>
    <cellStyle name="Nuovo 30 3 3 2" xfId="2833" xr:uid="{00000000-0005-0000-0000-0000790B0000}"/>
    <cellStyle name="Nuovo 30 3 4" xfId="2834" xr:uid="{00000000-0005-0000-0000-00007A0B0000}"/>
    <cellStyle name="Nuovo 30 4" xfId="1185" xr:uid="{00000000-0005-0000-0000-00007B0B0000}"/>
    <cellStyle name="Nuovo 30 4 2" xfId="2835" xr:uid="{00000000-0005-0000-0000-00007C0B0000}"/>
    <cellStyle name="Nuovo 30 4 2 2" xfId="2836" xr:uid="{00000000-0005-0000-0000-00007D0B0000}"/>
    <cellStyle name="Nuovo 30 4 3" xfId="2837" xr:uid="{00000000-0005-0000-0000-00007E0B0000}"/>
    <cellStyle name="Nuovo 30 5" xfId="1186" xr:uid="{00000000-0005-0000-0000-00007F0B0000}"/>
    <cellStyle name="Nuovo 31" xfId="1187" xr:uid="{00000000-0005-0000-0000-0000800B0000}"/>
    <cellStyle name="Nuovo 31 2" xfId="1188" xr:uid="{00000000-0005-0000-0000-0000810B0000}"/>
    <cellStyle name="Nuovo 31 2 2" xfId="2838" xr:uid="{00000000-0005-0000-0000-0000820B0000}"/>
    <cellStyle name="Nuovo 31 3" xfId="1189" xr:uid="{00000000-0005-0000-0000-0000830B0000}"/>
    <cellStyle name="Nuovo 31 3 2" xfId="1190" xr:uid="{00000000-0005-0000-0000-0000840B0000}"/>
    <cellStyle name="Nuovo 31 3 2 2" xfId="4084" xr:uid="{00000000-0005-0000-0000-0000850B0000}"/>
    <cellStyle name="Nuovo 31 3 2 3" xfId="4085" xr:uid="{00000000-0005-0000-0000-0000860B0000}"/>
    <cellStyle name="Nuovo 31 3 3" xfId="1191" xr:uid="{00000000-0005-0000-0000-0000870B0000}"/>
    <cellStyle name="Nuovo 31 3 3 2" xfId="2839" xr:uid="{00000000-0005-0000-0000-0000880B0000}"/>
    <cellStyle name="Nuovo 31 3 4" xfId="2840" xr:uid="{00000000-0005-0000-0000-0000890B0000}"/>
    <cellStyle name="Nuovo 31 4" xfId="1192" xr:uid="{00000000-0005-0000-0000-00008A0B0000}"/>
    <cellStyle name="Nuovo 31 4 2" xfId="2841" xr:uid="{00000000-0005-0000-0000-00008B0B0000}"/>
    <cellStyle name="Nuovo 31 4 2 2" xfId="2842" xr:uid="{00000000-0005-0000-0000-00008C0B0000}"/>
    <cellStyle name="Nuovo 31 4 3" xfId="2843" xr:uid="{00000000-0005-0000-0000-00008D0B0000}"/>
    <cellStyle name="Nuovo 31 5" xfId="1193" xr:uid="{00000000-0005-0000-0000-00008E0B0000}"/>
    <cellStyle name="Nuovo 32" xfId="1194" xr:uid="{00000000-0005-0000-0000-00008F0B0000}"/>
    <cellStyle name="Nuovo 32 2" xfId="1195" xr:uid="{00000000-0005-0000-0000-0000900B0000}"/>
    <cellStyle name="Nuovo 32 2 2" xfId="2844" xr:uid="{00000000-0005-0000-0000-0000910B0000}"/>
    <cellStyle name="Nuovo 32 3" xfId="1196" xr:uid="{00000000-0005-0000-0000-0000920B0000}"/>
    <cellStyle name="Nuovo 32 3 2" xfId="1197" xr:uid="{00000000-0005-0000-0000-0000930B0000}"/>
    <cellStyle name="Nuovo 32 3 2 2" xfId="4086" xr:uid="{00000000-0005-0000-0000-0000940B0000}"/>
    <cellStyle name="Nuovo 32 3 2 3" xfId="4087" xr:uid="{00000000-0005-0000-0000-0000950B0000}"/>
    <cellStyle name="Nuovo 32 3 3" xfId="1198" xr:uid="{00000000-0005-0000-0000-0000960B0000}"/>
    <cellStyle name="Nuovo 32 3 3 2" xfId="2845" xr:uid="{00000000-0005-0000-0000-0000970B0000}"/>
    <cellStyle name="Nuovo 32 3 4" xfId="2846" xr:uid="{00000000-0005-0000-0000-0000980B0000}"/>
    <cellStyle name="Nuovo 32 4" xfId="1199" xr:uid="{00000000-0005-0000-0000-0000990B0000}"/>
    <cellStyle name="Nuovo 32 4 2" xfId="2847" xr:uid="{00000000-0005-0000-0000-00009A0B0000}"/>
    <cellStyle name="Nuovo 32 4 2 2" xfId="2848" xr:uid="{00000000-0005-0000-0000-00009B0B0000}"/>
    <cellStyle name="Nuovo 32 4 3" xfId="2849" xr:uid="{00000000-0005-0000-0000-00009C0B0000}"/>
    <cellStyle name="Nuovo 32 5" xfId="1200" xr:uid="{00000000-0005-0000-0000-00009D0B0000}"/>
    <cellStyle name="Nuovo 33" xfId="1201" xr:uid="{00000000-0005-0000-0000-00009E0B0000}"/>
    <cellStyle name="Nuovo 33 2" xfId="1202" xr:uid="{00000000-0005-0000-0000-00009F0B0000}"/>
    <cellStyle name="Nuovo 33 2 2" xfId="2850" xr:uid="{00000000-0005-0000-0000-0000A00B0000}"/>
    <cellStyle name="Nuovo 33 3" xfId="1203" xr:uid="{00000000-0005-0000-0000-0000A10B0000}"/>
    <cellStyle name="Nuovo 33 3 2" xfId="1204" xr:uid="{00000000-0005-0000-0000-0000A20B0000}"/>
    <cellStyle name="Nuovo 33 3 2 2" xfId="4088" xr:uid="{00000000-0005-0000-0000-0000A30B0000}"/>
    <cellStyle name="Nuovo 33 3 2 3" xfId="4089" xr:uid="{00000000-0005-0000-0000-0000A40B0000}"/>
    <cellStyle name="Nuovo 33 3 3" xfId="1205" xr:uid="{00000000-0005-0000-0000-0000A50B0000}"/>
    <cellStyle name="Nuovo 33 3 3 2" xfId="2851" xr:uid="{00000000-0005-0000-0000-0000A60B0000}"/>
    <cellStyle name="Nuovo 33 3 4" xfId="2852" xr:uid="{00000000-0005-0000-0000-0000A70B0000}"/>
    <cellStyle name="Nuovo 33 4" xfId="1206" xr:uid="{00000000-0005-0000-0000-0000A80B0000}"/>
    <cellStyle name="Nuovo 33 4 2" xfId="2853" xr:uid="{00000000-0005-0000-0000-0000A90B0000}"/>
    <cellStyle name="Nuovo 33 4 2 2" xfId="2854" xr:uid="{00000000-0005-0000-0000-0000AA0B0000}"/>
    <cellStyle name="Nuovo 33 4 3" xfId="2855" xr:uid="{00000000-0005-0000-0000-0000AB0B0000}"/>
    <cellStyle name="Nuovo 33 5" xfId="1207" xr:uid="{00000000-0005-0000-0000-0000AC0B0000}"/>
    <cellStyle name="Nuovo 34" xfId="1208" xr:uid="{00000000-0005-0000-0000-0000AD0B0000}"/>
    <cellStyle name="Nuovo 34 2" xfId="1209" xr:uid="{00000000-0005-0000-0000-0000AE0B0000}"/>
    <cellStyle name="Nuovo 34 2 2" xfId="2856" xr:uid="{00000000-0005-0000-0000-0000AF0B0000}"/>
    <cellStyle name="Nuovo 34 3" xfId="1210" xr:uid="{00000000-0005-0000-0000-0000B00B0000}"/>
    <cellStyle name="Nuovo 34 3 2" xfId="1211" xr:uid="{00000000-0005-0000-0000-0000B10B0000}"/>
    <cellStyle name="Nuovo 34 3 2 2" xfId="4090" xr:uid="{00000000-0005-0000-0000-0000B20B0000}"/>
    <cellStyle name="Nuovo 34 3 2 3" xfId="4091" xr:uid="{00000000-0005-0000-0000-0000B30B0000}"/>
    <cellStyle name="Nuovo 34 3 3" xfId="1212" xr:uid="{00000000-0005-0000-0000-0000B40B0000}"/>
    <cellStyle name="Nuovo 34 3 3 2" xfId="2857" xr:uid="{00000000-0005-0000-0000-0000B50B0000}"/>
    <cellStyle name="Nuovo 34 3 4" xfId="2858" xr:uid="{00000000-0005-0000-0000-0000B60B0000}"/>
    <cellStyle name="Nuovo 34 4" xfId="1213" xr:uid="{00000000-0005-0000-0000-0000B70B0000}"/>
    <cellStyle name="Nuovo 34 4 2" xfId="2859" xr:uid="{00000000-0005-0000-0000-0000B80B0000}"/>
    <cellStyle name="Nuovo 34 4 2 2" xfId="2860" xr:uid="{00000000-0005-0000-0000-0000B90B0000}"/>
    <cellStyle name="Nuovo 34 4 3" xfId="2861" xr:uid="{00000000-0005-0000-0000-0000BA0B0000}"/>
    <cellStyle name="Nuovo 34 5" xfId="1214" xr:uid="{00000000-0005-0000-0000-0000BB0B0000}"/>
    <cellStyle name="Nuovo 35" xfId="1215" xr:uid="{00000000-0005-0000-0000-0000BC0B0000}"/>
    <cellStyle name="Nuovo 35 2" xfId="1216" xr:uid="{00000000-0005-0000-0000-0000BD0B0000}"/>
    <cellStyle name="Nuovo 35 2 2" xfId="2862" xr:uid="{00000000-0005-0000-0000-0000BE0B0000}"/>
    <cellStyle name="Nuovo 35 3" xfId="1217" xr:uid="{00000000-0005-0000-0000-0000BF0B0000}"/>
    <cellStyle name="Nuovo 35 3 2" xfId="1218" xr:uid="{00000000-0005-0000-0000-0000C00B0000}"/>
    <cellStyle name="Nuovo 35 3 2 2" xfId="4092" xr:uid="{00000000-0005-0000-0000-0000C10B0000}"/>
    <cellStyle name="Nuovo 35 3 2 3" xfId="4093" xr:uid="{00000000-0005-0000-0000-0000C20B0000}"/>
    <cellStyle name="Nuovo 35 3 3" xfId="1219" xr:uid="{00000000-0005-0000-0000-0000C30B0000}"/>
    <cellStyle name="Nuovo 35 3 3 2" xfId="2863" xr:uid="{00000000-0005-0000-0000-0000C40B0000}"/>
    <cellStyle name="Nuovo 35 3 4" xfId="2864" xr:uid="{00000000-0005-0000-0000-0000C50B0000}"/>
    <cellStyle name="Nuovo 35 4" xfId="1220" xr:uid="{00000000-0005-0000-0000-0000C60B0000}"/>
    <cellStyle name="Nuovo 35 4 2" xfId="2865" xr:uid="{00000000-0005-0000-0000-0000C70B0000}"/>
    <cellStyle name="Nuovo 35 4 2 2" xfId="2866" xr:uid="{00000000-0005-0000-0000-0000C80B0000}"/>
    <cellStyle name="Nuovo 35 4 3" xfId="2867" xr:uid="{00000000-0005-0000-0000-0000C90B0000}"/>
    <cellStyle name="Nuovo 35 5" xfId="1221" xr:uid="{00000000-0005-0000-0000-0000CA0B0000}"/>
    <cellStyle name="Nuovo 36" xfId="1222" xr:uid="{00000000-0005-0000-0000-0000CB0B0000}"/>
    <cellStyle name="Nuovo 36 2" xfId="1223" xr:uid="{00000000-0005-0000-0000-0000CC0B0000}"/>
    <cellStyle name="Nuovo 36 2 2" xfId="2868" xr:uid="{00000000-0005-0000-0000-0000CD0B0000}"/>
    <cellStyle name="Nuovo 36 3" xfId="1224" xr:uid="{00000000-0005-0000-0000-0000CE0B0000}"/>
    <cellStyle name="Nuovo 36 3 2" xfId="1225" xr:uid="{00000000-0005-0000-0000-0000CF0B0000}"/>
    <cellStyle name="Nuovo 36 3 2 2" xfId="4094" xr:uid="{00000000-0005-0000-0000-0000D00B0000}"/>
    <cellStyle name="Nuovo 36 3 2 3" xfId="4095" xr:uid="{00000000-0005-0000-0000-0000D10B0000}"/>
    <cellStyle name="Nuovo 36 3 3" xfId="1226" xr:uid="{00000000-0005-0000-0000-0000D20B0000}"/>
    <cellStyle name="Nuovo 36 3 3 2" xfId="2869" xr:uid="{00000000-0005-0000-0000-0000D30B0000}"/>
    <cellStyle name="Nuovo 36 3 4" xfId="2870" xr:uid="{00000000-0005-0000-0000-0000D40B0000}"/>
    <cellStyle name="Nuovo 36 4" xfId="1227" xr:uid="{00000000-0005-0000-0000-0000D50B0000}"/>
    <cellStyle name="Nuovo 36 4 2" xfId="2871" xr:uid="{00000000-0005-0000-0000-0000D60B0000}"/>
    <cellStyle name="Nuovo 36 4 2 2" xfId="2872" xr:uid="{00000000-0005-0000-0000-0000D70B0000}"/>
    <cellStyle name="Nuovo 36 4 3" xfId="2873" xr:uid="{00000000-0005-0000-0000-0000D80B0000}"/>
    <cellStyle name="Nuovo 36 5" xfId="1228" xr:uid="{00000000-0005-0000-0000-0000D90B0000}"/>
    <cellStyle name="Nuovo 37" xfId="1229" xr:uid="{00000000-0005-0000-0000-0000DA0B0000}"/>
    <cellStyle name="Nuovo 37 2" xfId="1230" xr:uid="{00000000-0005-0000-0000-0000DB0B0000}"/>
    <cellStyle name="Nuovo 37 2 2" xfId="2874" xr:uid="{00000000-0005-0000-0000-0000DC0B0000}"/>
    <cellStyle name="Nuovo 37 3" xfId="1231" xr:uid="{00000000-0005-0000-0000-0000DD0B0000}"/>
    <cellStyle name="Nuovo 37 3 2" xfId="1232" xr:uid="{00000000-0005-0000-0000-0000DE0B0000}"/>
    <cellStyle name="Nuovo 37 3 2 2" xfId="4096" xr:uid="{00000000-0005-0000-0000-0000DF0B0000}"/>
    <cellStyle name="Nuovo 37 3 2 3" xfId="4097" xr:uid="{00000000-0005-0000-0000-0000E00B0000}"/>
    <cellStyle name="Nuovo 37 3 3" xfId="1233" xr:uid="{00000000-0005-0000-0000-0000E10B0000}"/>
    <cellStyle name="Nuovo 37 3 3 2" xfId="2875" xr:uid="{00000000-0005-0000-0000-0000E20B0000}"/>
    <cellStyle name="Nuovo 37 3 4" xfId="2876" xr:uid="{00000000-0005-0000-0000-0000E30B0000}"/>
    <cellStyle name="Nuovo 37 4" xfId="1234" xr:uid="{00000000-0005-0000-0000-0000E40B0000}"/>
    <cellStyle name="Nuovo 37 4 2" xfId="2877" xr:uid="{00000000-0005-0000-0000-0000E50B0000}"/>
    <cellStyle name="Nuovo 37 4 2 2" xfId="2878" xr:uid="{00000000-0005-0000-0000-0000E60B0000}"/>
    <cellStyle name="Nuovo 37 4 3" xfId="2879" xr:uid="{00000000-0005-0000-0000-0000E70B0000}"/>
    <cellStyle name="Nuovo 37 5" xfId="1235" xr:uid="{00000000-0005-0000-0000-0000E80B0000}"/>
    <cellStyle name="Nuovo 38" xfId="1236" xr:uid="{00000000-0005-0000-0000-0000E90B0000}"/>
    <cellStyle name="Nuovo 38 2" xfId="1237" xr:uid="{00000000-0005-0000-0000-0000EA0B0000}"/>
    <cellStyle name="Nuovo 38 2 2" xfId="2880" xr:uid="{00000000-0005-0000-0000-0000EB0B0000}"/>
    <cellStyle name="Nuovo 38 3" xfId="1238" xr:uid="{00000000-0005-0000-0000-0000EC0B0000}"/>
    <cellStyle name="Nuovo 38 3 2" xfId="1239" xr:uid="{00000000-0005-0000-0000-0000ED0B0000}"/>
    <cellStyle name="Nuovo 38 3 2 2" xfId="4098" xr:uid="{00000000-0005-0000-0000-0000EE0B0000}"/>
    <cellStyle name="Nuovo 38 3 2 3" xfId="4099" xr:uid="{00000000-0005-0000-0000-0000EF0B0000}"/>
    <cellStyle name="Nuovo 38 3 3" xfId="1240" xr:uid="{00000000-0005-0000-0000-0000F00B0000}"/>
    <cellStyle name="Nuovo 38 3 3 2" xfId="2881" xr:uid="{00000000-0005-0000-0000-0000F10B0000}"/>
    <cellStyle name="Nuovo 38 3 4" xfId="2882" xr:uid="{00000000-0005-0000-0000-0000F20B0000}"/>
    <cellStyle name="Nuovo 38 4" xfId="1241" xr:uid="{00000000-0005-0000-0000-0000F30B0000}"/>
    <cellStyle name="Nuovo 38 4 2" xfId="2883" xr:uid="{00000000-0005-0000-0000-0000F40B0000}"/>
    <cellStyle name="Nuovo 38 4 2 2" xfId="2884" xr:uid="{00000000-0005-0000-0000-0000F50B0000}"/>
    <cellStyle name="Nuovo 38 4 3" xfId="2885" xr:uid="{00000000-0005-0000-0000-0000F60B0000}"/>
    <cellStyle name="Nuovo 38 5" xfId="1242" xr:uid="{00000000-0005-0000-0000-0000F70B0000}"/>
    <cellStyle name="Nuovo 39" xfId="1243" xr:uid="{00000000-0005-0000-0000-0000F80B0000}"/>
    <cellStyle name="Nuovo 39 2" xfId="1244" xr:uid="{00000000-0005-0000-0000-0000F90B0000}"/>
    <cellStyle name="Nuovo 39 2 2" xfId="2886" xr:uid="{00000000-0005-0000-0000-0000FA0B0000}"/>
    <cellStyle name="Nuovo 39 3" xfId="1245" xr:uid="{00000000-0005-0000-0000-0000FB0B0000}"/>
    <cellStyle name="Nuovo 39 3 2" xfId="1246" xr:uid="{00000000-0005-0000-0000-0000FC0B0000}"/>
    <cellStyle name="Nuovo 39 3 2 2" xfId="4100" xr:uid="{00000000-0005-0000-0000-0000FD0B0000}"/>
    <cellStyle name="Nuovo 39 3 2 3" xfId="4101" xr:uid="{00000000-0005-0000-0000-0000FE0B0000}"/>
    <cellStyle name="Nuovo 39 3 3" xfId="1247" xr:uid="{00000000-0005-0000-0000-0000FF0B0000}"/>
    <cellStyle name="Nuovo 39 3 3 2" xfId="2887" xr:uid="{00000000-0005-0000-0000-0000000C0000}"/>
    <cellStyle name="Nuovo 39 3 4" xfId="2888" xr:uid="{00000000-0005-0000-0000-0000010C0000}"/>
    <cellStyle name="Nuovo 39 4" xfId="1248" xr:uid="{00000000-0005-0000-0000-0000020C0000}"/>
    <cellStyle name="Nuovo 39 4 2" xfId="2889" xr:uid="{00000000-0005-0000-0000-0000030C0000}"/>
    <cellStyle name="Nuovo 39 4 2 2" xfId="2890" xr:uid="{00000000-0005-0000-0000-0000040C0000}"/>
    <cellStyle name="Nuovo 39 4 3" xfId="2891" xr:uid="{00000000-0005-0000-0000-0000050C0000}"/>
    <cellStyle name="Nuovo 39 5" xfId="1249" xr:uid="{00000000-0005-0000-0000-0000060C0000}"/>
    <cellStyle name="Nuovo 4" xfId="1250" xr:uid="{00000000-0005-0000-0000-0000070C0000}"/>
    <cellStyle name="Nuovo 4 2" xfId="1251" xr:uid="{00000000-0005-0000-0000-0000080C0000}"/>
    <cellStyle name="Nuovo 4 2 2" xfId="2892" xr:uid="{00000000-0005-0000-0000-0000090C0000}"/>
    <cellStyle name="Nuovo 4 3" xfId="1252" xr:uid="{00000000-0005-0000-0000-00000A0C0000}"/>
    <cellStyle name="Nuovo 4 3 2" xfId="1253" xr:uid="{00000000-0005-0000-0000-00000B0C0000}"/>
    <cellStyle name="Nuovo 4 3 2 2" xfId="4102" xr:uid="{00000000-0005-0000-0000-00000C0C0000}"/>
    <cellStyle name="Nuovo 4 3 2 3" xfId="4103" xr:uid="{00000000-0005-0000-0000-00000D0C0000}"/>
    <cellStyle name="Nuovo 4 3 3" xfId="1254" xr:uid="{00000000-0005-0000-0000-00000E0C0000}"/>
    <cellStyle name="Nuovo 4 3 3 2" xfId="2893" xr:uid="{00000000-0005-0000-0000-00000F0C0000}"/>
    <cellStyle name="Nuovo 4 3 4" xfId="2894" xr:uid="{00000000-0005-0000-0000-0000100C0000}"/>
    <cellStyle name="Nuovo 4 4" xfId="1255" xr:uid="{00000000-0005-0000-0000-0000110C0000}"/>
    <cellStyle name="Nuovo 4 4 2" xfId="2895" xr:uid="{00000000-0005-0000-0000-0000120C0000}"/>
    <cellStyle name="Nuovo 4 4 2 2" xfId="2896" xr:uid="{00000000-0005-0000-0000-0000130C0000}"/>
    <cellStyle name="Nuovo 4 4 3" xfId="2897" xr:uid="{00000000-0005-0000-0000-0000140C0000}"/>
    <cellStyle name="Nuovo 4 5" xfId="1256" xr:uid="{00000000-0005-0000-0000-0000150C0000}"/>
    <cellStyle name="Nuovo 40" xfId="1257" xr:uid="{00000000-0005-0000-0000-0000160C0000}"/>
    <cellStyle name="Nuovo 40 2" xfId="1258" xr:uid="{00000000-0005-0000-0000-0000170C0000}"/>
    <cellStyle name="Nuovo 40 2 2" xfId="2898" xr:uid="{00000000-0005-0000-0000-0000180C0000}"/>
    <cellStyle name="Nuovo 40 3" xfId="1259" xr:uid="{00000000-0005-0000-0000-0000190C0000}"/>
    <cellStyle name="Nuovo 40 3 2" xfId="1260" xr:uid="{00000000-0005-0000-0000-00001A0C0000}"/>
    <cellStyle name="Nuovo 40 3 2 2" xfId="4104" xr:uid="{00000000-0005-0000-0000-00001B0C0000}"/>
    <cellStyle name="Nuovo 40 3 2 3" xfId="4105" xr:uid="{00000000-0005-0000-0000-00001C0C0000}"/>
    <cellStyle name="Nuovo 40 3 3" xfId="1261" xr:uid="{00000000-0005-0000-0000-00001D0C0000}"/>
    <cellStyle name="Nuovo 40 3 3 2" xfId="2899" xr:uid="{00000000-0005-0000-0000-00001E0C0000}"/>
    <cellStyle name="Nuovo 40 3 4" xfId="2900" xr:uid="{00000000-0005-0000-0000-00001F0C0000}"/>
    <cellStyle name="Nuovo 40 4" xfId="1262" xr:uid="{00000000-0005-0000-0000-0000200C0000}"/>
    <cellStyle name="Nuovo 40 4 2" xfId="2901" xr:uid="{00000000-0005-0000-0000-0000210C0000}"/>
    <cellStyle name="Nuovo 40 4 2 2" xfId="2902" xr:uid="{00000000-0005-0000-0000-0000220C0000}"/>
    <cellStyle name="Nuovo 40 4 3" xfId="2903" xr:uid="{00000000-0005-0000-0000-0000230C0000}"/>
    <cellStyle name="Nuovo 40 5" xfId="1263" xr:uid="{00000000-0005-0000-0000-0000240C0000}"/>
    <cellStyle name="Nuovo 41" xfId="1264" xr:uid="{00000000-0005-0000-0000-0000250C0000}"/>
    <cellStyle name="Nuovo 41 2" xfId="1265" xr:uid="{00000000-0005-0000-0000-0000260C0000}"/>
    <cellStyle name="Nuovo 41 2 2" xfId="2904" xr:uid="{00000000-0005-0000-0000-0000270C0000}"/>
    <cellStyle name="Nuovo 41 3" xfId="1266" xr:uid="{00000000-0005-0000-0000-0000280C0000}"/>
    <cellStyle name="Nuovo 41 3 2" xfId="1267" xr:uid="{00000000-0005-0000-0000-0000290C0000}"/>
    <cellStyle name="Nuovo 41 3 2 2" xfId="4106" xr:uid="{00000000-0005-0000-0000-00002A0C0000}"/>
    <cellStyle name="Nuovo 41 3 2 3" xfId="4107" xr:uid="{00000000-0005-0000-0000-00002B0C0000}"/>
    <cellStyle name="Nuovo 41 3 3" xfId="1268" xr:uid="{00000000-0005-0000-0000-00002C0C0000}"/>
    <cellStyle name="Nuovo 41 3 3 2" xfId="2905" xr:uid="{00000000-0005-0000-0000-00002D0C0000}"/>
    <cellStyle name="Nuovo 41 3 4" xfId="2906" xr:uid="{00000000-0005-0000-0000-00002E0C0000}"/>
    <cellStyle name="Nuovo 41 4" xfId="1269" xr:uid="{00000000-0005-0000-0000-00002F0C0000}"/>
    <cellStyle name="Nuovo 41 4 2" xfId="2907" xr:uid="{00000000-0005-0000-0000-0000300C0000}"/>
    <cellStyle name="Nuovo 41 4 2 2" xfId="2908" xr:uid="{00000000-0005-0000-0000-0000310C0000}"/>
    <cellStyle name="Nuovo 41 4 3" xfId="2909" xr:uid="{00000000-0005-0000-0000-0000320C0000}"/>
    <cellStyle name="Nuovo 41 5" xfId="1270" xr:uid="{00000000-0005-0000-0000-0000330C0000}"/>
    <cellStyle name="Nuovo 42" xfId="1271" xr:uid="{00000000-0005-0000-0000-0000340C0000}"/>
    <cellStyle name="Nuovo 42 2" xfId="1272" xr:uid="{00000000-0005-0000-0000-0000350C0000}"/>
    <cellStyle name="Nuovo 42 2 2" xfId="2910" xr:uid="{00000000-0005-0000-0000-0000360C0000}"/>
    <cellStyle name="Nuovo 42 3" xfId="1273" xr:uid="{00000000-0005-0000-0000-0000370C0000}"/>
    <cellStyle name="Nuovo 42 3 2" xfId="1274" xr:uid="{00000000-0005-0000-0000-0000380C0000}"/>
    <cellStyle name="Nuovo 42 3 2 2" xfId="4108" xr:uid="{00000000-0005-0000-0000-0000390C0000}"/>
    <cellStyle name="Nuovo 42 3 2 3" xfId="4109" xr:uid="{00000000-0005-0000-0000-00003A0C0000}"/>
    <cellStyle name="Nuovo 42 3 3" xfId="1275" xr:uid="{00000000-0005-0000-0000-00003B0C0000}"/>
    <cellStyle name="Nuovo 42 3 3 2" xfId="2911" xr:uid="{00000000-0005-0000-0000-00003C0C0000}"/>
    <cellStyle name="Nuovo 42 3 4" xfId="2912" xr:uid="{00000000-0005-0000-0000-00003D0C0000}"/>
    <cellStyle name="Nuovo 42 4" xfId="1276" xr:uid="{00000000-0005-0000-0000-00003E0C0000}"/>
    <cellStyle name="Nuovo 42 4 2" xfId="2913" xr:uid="{00000000-0005-0000-0000-00003F0C0000}"/>
    <cellStyle name="Nuovo 42 4 2 2" xfId="2914" xr:uid="{00000000-0005-0000-0000-0000400C0000}"/>
    <cellStyle name="Nuovo 42 4 3" xfId="2915" xr:uid="{00000000-0005-0000-0000-0000410C0000}"/>
    <cellStyle name="Nuovo 42 5" xfId="1277" xr:uid="{00000000-0005-0000-0000-0000420C0000}"/>
    <cellStyle name="Nuovo 43" xfId="1278" xr:uid="{00000000-0005-0000-0000-0000430C0000}"/>
    <cellStyle name="Nuovo 43 2" xfId="1279" xr:uid="{00000000-0005-0000-0000-0000440C0000}"/>
    <cellStyle name="Nuovo 43 2 2" xfId="2916" xr:uid="{00000000-0005-0000-0000-0000450C0000}"/>
    <cellStyle name="Nuovo 43 3" xfId="1280" xr:uid="{00000000-0005-0000-0000-0000460C0000}"/>
    <cellStyle name="Nuovo 43 3 2" xfId="1281" xr:uid="{00000000-0005-0000-0000-0000470C0000}"/>
    <cellStyle name="Nuovo 43 3 2 2" xfId="4110" xr:uid="{00000000-0005-0000-0000-0000480C0000}"/>
    <cellStyle name="Nuovo 43 3 2 3" xfId="4111" xr:uid="{00000000-0005-0000-0000-0000490C0000}"/>
    <cellStyle name="Nuovo 43 3 3" xfId="1282" xr:uid="{00000000-0005-0000-0000-00004A0C0000}"/>
    <cellStyle name="Nuovo 43 3 3 2" xfId="2917" xr:uid="{00000000-0005-0000-0000-00004B0C0000}"/>
    <cellStyle name="Nuovo 43 3 4" xfId="2918" xr:uid="{00000000-0005-0000-0000-00004C0C0000}"/>
    <cellStyle name="Nuovo 43 4" xfId="1283" xr:uid="{00000000-0005-0000-0000-00004D0C0000}"/>
    <cellStyle name="Nuovo 43 4 2" xfId="2919" xr:uid="{00000000-0005-0000-0000-00004E0C0000}"/>
    <cellStyle name="Nuovo 43 4 2 2" xfId="2920" xr:uid="{00000000-0005-0000-0000-00004F0C0000}"/>
    <cellStyle name="Nuovo 43 4 3" xfId="2921" xr:uid="{00000000-0005-0000-0000-0000500C0000}"/>
    <cellStyle name="Nuovo 43 5" xfId="1284" xr:uid="{00000000-0005-0000-0000-0000510C0000}"/>
    <cellStyle name="Nuovo 44" xfId="1285" xr:uid="{00000000-0005-0000-0000-0000520C0000}"/>
    <cellStyle name="Nuovo 44 2" xfId="1286" xr:uid="{00000000-0005-0000-0000-0000530C0000}"/>
    <cellStyle name="Nuovo 44 2 2" xfId="2922" xr:uid="{00000000-0005-0000-0000-0000540C0000}"/>
    <cellStyle name="Nuovo 44 3" xfId="1287" xr:uid="{00000000-0005-0000-0000-0000550C0000}"/>
    <cellStyle name="Nuovo 44 3 2" xfId="1288" xr:uid="{00000000-0005-0000-0000-0000560C0000}"/>
    <cellStyle name="Nuovo 44 3 2 2" xfId="4112" xr:uid="{00000000-0005-0000-0000-0000570C0000}"/>
    <cellStyle name="Nuovo 44 3 2 3" xfId="4113" xr:uid="{00000000-0005-0000-0000-0000580C0000}"/>
    <cellStyle name="Nuovo 44 3 3" xfId="1289" xr:uid="{00000000-0005-0000-0000-0000590C0000}"/>
    <cellStyle name="Nuovo 44 3 3 2" xfId="2923" xr:uid="{00000000-0005-0000-0000-00005A0C0000}"/>
    <cellStyle name="Nuovo 44 3 4" xfId="2924" xr:uid="{00000000-0005-0000-0000-00005B0C0000}"/>
    <cellStyle name="Nuovo 44 4" xfId="1290" xr:uid="{00000000-0005-0000-0000-00005C0C0000}"/>
    <cellStyle name="Nuovo 44 4 2" xfId="2925" xr:uid="{00000000-0005-0000-0000-00005D0C0000}"/>
    <cellStyle name="Nuovo 44 4 2 2" xfId="2926" xr:uid="{00000000-0005-0000-0000-00005E0C0000}"/>
    <cellStyle name="Nuovo 44 4 3" xfId="2927" xr:uid="{00000000-0005-0000-0000-00005F0C0000}"/>
    <cellStyle name="Nuovo 44 5" xfId="1291" xr:uid="{00000000-0005-0000-0000-0000600C0000}"/>
    <cellStyle name="Nuovo 45" xfId="1292" xr:uid="{00000000-0005-0000-0000-0000610C0000}"/>
    <cellStyle name="Nuovo 45 2" xfId="2928" xr:uid="{00000000-0005-0000-0000-0000620C0000}"/>
    <cellStyle name="Nuovo 46" xfId="1293" xr:uid="{00000000-0005-0000-0000-0000630C0000}"/>
    <cellStyle name="Nuovo 46 2" xfId="1294" xr:uid="{00000000-0005-0000-0000-0000640C0000}"/>
    <cellStyle name="Nuovo 46 2 2" xfId="4114" xr:uid="{00000000-0005-0000-0000-0000650C0000}"/>
    <cellStyle name="Nuovo 46 2 3" xfId="4115" xr:uid="{00000000-0005-0000-0000-0000660C0000}"/>
    <cellStyle name="Nuovo 46 3" xfId="1295" xr:uid="{00000000-0005-0000-0000-0000670C0000}"/>
    <cellStyle name="Nuovo 46 3 2" xfId="2929" xr:uid="{00000000-0005-0000-0000-0000680C0000}"/>
    <cellStyle name="Nuovo 46 4" xfId="2930" xr:uid="{00000000-0005-0000-0000-0000690C0000}"/>
    <cellStyle name="Nuovo 47" xfId="1296" xr:uid="{00000000-0005-0000-0000-00006A0C0000}"/>
    <cellStyle name="Nuovo 47 2" xfId="2931" xr:uid="{00000000-0005-0000-0000-00006B0C0000}"/>
    <cellStyle name="Nuovo 47 2 2" xfId="2932" xr:uid="{00000000-0005-0000-0000-00006C0C0000}"/>
    <cellStyle name="Nuovo 47 3" xfId="2933" xr:uid="{00000000-0005-0000-0000-00006D0C0000}"/>
    <cellStyle name="Nuovo 48" xfId="1297" xr:uid="{00000000-0005-0000-0000-00006E0C0000}"/>
    <cellStyle name="Nuovo 5" xfId="1298" xr:uid="{00000000-0005-0000-0000-00006F0C0000}"/>
    <cellStyle name="Nuovo 5 2" xfId="1299" xr:uid="{00000000-0005-0000-0000-0000700C0000}"/>
    <cellStyle name="Nuovo 5 2 2" xfId="2934" xr:uid="{00000000-0005-0000-0000-0000710C0000}"/>
    <cellStyle name="Nuovo 5 3" xfId="1300" xr:uid="{00000000-0005-0000-0000-0000720C0000}"/>
    <cellStyle name="Nuovo 5 3 2" xfId="1301" xr:uid="{00000000-0005-0000-0000-0000730C0000}"/>
    <cellStyle name="Nuovo 5 3 2 2" xfId="4116" xr:uid="{00000000-0005-0000-0000-0000740C0000}"/>
    <cellStyle name="Nuovo 5 3 2 3" xfId="4117" xr:uid="{00000000-0005-0000-0000-0000750C0000}"/>
    <cellStyle name="Nuovo 5 3 3" xfId="1302" xr:uid="{00000000-0005-0000-0000-0000760C0000}"/>
    <cellStyle name="Nuovo 5 3 3 2" xfId="2935" xr:uid="{00000000-0005-0000-0000-0000770C0000}"/>
    <cellStyle name="Nuovo 5 3 4" xfId="2936" xr:uid="{00000000-0005-0000-0000-0000780C0000}"/>
    <cellStyle name="Nuovo 5 4" xfId="1303" xr:uid="{00000000-0005-0000-0000-0000790C0000}"/>
    <cellStyle name="Nuovo 5 4 2" xfId="2937" xr:uid="{00000000-0005-0000-0000-00007A0C0000}"/>
    <cellStyle name="Nuovo 5 4 2 2" xfId="2938" xr:uid="{00000000-0005-0000-0000-00007B0C0000}"/>
    <cellStyle name="Nuovo 5 4 3" xfId="2939" xr:uid="{00000000-0005-0000-0000-00007C0C0000}"/>
    <cellStyle name="Nuovo 5 5" xfId="1304" xr:uid="{00000000-0005-0000-0000-00007D0C0000}"/>
    <cellStyle name="Nuovo 6" xfId="1305" xr:uid="{00000000-0005-0000-0000-00007E0C0000}"/>
    <cellStyle name="Nuovo 6 2" xfId="1306" xr:uid="{00000000-0005-0000-0000-00007F0C0000}"/>
    <cellStyle name="Nuovo 6 2 2" xfId="2940" xr:uid="{00000000-0005-0000-0000-0000800C0000}"/>
    <cellStyle name="Nuovo 6 3" xfId="1307" xr:uid="{00000000-0005-0000-0000-0000810C0000}"/>
    <cellStyle name="Nuovo 6 3 2" xfId="1308" xr:uid="{00000000-0005-0000-0000-0000820C0000}"/>
    <cellStyle name="Nuovo 6 3 2 2" xfId="4118" xr:uid="{00000000-0005-0000-0000-0000830C0000}"/>
    <cellStyle name="Nuovo 6 3 2 3" xfId="4119" xr:uid="{00000000-0005-0000-0000-0000840C0000}"/>
    <cellStyle name="Nuovo 6 3 3" xfId="1309" xr:uid="{00000000-0005-0000-0000-0000850C0000}"/>
    <cellStyle name="Nuovo 6 3 3 2" xfId="2941" xr:uid="{00000000-0005-0000-0000-0000860C0000}"/>
    <cellStyle name="Nuovo 6 3 4" xfId="2942" xr:uid="{00000000-0005-0000-0000-0000870C0000}"/>
    <cellStyle name="Nuovo 6 4" xfId="1310" xr:uid="{00000000-0005-0000-0000-0000880C0000}"/>
    <cellStyle name="Nuovo 6 4 2" xfId="2943" xr:uid="{00000000-0005-0000-0000-0000890C0000}"/>
    <cellStyle name="Nuovo 6 4 2 2" xfId="2944" xr:uid="{00000000-0005-0000-0000-00008A0C0000}"/>
    <cellStyle name="Nuovo 6 4 3" xfId="2945" xr:uid="{00000000-0005-0000-0000-00008B0C0000}"/>
    <cellStyle name="Nuovo 6 5" xfId="1311" xr:uid="{00000000-0005-0000-0000-00008C0C0000}"/>
    <cellStyle name="Nuovo 7" xfId="1312" xr:uid="{00000000-0005-0000-0000-00008D0C0000}"/>
    <cellStyle name="Nuovo 7 2" xfId="1313" xr:uid="{00000000-0005-0000-0000-00008E0C0000}"/>
    <cellStyle name="Nuovo 7 2 2" xfId="2946" xr:uid="{00000000-0005-0000-0000-00008F0C0000}"/>
    <cellStyle name="Nuovo 7 3" xfId="1314" xr:uid="{00000000-0005-0000-0000-0000900C0000}"/>
    <cellStyle name="Nuovo 7 3 2" xfId="1315" xr:uid="{00000000-0005-0000-0000-0000910C0000}"/>
    <cellStyle name="Nuovo 7 3 2 2" xfId="4120" xr:uid="{00000000-0005-0000-0000-0000920C0000}"/>
    <cellStyle name="Nuovo 7 3 2 3" xfId="4121" xr:uid="{00000000-0005-0000-0000-0000930C0000}"/>
    <cellStyle name="Nuovo 7 3 3" xfId="1316" xr:uid="{00000000-0005-0000-0000-0000940C0000}"/>
    <cellStyle name="Nuovo 7 3 3 2" xfId="2947" xr:uid="{00000000-0005-0000-0000-0000950C0000}"/>
    <cellStyle name="Nuovo 7 3 4" xfId="2948" xr:uid="{00000000-0005-0000-0000-0000960C0000}"/>
    <cellStyle name="Nuovo 7 4" xfId="1317" xr:uid="{00000000-0005-0000-0000-0000970C0000}"/>
    <cellStyle name="Nuovo 7 4 2" xfId="2949" xr:uid="{00000000-0005-0000-0000-0000980C0000}"/>
    <cellStyle name="Nuovo 7 4 2 2" xfId="2950" xr:uid="{00000000-0005-0000-0000-0000990C0000}"/>
    <cellStyle name="Nuovo 7 4 3" xfId="2951" xr:uid="{00000000-0005-0000-0000-00009A0C0000}"/>
    <cellStyle name="Nuovo 7 5" xfId="1318" xr:uid="{00000000-0005-0000-0000-00009B0C0000}"/>
    <cellStyle name="Nuovo 8" xfId="1319" xr:uid="{00000000-0005-0000-0000-00009C0C0000}"/>
    <cellStyle name="Nuovo 8 2" xfId="1320" xr:uid="{00000000-0005-0000-0000-00009D0C0000}"/>
    <cellStyle name="Nuovo 8 2 2" xfId="2952" xr:uid="{00000000-0005-0000-0000-00009E0C0000}"/>
    <cellStyle name="Nuovo 8 3" xfId="1321" xr:uid="{00000000-0005-0000-0000-00009F0C0000}"/>
    <cellStyle name="Nuovo 8 3 2" xfId="1322" xr:uid="{00000000-0005-0000-0000-0000A00C0000}"/>
    <cellStyle name="Nuovo 8 3 2 2" xfId="4122" xr:uid="{00000000-0005-0000-0000-0000A10C0000}"/>
    <cellStyle name="Nuovo 8 3 2 3" xfId="4123" xr:uid="{00000000-0005-0000-0000-0000A20C0000}"/>
    <cellStyle name="Nuovo 8 3 3" xfId="1323" xr:uid="{00000000-0005-0000-0000-0000A30C0000}"/>
    <cellStyle name="Nuovo 8 3 3 2" xfId="2953" xr:uid="{00000000-0005-0000-0000-0000A40C0000}"/>
    <cellStyle name="Nuovo 8 3 4" xfId="2954" xr:uid="{00000000-0005-0000-0000-0000A50C0000}"/>
    <cellStyle name="Nuovo 8 4" xfId="1324" xr:uid="{00000000-0005-0000-0000-0000A60C0000}"/>
    <cellStyle name="Nuovo 8 4 2" xfId="2955" xr:uid="{00000000-0005-0000-0000-0000A70C0000}"/>
    <cellStyle name="Nuovo 8 4 2 2" xfId="2956" xr:uid="{00000000-0005-0000-0000-0000A80C0000}"/>
    <cellStyle name="Nuovo 8 4 3" xfId="2957" xr:uid="{00000000-0005-0000-0000-0000A90C0000}"/>
    <cellStyle name="Nuovo 8 5" xfId="1325" xr:uid="{00000000-0005-0000-0000-0000AA0C0000}"/>
    <cellStyle name="Nuovo 9" xfId="1326" xr:uid="{00000000-0005-0000-0000-0000AB0C0000}"/>
    <cellStyle name="Nuovo 9 2" xfId="1327" xr:uid="{00000000-0005-0000-0000-0000AC0C0000}"/>
    <cellStyle name="Nuovo 9 2 2" xfId="2958" xr:uid="{00000000-0005-0000-0000-0000AD0C0000}"/>
    <cellStyle name="Nuovo 9 3" xfId="1328" xr:uid="{00000000-0005-0000-0000-0000AE0C0000}"/>
    <cellStyle name="Nuovo 9 3 2" xfId="1329" xr:uid="{00000000-0005-0000-0000-0000AF0C0000}"/>
    <cellStyle name="Nuovo 9 3 2 2" xfId="4124" xr:uid="{00000000-0005-0000-0000-0000B00C0000}"/>
    <cellStyle name="Nuovo 9 3 2 3" xfId="4125" xr:uid="{00000000-0005-0000-0000-0000B10C0000}"/>
    <cellStyle name="Nuovo 9 3 3" xfId="1330" xr:uid="{00000000-0005-0000-0000-0000B20C0000}"/>
    <cellStyle name="Nuovo 9 3 3 2" xfId="2959" xr:uid="{00000000-0005-0000-0000-0000B30C0000}"/>
    <cellStyle name="Nuovo 9 3 4" xfId="2960" xr:uid="{00000000-0005-0000-0000-0000B40C0000}"/>
    <cellStyle name="Nuovo 9 4" xfId="1331" xr:uid="{00000000-0005-0000-0000-0000B50C0000}"/>
    <cellStyle name="Nuovo 9 4 2" xfId="2961" xr:uid="{00000000-0005-0000-0000-0000B60C0000}"/>
    <cellStyle name="Nuovo 9 4 2 2" xfId="2962" xr:uid="{00000000-0005-0000-0000-0000B70C0000}"/>
    <cellStyle name="Nuovo 9 4 3" xfId="2963" xr:uid="{00000000-0005-0000-0000-0000B80C0000}"/>
    <cellStyle name="Nuovo 9 5" xfId="1332" xr:uid="{00000000-0005-0000-0000-0000B90C0000}"/>
    <cellStyle name="Output" xfId="1333" builtinId="21" customBuiltin="1"/>
    <cellStyle name="Output 2" xfId="1334" xr:uid="{00000000-0005-0000-0000-0000BB0C0000}"/>
    <cellStyle name="Output 2 2" xfId="1335" xr:uid="{00000000-0005-0000-0000-0000BC0C0000}"/>
    <cellStyle name="Output 2 2 2" xfId="4126" xr:uid="{00000000-0005-0000-0000-0000BD0C0000}"/>
    <cellStyle name="Output 2 2 3" xfId="4127" xr:uid="{00000000-0005-0000-0000-0000BE0C0000}"/>
    <cellStyle name="Output 2 3" xfId="1336" xr:uid="{00000000-0005-0000-0000-0000BF0C0000}"/>
    <cellStyle name="Output 2 3 2" xfId="4128" xr:uid="{00000000-0005-0000-0000-0000C00C0000}"/>
    <cellStyle name="Output 2 4" xfId="1337" xr:uid="{00000000-0005-0000-0000-0000C10C0000}"/>
    <cellStyle name="Output 2 5" xfId="1338" xr:uid="{00000000-0005-0000-0000-0000C20C0000}"/>
    <cellStyle name="Output 2 6" xfId="1339" xr:uid="{00000000-0005-0000-0000-0000C30C0000}"/>
    <cellStyle name="Output 2 7" xfId="4129" xr:uid="{00000000-0005-0000-0000-0000C40C0000}"/>
    <cellStyle name="Output 3" xfId="1340" xr:uid="{00000000-0005-0000-0000-0000C50C0000}"/>
    <cellStyle name="Output 3 2" xfId="1341" xr:uid="{00000000-0005-0000-0000-0000C60C0000}"/>
    <cellStyle name="Output 3 2 2" xfId="4130" xr:uid="{00000000-0005-0000-0000-0000C70C0000}"/>
    <cellStyle name="Output 3 3" xfId="1342" xr:uid="{00000000-0005-0000-0000-0000C80C0000}"/>
    <cellStyle name="Output 3 4" xfId="1343" xr:uid="{00000000-0005-0000-0000-0000C90C0000}"/>
    <cellStyle name="Output 3 5" xfId="1344" xr:uid="{00000000-0005-0000-0000-0000CA0C0000}"/>
    <cellStyle name="Output 3 6" xfId="4131" xr:uid="{00000000-0005-0000-0000-0000CB0C0000}"/>
    <cellStyle name="Output 4" xfId="2964" xr:uid="{00000000-0005-0000-0000-0000CC0C0000}"/>
    <cellStyle name="Overskrift 1 2" xfId="2965" xr:uid="{00000000-0005-0000-0000-0000CD0C0000}"/>
    <cellStyle name="Overskrift 2 2" xfId="2966" xr:uid="{00000000-0005-0000-0000-0000CE0C0000}"/>
    <cellStyle name="Overskrift 3 2" xfId="2967" xr:uid="{00000000-0005-0000-0000-0000CF0C0000}"/>
    <cellStyle name="Overskrift 4 2" xfId="2968" xr:uid="{00000000-0005-0000-0000-0000D00C0000}"/>
    <cellStyle name="Percen - Type1" xfId="1345" xr:uid="{00000000-0005-0000-0000-0000D10C0000}"/>
    <cellStyle name="Percent 2" xfId="1346" xr:uid="{00000000-0005-0000-0000-0000D30C0000}"/>
    <cellStyle name="Percent 2 2" xfId="2969" xr:uid="{00000000-0005-0000-0000-0000D40C0000}"/>
    <cellStyle name="Percent 2 2 2" xfId="4132" xr:uid="{00000000-0005-0000-0000-0000D50C0000}"/>
    <cellStyle name="Percent 2 2 3" xfId="4133" xr:uid="{00000000-0005-0000-0000-0000D60C0000}"/>
    <cellStyle name="Percent 2 2 3 2" xfId="4134" xr:uid="{00000000-0005-0000-0000-0000D70C0000}"/>
    <cellStyle name="Percent 2 2 4" xfId="4135" xr:uid="{00000000-0005-0000-0000-0000D80C0000}"/>
    <cellStyle name="Percent 2 3" xfId="4136" xr:uid="{00000000-0005-0000-0000-0000D90C0000}"/>
    <cellStyle name="Percent 2 3 2" xfId="4137" xr:uid="{00000000-0005-0000-0000-0000DA0C0000}"/>
    <cellStyle name="Percent 3" xfId="1347" xr:uid="{00000000-0005-0000-0000-0000DB0C0000}"/>
    <cellStyle name="Percent 3 2" xfId="1348" xr:uid="{00000000-0005-0000-0000-0000DC0C0000}"/>
    <cellStyle name="Percent 3 3" xfId="1349" xr:uid="{00000000-0005-0000-0000-0000DD0C0000}"/>
    <cellStyle name="Percent 3 3 2" xfId="1350" xr:uid="{00000000-0005-0000-0000-0000DE0C0000}"/>
    <cellStyle name="Percent 3 3 2 2" xfId="4138" xr:uid="{00000000-0005-0000-0000-0000DF0C0000}"/>
    <cellStyle name="Percent 3 3 3" xfId="1351" xr:uid="{00000000-0005-0000-0000-0000E00C0000}"/>
    <cellStyle name="Percent 3 3 3 2" xfId="2970" xr:uid="{00000000-0005-0000-0000-0000E10C0000}"/>
    <cellStyle name="Percent 3 3 4" xfId="2971" xr:uid="{00000000-0005-0000-0000-0000E20C0000}"/>
    <cellStyle name="Percent 3 4" xfId="1352" xr:uid="{00000000-0005-0000-0000-0000E30C0000}"/>
    <cellStyle name="Percent 3 4 2" xfId="4139" xr:uid="{00000000-0005-0000-0000-0000E40C0000}"/>
    <cellStyle name="Percent 3 5" xfId="2972" xr:uid="{00000000-0005-0000-0000-0000E50C0000}"/>
    <cellStyle name="Percent 3 5 2" xfId="2973" xr:uid="{00000000-0005-0000-0000-0000E60C0000}"/>
    <cellStyle name="Percent 4" xfId="1353" xr:uid="{00000000-0005-0000-0000-0000E70C0000}"/>
    <cellStyle name="Percent 4 2" xfId="2974" xr:uid="{00000000-0005-0000-0000-0000E80C0000}"/>
    <cellStyle name="Percent 4 2 2" xfId="2975" xr:uid="{00000000-0005-0000-0000-0000E90C0000}"/>
    <cellStyle name="Percent 4 3" xfId="2976" xr:uid="{00000000-0005-0000-0000-0000EA0C0000}"/>
    <cellStyle name="Percent 5" xfId="1354" xr:uid="{00000000-0005-0000-0000-0000EB0C0000}"/>
    <cellStyle name="Percent 6" xfId="1355" xr:uid="{00000000-0005-0000-0000-0000EC0C0000}"/>
    <cellStyle name="Percent 7" xfId="4140" xr:uid="{00000000-0005-0000-0000-0000ED0C0000}"/>
    <cellStyle name="Percent 8" xfId="4345" xr:uid="{00000000-0005-0000-0000-0000EE0C0000}"/>
    <cellStyle name="Percentuale 10" xfId="1356" xr:uid="{00000000-0005-0000-0000-0000EF0C0000}"/>
    <cellStyle name="Percentuale 10 2" xfId="1357" xr:uid="{00000000-0005-0000-0000-0000F00C0000}"/>
    <cellStyle name="Percentuale 10 2 2" xfId="2977" xr:uid="{00000000-0005-0000-0000-0000F10C0000}"/>
    <cellStyle name="Percentuale 10 3" xfId="1358" xr:uid="{00000000-0005-0000-0000-0000F20C0000}"/>
    <cellStyle name="Percentuale 10 3 2" xfId="1359" xr:uid="{00000000-0005-0000-0000-0000F30C0000}"/>
    <cellStyle name="Percentuale 10 3 2 2" xfId="4141" xr:uid="{00000000-0005-0000-0000-0000F40C0000}"/>
    <cellStyle name="Percentuale 10 3 2 3" xfId="4142" xr:uid="{00000000-0005-0000-0000-0000F50C0000}"/>
    <cellStyle name="Percentuale 10 3 3" xfId="1360" xr:uid="{00000000-0005-0000-0000-0000F60C0000}"/>
    <cellStyle name="Percentuale 10 3 3 2" xfId="2978" xr:uid="{00000000-0005-0000-0000-0000F70C0000}"/>
    <cellStyle name="Percentuale 10 3 4" xfId="2979" xr:uid="{00000000-0005-0000-0000-0000F80C0000}"/>
    <cellStyle name="Percentuale 10 4" xfId="1361" xr:uid="{00000000-0005-0000-0000-0000F90C0000}"/>
    <cellStyle name="Percentuale 10 4 2" xfId="2980" xr:uid="{00000000-0005-0000-0000-0000FA0C0000}"/>
    <cellStyle name="Percentuale 10 4 2 2" xfId="2981" xr:uid="{00000000-0005-0000-0000-0000FB0C0000}"/>
    <cellStyle name="Percentuale 10 4 3" xfId="2982" xr:uid="{00000000-0005-0000-0000-0000FC0C0000}"/>
    <cellStyle name="Percentuale 10 5" xfId="1362" xr:uid="{00000000-0005-0000-0000-0000FD0C0000}"/>
    <cellStyle name="Percentuale 11" xfId="1363" xr:uid="{00000000-0005-0000-0000-0000FE0C0000}"/>
    <cellStyle name="Percentuale 11 2" xfId="1364" xr:uid="{00000000-0005-0000-0000-0000FF0C0000}"/>
    <cellStyle name="Percentuale 11 2 2" xfId="2983" xr:uid="{00000000-0005-0000-0000-0000000D0000}"/>
    <cellStyle name="Percentuale 11 3" xfId="1365" xr:uid="{00000000-0005-0000-0000-0000010D0000}"/>
    <cellStyle name="Percentuale 11 3 2" xfId="1366" xr:uid="{00000000-0005-0000-0000-0000020D0000}"/>
    <cellStyle name="Percentuale 11 3 2 2" xfId="4143" xr:uid="{00000000-0005-0000-0000-0000030D0000}"/>
    <cellStyle name="Percentuale 11 3 2 3" xfId="4144" xr:uid="{00000000-0005-0000-0000-0000040D0000}"/>
    <cellStyle name="Percentuale 11 3 3" xfId="1367" xr:uid="{00000000-0005-0000-0000-0000050D0000}"/>
    <cellStyle name="Percentuale 11 3 3 2" xfId="2984" xr:uid="{00000000-0005-0000-0000-0000060D0000}"/>
    <cellStyle name="Percentuale 11 3 4" xfId="2985" xr:uid="{00000000-0005-0000-0000-0000070D0000}"/>
    <cellStyle name="Percentuale 11 4" xfId="1368" xr:uid="{00000000-0005-0000-0000-0000080D0000}"/>
    <cellStyle name="Percentuale 11 4 2" xfId="2986" xr:uid="{00000000-0005-0000-0000-0000090D0000}"/>
    <cellStyle name="Percentuale 11 4 2 2" xfId="2987" xr:uid="{00000000-0005-0000-0000-00000A0D0000}"/>
    <cellStyle name="Percentuale 11 4 3" xfId="2988" xr:uid="{00000000-0005-0000-0000-00000B0D0000}"/>
    <cellStyle name="Percentuale 11 5" xfId="1369" xr:uid="{00000000-0005-0000-0000-00000C0D0000}"/>
    <cellStyle name="Percentuale 12" xfId="1370" xr:uid="{00000000-0005-0000-0000-00000D0D0000}"/>
    <cellStyle name="Percentuale 12 2" xfId="1371" xr:uid="{00000000-0005-0000-0000-00000E0D0000}"/>
    <cellStyle name="Percentuale 12 2 2" xfId="2989" xr:uid="{00000000-0005-0000-0000-00000F0D0000}"/>
    <cellStyle name="Percentuale 12 3" xfId="1372" xr:uid="{00000000-0005-0000-0000-0000100D0000}"/>
    <cellStyle name="Percentuale 12 3 2" xfId="1373" xr:uid="{00000000-0005-0000-0000-0000110D0000}"/>
    <cellStyle name="Percentuale 12 3 2 2" xfId="4145" xr:uid="{00000000-0005-0000-0000-0000120D0000}"/>
    <cellStyle name="Percentuale 12 3 2 3" xfId="4146" xr:uid="{00000000-0005-0000-0000-0000130D0000}"/>
    <cellStyle name="Percentuale 12 3 3" xfId="1374" xr:uid="{00000000-0005-0000-0000-0000140D0000}"/>
    <cellStyle name="Percentuale 12 3 3 2" xfId="2990" xr:uid="{00000000-0005-0000-0000-0000150D0000}"/>
    <cellStyle name="Percentuale 12 3 4" xfId="2991" xr:uid="{00000000-0005-0000-0000-0000160D0000}"/>
    <cellStyle name="Percentuale 12 4" xfId="1375" xr:uid="{00000000-0005-0000-0000-0000170D0000}"/>
    <cellStyle name="Percentuale 12 4 2" xfId="2992" xr:uid="{00000000-0005-0000-0000-0000180D0000}"/>
    <cellStyle name="Percentuale 12 4 2 2" xfId="2993" xr:uid="{00000000-0005-0000-0000-0000190D0000}"/>
    <cellStyle name="Percentuale 12 4 3" xfId="2994" xr:uid="{00000000-0005-0000-0000-00001A0D0000}"/>
    <cellStyle name="Percentuale 12 5" xfId="1376" xr:uid="{00000000-0005-0000-0000-00001B0D0000}"/>
    <cellStyle name="Percentuale 13" xfId="1377" xr:uid="{00000000-0005-0000-0000-00001C0D0000}"/>
    <cellStyle name="Percentuale 13 2" xfId="1378" xr:uid="{00000000-0005-0000-0000-00001D0D0000}"/>
    <cellStyle name="Percentuale 13 2 2" xfId="2995" xr:uid="{00000000-0005-0000-0000-00001E0D0000}"/>
    <cellStyle name="Percentuale 13 3" xfId="1379" xr:uid="{00000000-0005-0000-0000-00001F0D0000}"/>
    <cellStyle name="Percentuale 13 3 2" xfId="1380" xr:uid="{00000000-0005-0000-0000-0000200D0000}"/>
    <cellStyle name="Percentuale 13 3 2 2" xfId="4147" xr:uid="{00000000-0005-0000-0000-0000210D0000}"/>
    <cellStyle name="Percentuale 13 3 2 3" xfId="4148" xr:uid="{00000000-0005-0000-0000-0000220D0000}"/>
    <cellStyle name="Percentuale 13 3 3" xfId="1381" xr:uid="{00000000-0005-0000-0000-0000230D0000}"/>
    <cellStyle name="Percentuale 13 3 3 2" xfId="2996" xr:uid="{00000000-0005-0000-0000-0000240D0000}"/>
    <cellStyle name="Percentuale 13 3 4" xfId="2997" xr:uid="{00000000-0005-0000-0000-0000250D0000}"/>
    <cellStyle name="Percentuale 13 4" xfId="1382" xr:uid="{00000000-0005-0000-0000-0000260D0000}"/>
    <cellStyle name="Percentuale 13 4 2" xfId="2998" xr:uid="{00000000-0005-0000-0000-0000270D0000}"/>
    <cellStyle name="Percentuale 13 4 2 2" xfId="2999" xr:uid="{00000000-0005-0000-0000-0000280D0000}"/>
    <cellStyle name="Percentuale 13 4 3" xfId="3000" xr:uid="{00000000-0005-0000-0000-0000290D0000}"/>
    <cellStyle name="Percentuale 13 5" xfId="1383" xr:uid="{00000000-0005-0000-0000-00002A0D0000}"/>
    <cellStyle name="Percentuale 14" xfId="1384" xr:uid="{00000000-0005-0000-0000-00002B0D0000}"/>
    <cellStyle name="Percentuale 14 2" xfId="1385" xr:uid="{00000000-0005-0000-0000-00002C0D0000}"/>
    <cellStyle name="Percentuale 14 2 2" xfId="3001" xr:uid="{00000000-0005-0000-0000-00002D0D0000}"/>
    <cellStyle name="Percentuale 14 3" xfId="1386" xr:uid="{00000000-0005-0000-0000-00002E0D0000}"/>
    <cellStyle name="Percentuale 14 3 2" xfId="1387" xr:uid="{00000000-0005-0000-0000-00002F0D0000}"/>
    <cellStyle name="Percentuale 14 3 2 2" xfId="4149" xr:uid="{00000000-0005-0000-0000-0000300D0000}"/>
    <cellStyle name="Percentuale 14 3 2 3" xfId="4150" xr:uid="{00000000-0005-0000-0000-0000310D0000}"/>
    <cellStyle name="Percentuale 14 3 3" xfId="1388" xr:uid="{00000000-0005-0000-0000-0000320D0000}"/>
    <cellStyle name="Percentuale 14 3 3 2" xfId="3002" xr:uid="{00000000-0005-0000-0000-0000330D0000}"/>
    <cellStyle name="Percentuale 14 3 4" xfId="3003" xr:uid="{00000000-0005-0000-0000-0000340D0000}"/>
    <cellStyle name="Percentuale 14 4" xfId="1389" xr:uid="{00000000-0005-0000-0000-0000350D0000}"/>
    <cellStyle name="Percentuale 14 4 2" xfId="3004" xr:uid="{00000000-0005-0000-0000-0000360D0000}"/>
    <cellStyle name="Percentuale 14 4 2 2" xfId="3005" xr:uid="{00000000-0005-0000-0000-0000370D0000}"/>
    <cellStyle name="Percentuale 14 4 3" xfId="3006" xr:uid="{00000000-0005-0000-0000-0000380D0000}"/>
    <cellStyle name="Percentuale 14 5" xfId="1390" xr:uid="{00000000-0005-0000-0000-0000390D0000}"/>
    <cellStyle name="Percentuale 15" xfId="1391" xr:uid="{00000000-0005-0000-0000-00003A0D0000}"/>
    <cellStyle name="Percentuale 15 2" xfId="1392" xr:uid="{00000000-0005-0000-0000-00003B0D0000}"/>
    <cellStyle name="Percentuale 15 2 2" xfId="3007" xr:uid="{00000000-0005-0000-0000-00003C0D0000}"/>
    <cellStyle name="Percentuale 15 3" xfId="1393" xr:uid="{00000000-0005-0000-0000-00003D0D0000}"/>
    <cellStyle name="Percentuale 15 3 2" xfId="1394" xr:uid="{00000000-0005-0000-0000-00003E0D0000}"/>
    <cellStyle name="Percentuale 15 3 2 2" xfId="4151" xr:uid="{00000000-0005-0000-0000-00003F0D0000}"/>
    <cellStyle name="Percentuale 15 3 2 3" xfId="4152" xr:uid="{00000000-0005-0000-0000-0000400D0000}"/>
    <cellStyle name="Percentuale 15 3 3" xfId="1395" xr:uid="{00000000-0005-0000-0000-0000410D0000}"/>
    <cellStyle name="Percentuale 15 3 3 2" xfId="3008" xr:uid="{00000000-0005-0000-0000-0000420D0000}"/>
    <cellStyle name="Percentuale 15 3 4" xfId="3009" xr:uid="{00000000-0005-0000-0000-0000430D0000}"/>
    <cellStyle name="Percentuale 15 4" xfId="1396" xr:uid="{00000000-0005-0000-0000-0000440D0000}"/>
    <cellStyle name="Percentuale 15 4 2" xfId="3010" xr:uid="{00000000-0005-0000-0000-0000450D0000}"/>
    <cellStyle name="Percentuale 15 4 2 2" xfId="3011" xr:uid="{00000000-0005-0000-0000-0000460D0000}"/>
    <cellStyle name="Percentuale 15 4 3" xfId="3012" xr:uid="{00000000-0005-0000-0000-0000470D0000}"/>
    <cellStyle name="Percentuale 15 5" xfId="1397" xr:uid="{00000000-0005-0000-0000-0000480D0000}"/>
    <cellStyle name="Percentuale 16" xfId="1398" xr:uid="{00000000-0005-0000-0000-0000490D0000}"/>
    <cellStyle name="Percentuale 16 2" xfId="1399" xr:uid="{00000000-0005-0000-0000-00004A0D0000}"/>
    <cellStyle name="Percentuale 16 2 2" xfId="3013" xr:uid="{00000000-0005-0000-0000-00004B0D0000}"/>
    <cellStyle name="Percentuale 16 3" xfId="1400" xr:uid="{00000000-0005-0000-0000-00004C0D0000}"/>
    <cellStyle name="Percentuale 16 3 2" xfId="1401" xr:uid="{00000000-0005-0000-0000-00004D0D0000}"/>
    <cellStyle name="Percentuale 16 3 2 2" xfId="4153" xr:uid="{00000000-0005-0000-0000-00004E0D0000}"/>
    <cellStyle name="Percentuale 16 3 2 3" xfId="4154" xr:uid="{00000000-0005-0000-0000-00004F0D0000}"/>
    <cellStyle name="Percentuale 16 3 3" xfId="1402" xr:uid="{00000000-0005-0000-0000-0000500D0000}"/>
    <cellStyle name="Percentuale 16 3 3 2" xfId="3014" xr:uid="{00000000-0005-0000-0000-0000510D0000}"/>
    <cellStyle name="Percentuale 16 3 4" xfId="3015" xr:uid="{00000000-0005-0000-0000-0000520D0000}"/>
    <cellStyle name="Percentuale 16 4" xfId="1403" xr:uid="{00000000-0005-0000-0000-0000530D0000}"/>
    <cellStyle name="Percentuale 16 4 2" xfId="3016" xr:uid="{00000000-0005-0000-0000-0000540D0000}"/>
    <cellStyle name="Percentuale 16 4 2 2" xfId="3017" xr:uid="{00000000-0005-0000-0000-0000550D0000}"/>
    <cellStyle name="Percentuale 16 4 3" xfId="3018" xr:uid="{00000000-0005-0000-0000-0000560D0000}"/>
    <cellStyle name="Percentuale 16 5" xfId="1404" xr:uid="{00000000-0005-0000-0000-0000570D0000}"/>
    <cellStyle name="Percentuale 17" xfId="1405" xr:uid="{00000000-0005-0000-0000-0000580D0000}"/>
    <cellStyle name="Percentuale 17 2" xfId="1406" xr:uid="{00000000-0005-0000-0000-0000590D0000}"/>
    <cellStyle name="Percentuale 17 2 2" xfId="3019" xr:uid="{00000000-0005-0000-0000-00005A0D0000}"/>
    <cellStyle name="Percentuale 17 3" xfId="1407" xr:uid="{00000000-0005-0000-0000-00005B0D0000}"/>
    <cellStyle name="Percentuale 17 3 2" xfId="1408" xr:uid="{00000000-0005-0000-0000-00005C0D0000}"/>
    <cellStyle name="Percentuale 17 3 2 2" xfId="4155" xr:uid="{00000000-0005-0000-0000-00005D0D0000}"/>
    <cellStyle name="Percentuale 17 3 2 3" xfId="4156" xr:uid="{00000000-0005-0000-0000-00005E0D0000}"/>
    <cellStyle name="Percentuale 17 3 3" xfId="1409" xr:uid="{00000000-0005-0000-0000-00005F0D0000}"/>
    <cellStyle name="Percentuale 17 3 3 2" xfId="3020" xr:uid="{00000000-0005-0000-0000-0000600D0000}"/>
    <cellStyle name="Percentuale 17 3 4" xfId="3021" xr:uid="{00000000-0005-0000-0000-0000610D0000}"/>
    <cellStyle name="Percentuale 17 4" xfId="1410" xr:uid="{00000000-0005-0000-0000-0000620D0000}"/>
    <cellStyle name="Percentuale 17 4 2" xfId="3022" xr:uid="{00000000-0005-0000-0000-0000630D0000}"/>
    <cellStyle name="Percentuale 17 4 2 2" xfId="3023" xr:uid="{00000000-0005-0000-0000-0000640D0000}"/>
    <cellStyle name="Percentuale 17 4 3" xfId="3024" xr:uid="{00000000-0005-0000-0000-0000650D0000}"/>
    <cellStyle name="Percentuale 17 5" xfId="1411" xr:uid="{00000000-0005-0000-0000-0000660D0000}"/>
    <cellStyle name="Percentuale 18" xfId="1412" xr:uid="{00000000-0005-0000-0000-0000670D0000}"/>
    <cellStyle name="Percentuale 18 2" xfId="1413" xr:uid="{00000000-0005-0000-0000-0000680D0000}"/>
    <cellStyle name="Percentuale 18 2 2" xfId="3025" xr:uid="{00000000-0005-0000-0000-0000690D0000}"/>
    <cellStyle name="Percentuale 18 3" xfId="1414" xr:uid="{00000000-0005-0000-0000-00006A0D0000}"/>
    <cellStyle name="Percentuale 18 3 2" xfId="1415" xr:uid="{00000000-0005-0000-0000-00006B0D0000}"/>
    <cellStyle name="Percentuale 18 3 2 2" xfId="4157" xr:uid="{00000000-0005-0000-0000-00006C0D0000}"/>
    <cellStyle name="Percentuale 18 3 2 3" xfId="4158" xr:uid="{00000000-0005-0000-0000-00006D0D0000}"/>
    <cellStyle name="Percentuale 18 3 3" xfId="1416" xr:uid="{00000000-0005-0000-0000-00006E0D0000}"/>
    <cellStyle name="Percentuale 18 3 3 2" xfId="3026" xr:uid="{00000000-0005-0000-0000-00006F0D0000}"/>
    <cellStyle name="Percentuale 18 3 4" xfId="3027" xr:uid="{00000000-0005-0000-0000-0000700D0000}"/>
    <cellStyle name="Percentuale 18 4" xfId="1417" xr:uid="{00000000-0005-0000-0000-0000710D0000}"/>
    <cellStyle name="Percentuale 18 4 2" xfId="3028" xr:uid="{00000000-0005-0000-0000-0000720D0000}"/>
    <cellStyle name="Percentuale 18 4 2 2" xfId="3029" xr:uid="{00000000-0005-0000-0000-0000730D0000}"/>
    <cellStyle name="Percentuale 18 4 3" xfId="3030" xr:uid="{00000000-0005-0000-0000-0000740D0000}"/>
    <cellStyle name="Percentuale 18 5" xfId="1418" xr:uid="{00000000-0005-0000-0000-0000750D0000}"/>
    <cellStyle name="Percentuale 19" xfId="1419" xr:uid="{00000000-0005-0000-0000-0000760D0000}"/>
    <cellStyle name="Percentuale 19 2" xfId="1420" xr:uid="{00000000-0005-0000-0000-0000770D0000}"/>
    <cellStyle name="Percentuale 19 2 2" xfId="3031" xr:uid="{00000000-0005-0000-0000-0000780D0000}"/>
    <cellStyle name="Percentuale 19 3" xfId="1421" xr:uid="{00000000-0005-0000-0000-0000790D0000}"/>
    <cellStyle name="Percentuale 19 3 2" xfId="1422" xr:uid="{00000000-0005-0000-0000-00007A0D0000}"/>
    <cellStyle name="Percentuale 19 3 2 2" xfId="4159" xr:uid="{00000000-0005-0000-0000-00007B0D0000}"/>
    <cellStyle name="Percentuale 19 3 2 3" xfId="4160" xr:uid="{00000000-0005-0000-0000-00007C0D0000}"/>
    <cellStyle name="Percentuale 19 3 3" xfId="1423" xr:uid="{00000000-0005-0000-0000-00007D0D0000}"/>
    <cellStyle name="Percentuale 19 3 3 2" xfId="3032" xr:uid="{00000000-0005-0000-0000-00007E0D0000}"/>
    <cellStyle name="Percentuale 19 3 4" xfId="3033" xr:uid="{00000000-0005-0000-0000-00007F0D0000}"/>
    <cellStyle name="Percentuale 19 4" xfId="1424" xr:uid="{00000000-0005-0000-0000-0000800D0000}"/>
    <cellStyle name="Percentuale 19 4 2" xfId="3034" xr:uid="{00000000-0005-0000-0000-0000810D0000}"/>
    <cellStyle name="Percentuale 19 4 2 2" xfId="3035" xr:uid="{00000000-0005-0000-0000-0000820D0000}"/>
    <cellStyle name="Percentuale 19 4 3" xfId="3036" xr:uid="{00000000-0005-0000-0000-0000830D0000}"/>
    <cellStyle name="Percentuale 19 5" xfId="1425" xr:uid="{00000000-0005-0000-0000-0000840D0000}"/>
    <cellStyle name="Percentuale 2" xfId="1426" xr:uid="{00000000-0005-0000-0000-0000850D0000}"/>
    <cellStyle name="Percentuale 2 2" xfId="1427" xr:uid="{00000000-0005-0000-0000-0000860D0000}"/>
    <cellStyle name="Percentuale 2 2 2" xfId="3037" xr:uid="{00000000-0005-0000-0000-0000870D0000}"/>
    <cellStyle name="Percentuale 2 3" xfId="1428" xr:uid="{00000000-0005-0000-0000-0000880D0000}"/>
    <cellStyle name="Percentuale 2 3 2" xfId="1429" xr:uid="{00000000-0005-0000-0000-0000890D0000}"/>
    <cellStyle name="Percentuale 2 3 2 2" xfId="4161" xr:uid="{00000000-0005-0000-0000-00008A0D0000}"/>
    <cellStyle name="Percentuale 2 3 2 3" xfId="4162" xr:uid="{00000000-0005-0000-0000-00008B0D0000}"/>
    <cellStyle name="Percentuale 2 3 3" xfId="1430" xr:uid="{00000000-0005-0000-0000-00008C0D0000}"/>
    <cellStyle name="Percentuale 2 3 3 2" xfId="3038" xr:uid="{00000000-0005-0000-0000-00008D0D0000}"/>
    <cellStyle name="Percentuale 2 3 4" xfId="3039" xr:uid="{00000000-0005-0000-0000-00008E0D0000}"/>
    <cellStyle name="Percentuale 2 4" xfId="1431" xr:uid="{00000000-0005-0000-0000-00008F0D0000}"/>
    <cellStyle name="Percentuale 2 4 2" xfId="3040" xr:uid="{00000000-0005-0000-0000-0000900D0000}"/>
    <cellStyle name="Percentuale 2 4 2 2" xfId="3041" xr:uid="{00000000-0005-0000-0000-0000910D0000}"/>
    <cellStyle name="Percentuale 2 4 3" xfId="3042" xr:uid="{00000000-0005-0000-0000-0000920D0000}"/>
    <cellStyle name="Percentuale 2 5" xfId="1432" xr:uid="{00000000-0005-0000-0000-0000930D0000}"/>
    <cellStyle name="Percentuale 20" xfId="1433" xr:uid="{00000000-0005-0000-0000-0000940D0000}"/>
    <cellStyle name="Percentuale 20 2" xfId="1434" xr:uid="{00000000-0005-0000-0000-0000950D0000}"/>
    <cellStyle name="Percentuale 20 2 2" xfId="3043" xr:uid="{00000000-0005-0000-0000-0000960D0000}"/>
    <cellStyle name="Percentuale 20 3" xfId="1435" xr:uid="{00000000-0005-0000-0000-0000970D0000}"/>
    <cellStyle name="Percentuale 20 3 2" xfId="1436" xr:uid="{00000000-0005-0000-0000-0000980D0000}"/>
    <cellStyle name="Percentuale 20 3 2 2" xfId="4163" xr:uid="{00000000-0005-0000-0000-0000990D0000}"/>
    <cellStyle name="Percentuale 20 3 2 3" xfId="4164" xr:uid="{00000000-0005-0000-0000-00009A0D0000}"/>
    <cellStyle name="Percentuale 20 3 3" xfId="1437" xr:uid="{00000000-0005-0000-0000-00009B0D0000}"/>
    <cellStyle name="Percentuale 20 3 3 2" xfId="3044" xr:uid="{00000000-0005-0000-0000-00009C0D0000}"/>
    <cellStyle name="Percentuale 20 3 4" xfId="3045" xr:uid="{00000000-0005-0000-0000-00009D0D0000}"/>
    <cellStyle name="Percentuale 20 4" xfId="1438" xr:uid="{00000000-0005-0000-0000-00009E0D0000}"/>
    <cellStyle name="Percentuale 20 4 2" xfId="3046" xr:uid="{00000000-0005-0000-0000-00009F0D0000}"/>
    <cellStyle name="Percentuale 20 4 2 2" xfId="3047" xr:uid="{00000000-0005-0000-0000-0000A00D0000}"/>
    <cellStyle name="Percentuale 20 4 3" xfId="3048" xr:uid="{00000000-0005-0000-0000-0000A10D0000}"/>
    <cellStyle name="Percentuale 20 5" xfId="1439" xr:uid="{00000000-0005-0000-0000-0000A20D0000}"/>
    <cellStyle name="Percentuale 21" xfId="1440" xr:uid="{00000000-0005-0000-0000-0000A30D0000}"/>
    <cellStyle name="Percentuale 21 2" xfId="1441" xr:uid="{00000000-0005-0000-0000-0000A40D0000}"/>
    <cellStyle name="Percentuale 21 2 2" xfId="3049" xr:uid="{00000000-0005-0000-0000-0000A50D0000}"/>
    <cellStyle name="Percentuale 21 3" xfId="1442" xr:uid="{00000000-0005-0000-0000-0000A60D0000}"/>
    <cellStyle name="Percentuale 21 3 2" xfId="1443" xr:uid="{00000000-0005-0000-0000-0000A70D0000}"/>
    <cellStyle name="Percentuale 21 3 2 2" xfId="4165" xr:uid="{00000000-0005-0000-0000-0000A80D0000}"/>
    <cellStyle name="Percentuale 21 3 2 3" xfId="4166" xr:uid="{00000000-0005-0000-0000-0000A90D0000}"/>
    <cellStyle name="Percentuale 21 3 3" xfId="1444" xr:uid="{00000000-0005-0000-0000-0000AA0D0000}"/>
    <cellStyle name="Percentuale 21 3 3 2" xfId="3050" xr:uid="{00000000-0005-0000-0000-0000AB0D0000}"/>
    <cellStyle name="Percentuale 21 3 4" xfId="3051" xr:uid="{00000000-0005-0000-0000-0000AC0D0000}"/>
    <cellStyle name="Percentuale 21 4" xfId="1445" xr:uid="{00000000-0005-0000-0000-0000AD0D0000}"/>
    <cellStyle name="Percentuale 21 4 2" xfId="3052" xr:uid="{00000000-0005-0000-0000-0000AE0D0000}"/>
    <cellStyle name="Percentuale 21 4 2 2" xfId="3053" xr:uid="{00000000-0005-0000-0000-0000AF0D0000}"/>
    <cellStyle name="Percentuale 21 4 3" xfId="3054" xr:uid="{00000000-0005-0000-0000-0000B00D0000}"/>
    <cellStyle name="Percentuale 21 5" xfId="1446" xr:uid="{00000000-0005-0000-0000-0000B10D0000}"/>
    <cellStyle name="Percentuale 22" xfId="1447" xr:uid="{00000000-0005-0000-0000-0000B20D0000}"/>
    <cellStyle name="Percentuale 22 2" xfId="1448" xr:uid="{00000000-0005-0000-0000-0000B30D0000}"/>
    <cellStyle name="Percentuale 22 2 2" xfId="3055" xr:uid="{00000000-0005-0000-0000-0000B40D0000}"/>
    <cellStyle name="Percentuale 22 3" xfId="1449" xr:uid="{00000000-0005-0000-0000-0000B50D0000}"/>
    <cellStyle name="Percentuale 22 3 2" xfId="1450" xr:uid="{00000000-0005-0000-0000-0000B60D0000}"/>
    <cellStyle name="Percentuale 22 3 2 2" xfId="4167" xr:uid="{00000000-0005-0000-0000-0000B70D0000}"/>
    <cellStyle name="Percentuale 22 3 2 3" xfId="4168" xr:uid="{00000000-0005-0000-0000-0000B80D0000}"/>
    <cellStyle name="Percentuale 22 3 3" xfId="1451" xr:uid="{00000000-0005-0000-0000-0000B90D0000}"/>
    <cellStyle name="Percentuale 22 3 3 2" xfId="3056" xr:uid="{00000000-0005-0000-0000-0000BA0D0000}"/>
    <cellStyle name="Percentuale 22 3 4" xfId="3057" xr:uid="{00000000-0005-0000-0000-0000BB0D0000}"/>
    <cellStyle name="Percentuale 22 4" xfId="1452" xr:uid="{00000000-0005-0000-0000-0000BC0D0000}"/>
    <cellStyle name="Percentuale 22 4 2" xfId="3058" xr:uid="{00000000-0005-0000-0000-0000BD0D0000}"/>
    <cellStyle name="Percentuale 22 4 2 2" xfId="3059" xr:uid="{00000000-0005-0000-0000-0000BE0D0000}"/>
    <cellStyle name="Percentuale 22 4 3" xfId="3060" xr:uid="{00000000-0005-0000-0000-0000BF0D0000}"/>
    <cellStyle name="Percentuale 22 5" xfId="1453" xr:uid="{00000000-0005-0000-0000-0000C00D0000}"/>
    <cellStyle name="Percentuale 23" xfId="1454" xr:uid="{00000000-0005-0000-0000-0000C10D0000}"/>
    <cellStyle name="Percentuale 23 2" xfId="1455" xr:uid="{00000000-0005-0000-0000-0000C20D0000}"/>
    <cellStyle name="Percentuale 23 2 2" xfId="3061" xr:uid="{00000000-0005-0000-0000-0000C30D0000}"/>
    <cellStyle name="Percentuale 23 3" xfId="1456" xr:uid="{00000000-0005-0000-0000-0000C40D0000}"/>
    <cellStyle name="Percentuale 23 3 2" xfId="1457" xr:uid="{00000000-0005-0000-0000-0000C50D0000}"/>
    <cellStyle name="Percentuale 23 3 2 2" xfId="4169" xr:uid="{00000000-0005-0000-0000-0000C60D0000}"/>
    <cellStyle name="Percentuale 23 3 2 3" xfId="4170" xr:uid="{00000000-0005-0000-0000-0000C70D0000}"/>
    <cellStyle name="Percentuale 23 3 3" xfId="1458" xr:uid="{00000000-0005-0000-0000-0000C80D0000}"/>
    <cellStyle name="Percentuale 23 3 3 2" xfId="3062" xr:uid="{00000000-0005-0000-0000-0000C90D0000}"/>
    <cellStyle name="Percentuale 23 3 4" xfId="3063" xr:uid="{00000000-0005-0000-0000-0000CA0D0000}"/>
    <cellStyle name="Percentuale 23 4" xfId="1459" xr:uid="{00000000-0005-0000-0000-0000CB0D0000}"/>
    <cellStyle name="Percentuale 23 4 2" xfId="3064" xr:uid="{00000000-0005-0000-0000-0000CC0D0000}"/>
    <cellStyle name="Percentuale 23 4 2 2" xfId="3065" xr:uid="{00000000-0005-0000-0000-0000CD0D0000}"/>
    <cellStyle name="Percentuale 23 4 3" xfId="3066" xr:uid="{00000000-0005-0000-0000-0000CE0D0000}"/>
    <cellStyle name="Percentuale 23 5" xfId="1460" xr:uid="{00000000-0005-0000-0000-0000CF0D0000}"/>
    <cellStyle name="Percentuale 24" xfId="1461" xr:uid="{00000000-0005-0000-0000-0000D00D0000}"/>
    <cellStyle name="Percentuale 24 2" xfId="1462" xr:uid="{00000000-0005-0000-0000-0000D10D0000}"/>
    <cellStyle name="Percentuale 24 2 2" xfId="3067" xr:uid="{00000000-0005-0000-0000-0000D20D0000}"/>
    <cellStyle name="Percentuale 24 3" xfId="1463" xr:uid="{00000000-0005-0000-0000-0000D30D0000}"/>
    <cellStyle name="Percentuale 24 3 2" xfId="1464" xr:uid="{00000000-0005-0000-0000-0000D40D0000}"/>
    <cellStyle name="Percentuale 24 3 2 2" xfId="4171" xr:uid="{00000000-0005-0000-0000-0000D50D0000}"/>
    <cellStyle name="Percentuale 24 3 2 3" xfId="4172" xr:uid="{00000000-0005-0000-0000-0000D60D0000}"/>
    <cellStyle name="Percentuale 24 3 3" xfId="1465" xr:uid="{00000000-0005-0000-0000-0000D70D0000}"/>
    <cellStyle name="Percentuale 24 3 3 2" xfId="3068" xr:uid="{00000000-0005-0000-0000-0000D80D0000}"/>
    <cellStyle name="Percentuale 24 3 4" xfId="3069" xr:uid="{00000000-0005-0000-0000-0000D90D0000}"/>
    <cellStyle name="Percentuale 24 4" xfId="1466" xr:uid="{00000000-0005-0000-0000-0000DA0D0000}"/>
    <cellStyle name="Percentuale 24 4 2" xfId="3070" xr:uid="{00000000-0005-0000-0000-0000DB0D0000}"/>
    <cellStyle name="Percentuale 24 4 2 2" xfId="3071" xr:uid="{00000000-0005-0000-0000-0000DC0D0000}"/>
    <cellStyle name="Percentuale 24 4 3" xfId="3072" xr:uid="{00000000-0005-0000-0000-0000DD0D0000}"/>
    <cellStyle name="Percentuale 24 5" xfId="1467" xr:uid="{00000000-0005-0000-0000-0000DE0D0000}"/>
    <cellStyle name="Percentuale 25" xfId="1468" xr:uid="{00000000-0005-0000-0000-0000DF0D0000}"/>
    <cellStyle name="Percentuale 25 2" xfId="1469" xr:uid="{00000000-0005-0000-0000-0000E00D0000}"/>
    <cellStyle name="Percentuale 25 2 2" xfId="3073" xr:uid="{00000000-0005-0000-0000-0000E10D0000}"/>
    <cellStyle name="Percentuale 25 3" xfId="1470" xr:uid="{00000000-0005-0000-0000-0000E20D0000}"/>
    <cellStyle name="Percentuale 25 3 2" xfId="1471" xr:uid="{00000000-0005-0000-0000-0000E30D0000}"/>
    <cellStyle name="Percentuale 25 3 2 2" xfId="4173" xr:uid="{00000000-0005-0000-0000-0000E40D0000}"/>
    <cellStyle name="Percentuale 25 3 2 3" xfId="4174" xr:uid="{00000000-0005-0000-0000-0000E50D0000}"/>
    <cellStyle name="Percentuale 25 3 3" xfId="1472" xr:uid="{00000000-0005-0000-0000-0000E60D0000}"/>
    <cellStyle name="Percentuale 25 3 3 2" xfId="3074" xr:uid="{00000000-0005-0000-0000-0000E70D0000}"/>
    <cellStyle name="Percentuale 25 3 4" xfId="3075" xr:uid="{00000000-0005-0000-0000-0000E80D0000}"/>
    <cellStyle name="Percentuale 25 4" xfId="1473" xr:uid="{00000000-0005-0000-0000-0000E90D0000}"/>
    <cellStyle name="Percentuale 25 4 2" xfId="3076" xr:uid="{00000000-0005-0000-0000-0000EA0D0000}"/>
    <cellStyle name="Percentuale 25 4 2 2" xfId="3077" xr:uid="{00000000-0005-0000-0000-0000EB0D0000}"/>
    <cellStyle name="Percentuale 25 4 3" xfId="3078" xr:uid="{00000000-0005-0000-0000-0000EC0D0000}"/>
    <cellStyle name="Percentuale 25 5" xfId="1474" xr:uid="{00000000-0005-0000-0000-0000ED0D0000}"/>
    <cellStyle name="Percentuale 26" xfId="1475" xr:uid="{00000000-0005-0000-0000-0000EE0D0000}"/>
    <cellStyle name="Percentuale 26 2" xfId="1476" xr:uid="{00000000-0005-0000-0000-0000EF0D0000}"/>
    <cellStyle name="Percentuale 26 2 2" xfId="3079" xr:uid="{00000000-0005-0000-0000-0000F00D0000}"/>
    <cellStyle name="Percentuale 26 3" xfId="1477" xr:uid="{00000000-0005-0000-0000-0000F10D0000}"/>
    <cellStyle name="Percentuale 26 3 2" xfId="1478" xr:uid="{00000000-0005-0000-0000-0000F20D0000}"/>
    <cellStyle name="Percentuale 26 3 2 2" xfId="4175" xr:uid="{00000000-0005-0000-0000-0000F30D0000}"/>
    <cellStyle name="Percentuale 26 3 2 3" xfId="4176" xr:uid="{00000000-0005-0000-0000-0000F40D0000}"/>
    <cellStyle name="Percentuale 26 3 3" xfId="1479" xr:uid="{00000000-0005-0000-0000-0000F50D0000}"/>
    <cellStyle name="Percentuale 26 3 3 2" xfId="3080" xr:uid="{00000000-0005-0000-0000-0000F60D0000}"/>
    <cellStyle name="Percentuale 26 3 4" xfId="3081" xr:uid="{00000000-0005-0000-0000-0000F70D0000}"/>
    <cellStyle name="Percentuale 26 4" xfId="1480" xr:uid="{00000000-0005-0000-0000-0000F80D0000}"/>
    <cellStyle name="Percentuale 26 4 2" xfId="3082" xr:uid="{00000000-0005-0000-0000-0000F90D0000}"/>
    <cellStyle name="Percentuale 26 4 2 2" xfId="3083" xr:uid="{00000000-0005-0000-0000-0000FA0D0000}"/>
    <cellStyle name="Percentuale 26 4 3" xfId="3084" xr:uid="{00000000-0005-0000-0000-0000FB0D0000}"/>
    <cellStyle name="Percentuale 26 5" xfId="1481" xr:uid="{00000000-0005-0000-0000-0000FC0D0000}"/>
    <cellStyle name="Percentuale 27" xfId="1482" xr:uid="{00000000-0005-0000-0000-0000FD0D0000}"/>
    <cellStyle name="Percentuale 27 2" xfId="1483" xr:uid="{00000000-0005-0000-0000-0000FE0D0000}"/>
    <cellStyle name="Percentuale 27 2 2" xfId="3085" xr:uid="{00000000-0005-0000-0000-0000FF0D0000}"/>
    <cellStyle name="Percentuale 27 3" xfId="1484" xr:uid="{00000000-0005-0000-0000-0000000E0000}"/>
    <cellStyle name="Percentuale 27 3 2" xfId="1485" xr:uid="{00000000-0005-0000-0000-0000010E0000}"/>
    <cellStyle name="Percentuale 27 3 2 2" xfId="4177" xr:uid="{00000000-0005-0000-0000-0000020E0000}"/>
    <cellStyle name="Percentuale 27 3 2 3" xfId="4178" xr:uid="{00000000-0005-0000-0000-0000030E0000}"/>
    <cellStyle name="Percentuale 27 3 3" xfId="1486" xr:uid="{00000000-0005-0000-0000-0000040E0000}"/>
    <cellStyle name="Percentuale 27 3 3 2" xfId="3086" xr:uid="{00000000-0005-0000-0000-0000050E0000}"/>
    <cellStyle name="Percentuale 27 3 4" xfId="3087" xr:uid="{00000000-0005-0000-0000-0000060E0000}"/>
    <cellStyle name="Percentuale 27 4" xfId="1487" xr:uid="{00000000-0005-0000-0000-0000070E0000}"/>
    <cellStyle name="Percentuale 27 4 2" xfId="3088" xr:uid="{00000000-0005-0000-0000-0000080E0000}"/>
    <cellStyle name="Percentuale 27 4 2 2" xfId="3089" xr:uid="{00000000-0005-0000-0000-0000090E0000}"/>
    <cellStyle name="Percentuale 27 4 3" xfId="3090" xr:uid="{00000000-0005-0000-0000-00000A0E0000}"/>
    <cellStyle name="Percentuale 27 5" xfId="1488" xr:uid="{00000000-0005-0000-0000-00000B0E0000}"/>
    <cellStyle name="Percentuale 28" xfId="1489" xr:uid="{00000000-0005-0000-0000-00000C0E0000}"/>
    <cellStyle name="Percentuale 28 2" xfId="1490" xr:uid="{00000000-0005-0000-0000-00000D0E0000}"/>
    <cellStyle name="Percentuale 28 2 2" xfId="3091" xr:uid="{00000000-0005-0000-0000-00000E0E0000}"/>
    <cellStyle name="Percentuale 28 3" xfId="1491" xr:uid="{00000000-0005-0000-0000-00000F0E0000}"/>
    <cellStyle name="Percentuale 28 3 2" xfId="1492" xr:uid="{00000000-0005-0000-0000-0000100E0000}"/>
    <cellStyle name="Percentuale 28 3 2 2" xfId="4179" xr:uid="{00000000-0005-0000-0000-0000110E0000}"/>
    <cellStyle name="Percentuale 28 3 2 3" xfId="4180" xr:uid="{00000000-0005-0000-0000-0000120E0000}"/>
    <cellStyle name="Percentuale 28 3 3" xfId="1493" xr:uid="{00000000-0005-0000-0000-0000130E0000}"/>
    <cellStyle name="Percentuale 28 3 3 2" xfId="3092" xr:uid="{00000000-0005-0000-0000-0000140E0000}"/>
    <cellStyle name="Percentuale 28 3 4" xfId="3093" xr:uid="{00000000-0005-0000-0000-0000150E0000}"/>
    <cellStyle name="Percentuale 28 4" xfId="1494" xr:uid="{00000000-0005-0000-0000-0000160E0000}"/>
    <cellStyle name="Percentuale 28 4 2" xfId="3094" xr:uid="{00000000-0005-0000-0000-0000170E0000}"/>
    <cellStyle name="Percentuale 28 4 2 2" xfId="3095" xr:uid="{00000000-0005-0000-0000-0000180E0000}"/>
    <cellStyle name="Percentuale 28 4 3" xfId="3096" xr:uid="{00000000-0005-0000-0000-0000190E0000}"/>
    <cellStyle name="Percentuale 28 5" xfId="1495" xr:uid="{00000000-0005-0000-0000-00001A0E0000}"/>
    <cellStyle name="Percentuale 29" xfId="1496" xr:uid="{00000000-0005-0000-0000-00001B0E0000}"/>
    <cellStyle name="Percentuale 29 2" xfId="1497" xr:uid="{00000000-0005-0000-0000-00001C0E0000}"/>
    <cellStyle name="Percentuale 29 2 2" xfId="3097" xr:uid="{00000000-0005-0000-0000-00001D0E0000}"/>
    <cellStyle name="Percentuale 29 3" xfId="1498" xr:uid="{00000000-0005-0000-0000-00001E0E0000}"/>
    <cellStyle name="Percentuale 29 3 2" xfId="1499" xr:uid="{00000000-0005-0000-0000-00001F0E0000}"/>
    <cellStyle name="Percentuale 29 3 2 2" xfId="4181" xr:uid="{00000000-0005-0000-0000-0000200E0000}"/>
    <cellStyle name="Percentuale 29 3 2 3" xfId="4182" xr:uid="{00000000-0005-0000-0000-0000210E0000}"/>
    <cellStyle name="Percentuale 29 3 3" xfId="1500" xr:uid="{00000000-0005-0000-0000-0000220E0000}"/>
    <cellStyle name="Percentuale 29 3 3 2" xfId="3098" xr:uid="{00000000-0005-0000-0000-0000230E0000}"/>
    <cellStyle name="Percentuale 29 3 4" xfId="3099" xr:uid="{00000000-0005-0000-0000-0000240E0000}"/>
    <cellStyle name="Percentuale 29 4" xfId="1501" xr:uid="{00000000-0005-0000-0000-0000250E0000}"/>
    <cellStyle name="Percentuale 29 4 2" xfId="3100" xr:uid="{00000000-0005-0000-0000-0000260E0000}"/>
    <cellStyle name="Percentuale 29 4 2 2" xfId="3101" xr:uid="{00000000-0005-0000-0000-0000270E0000}"/>
    <cellStyle name="Percentuale 29 4 3" xfId="3102" xr:uid="{00000000-0005-0000-0000-0000280E0000}"/>
    <cellStyle name="Percentuale 29 5" xfId="1502" xr:uid="{00000000-0005-0000-0000-0000290E0000}"/>
    <cellStyle name="Percentuale 3" xfId="1503" xr:uid="{00000000-0005-0000-0000-00002A0E0000}"/>
    <cellStyle name="Percentuale 3 2" xfId="1504" xr:uid="{00000000-0005-0000-0000-00002B0E0000}"/>
    <cellStyle name="Percentuale 3 2 2" xfId="3103" xr:uid="{00000000-0005-0000-0000-00002C0E0000}"/>
    <cellStyle name="Percentuale 3 3" xfId="1505" xr:uid="{00000000-0005-0000-0000-00002D0E0000}"/>
    <cellStyle name="Percentuale 3 3 2" xfId="1506" xr:uid="{00000000-0005-0000-0000-00002E0E0000}"/>
    <cellStyle name="Percentuale 3 3 2 2" xfId="4183" xr:uid="{00000000-0005-0000-0000-00002F0E0000}"/>
    <cellStyle name="Percentuale 3 3 2 3" xfId="4184" xr:uid="{00000000-0005-0000-0000-0000300E0000}"/>
    <cellStyle name="Percentuale 3 3 3" xfId="1507" xr:uid="{00000000-0005-0000-0000-0000310E0000}"/>
    <cellStyle name="Percentuale 3 3 3 2" xfId="3104" xr:uid="{00000000-0005-0000-0000-0000320E0000}"/>
    <cellStyle name="Percentuale 3 3 4" xfId="3105" xr:uid="{00000000-0005-0000-0000-0000330E0000}"/>
    <cellStyle name="Percentuale 3 4" xfId="1508" xr:uid="{00000000-0005-0000-0000-0000340E0000}"/>
    <cellStyle name="Percentuale 3 4 2" xfId="3106" xr:uid="{00000000-0005-0000-0000-0000350E0000}"/>
    <cellStyle name="Percentuale 3 4 2 2" xfId="3107" xr:uid="{00000000-0005-0000-0000-0000360E0000}"/>
    <cellStyle name="Percentuale 3 4 3" xfId="3108" xr:uid="{00000000-0005-0000-0000-0000370E0000}"/>
    <cellStyle name="Percentuale 3 5" xfId="1509" xr:uid="{00000000-0005-0000-0000-0000380E0000}"/>
    <cellStyle name="Percentuale 30" xfId="1510" xr:uid="{00000000-0005-0000-0000-0000390E0000}"/>
    <cellStyle name="Percentuale 30 2" xfId="1511" xr:uid="{00000000-0005-0000-0000-00003A0E0000}"/>
    <cellStyle name="Percentuale 30 2 2" xfId="3109" xr:uid="{00000000-0005-0000-0000-00003B0E0000}"/>
    <cellStyle name="Percentuale 30 3" xfId="1512" xr:uid="{00000000-0005-0000-0000-00003C0E0000}"/>
    <cellStyle name="Percentuale 30 3 2" xfId="1513" xr:uid="{00000000-0005-0000-0000-00003D0E0000}"/>
    <cellStyle name="Percentuale 30 3 2 2" xfId="4185" xr:uid="{00000000-0005-0000-0000-00003E0E0000}"/>
    <cellStyle name="Percentuale 30 3 2 3" xfId="4186" xr:uid="{00000000-0005-0000-0000-00003F0E0000}"/>
    <cellStyle name="Percentuale 30 3 3" xfId="1514" xr:uid="{00000000-0005-0000-0000-0000400E0000}"/>
    <cellStyle name="Percentuale 30 3 3 2" xfId="3110" xr:uid="{00000000-0005-0000-0000-0000410E0000}"/>
    <cellStyle name="Percentuale 30 3 4" xfId="3111" xr:uid="{00000000-0005-0000-0000-0000420E0000}"/>
    <cellStyle name="Percentuale 30 4" xfId="1515" xr:uid="{00000000-0005-0000-0000-0000430E0000}"/>
    <cellStyle name="Percentuale 30 4 2" xfId="3112" xr:uid="{00000000-0005-0000-0000-0000440E0000}"/>
    <cellStyle name="Percentuale 30 4 2 2" xfId="3113" xr:uid="{00000000-0005-0000-0000-0000450E0000}"/>
    <cellStyle name="Percentuale 30 4 3" xfId="3114" xr:uid="{00000000-0005-0000-0000-0000460E0000}"/>
    <cellStyle name="Percentuale 30 5" xfId="1516" xr:uid="{00000000-0005-0000-0000-0000470E0000}"/>
    <cellStyle name="Percentuale 31" xfId="1517" xr:uid="{00000000-0005-0000-0000-0000480E0000}"/>
    <cellStyle name="Percentuale 31 2" xfId="1518" xr:uid="{00000000-0005-0000-0000-0000490E0000}"/>
    <cellStyle name="Percentuale 31 2 2" xfId="3115" xr:uid="{00000000-0005-0000-0000-00004A0E0000}"/>
    <cellStyle name="Percentuale 31 3" xfId="1519" xr:uid="{00000000-0005-0000-0000-00004B0E0000}"/>
    <cellStyle name="Percentuale 31 3 2" xfId="1520" xr:uid="{00000000-0005-0000-0000-00004C0E0000}"/>
    <cellStyle name="Percentuale 31 3 2 2" xfId="4187" xr:uid="{00000000-0005-0000-0000-00004D0E0000}"/>
    <cellStyle name="Percentuale 31 3 2 3" xfId="4188" xr:uid="{00000000-0005-0000-0000-00004E0E0000}"/>
    <cellStyle name="Percentuale 31 3 3" xfId="1521" xr:uid="{00000000-0005-0000-0000-00004F0E0000}"/>
    <cellStyle name="Percentuale 31 3 3 2" xfId="3116" xr:uid="{00000000-0005-0000-0000-0000500E0000}"/>
    <cellStyle name="Percentuale 31 3 4" xfId="3117" xr:uid="{00000000-0005-0000-0000-0000510E0000}"/>
    <cellStyle name="Percentuale 31 4" xfId="1522" xr:uid="{00000000-0005-0000-0000-0000520E0000}"/>
    <cellStyle name="Percentuale 31 4 2" xfId="3118" xr:uid="{00000000-0005-0000-0000-0000530E0000}"/>
    <cellStyle name="Percentuale 31 4 2 2" xfId="3119" xr:uid="{00000000-0005-0000-0000-0000540E0000}"/>
    <cellStyle name="Percentuale 31 4 3" xfId="3120" xr:uid="{00000000-0005-0000-0000-0000550E0000}"/>
    <cellStyle name="Percentuale 31 5" xfId="1523" xr:uid="{00000000-0005-0000-0000-0000560E0000}"/>
    <cellStyle name="Percentuale 32" xfId="1524" xr:uid="{00000000-0005-0000-0000-0000570E0000}"/>
    <cellStyle name="Percentuale 32 2" xfId="1525" xr:uid="{00000000-0005-0000-0000-0000580E0000}"/>
    <cellStyle name="Percentuale 32 2 2" xfId="3121" xr:uid="{00000000-0005-0000-0000-0000590E0000}"/>
    <cellStyle name="Percentuale 32 3" xfId="1526" xr:uid="{00000000-0005-0000-0000-00005A0E0000}"/>
    <cellStyle name="Percentuale 32 3 2" xfId="1527" xr:uid="{00000000-0005-0000-0000-00005B0E0000}"/>
    <cellStyle name="Percentuale 32 3 2 2" xfId="4189" xr:uid="{00000000-0005-0000-0000-00005C0E0000}"/>
    <cellStyle name="Percentuale 32 3 2 3" xfId="4190" xr:uid="{00000000-0005-0000-0000-00005D0E0000}"/>
    <cellStyle name="Percentuale 32 3 3" xfId="1528" xr:uid="{00000000-0005-0000-0000-00005E0E0000}"/>
    <cellStyle name="Percentuale 32 3 3 2" xfId="3122" xr:uid="{00000000-0005-0000-0000-00005F0E0000}"/>
    <cellStyle name="Percentuale 32 3 4" xfId="3123" xr:uid="{00000000-0005-0000-0000-0000600E0000}"/>
    <cellStyle name="Percentuale 32 4" xfId="1529" xr:uid="{00000000-0005-0000-0000-0000610E0000}"/>
    <cellStyle name="Percentuale 32 4 2" xfId="3124" xr:uid="{00000000-0005-0000-0000-0000620E0000}"/>
    <cellStyle name="Percentuale 32 4 2 2" xfId="3125" xr:uid="{00000000-0005-0000-0000-0000630E0000}"/>
    <cellStyle name="Percentuale 32 4 3" xfId="3126" xr:uid="{00000000-0005-0000-0000-0000640E0000}"/>
    <cellStyle name="Percentuale 32 5" xfId="1530" xr:uid="{00000000-0005-0000-0000-0000650E0000}"/>
    <cellStyle name="Percentuale 33" xfId="1531" xr:uid="{00000000-0005-0000-0000-0000660E0000}"/>
    <cellStyle name="Percentuale 33 2" xfId="1532" xr:uid="{00000000-0005-0000-0000-0000670E0000}"/>
    <cellStyle name="Percentuale 33 2 2" xfId="3127" xr:uid="{00000000-0005-0000-0000-0000680E0000}"/>
    <cellStyle name="Percentuale 33 3" xfId="1533" xr:uid="{00000000-0005-0000-0000-0000690E0000}"/>
    <cellStyle name="Percentuale 33 3 2" xfId="1534" xr:uid="{00000000-0005-0000-0000-00006A0E0000}"/>
    <cellStyle name="Percentuale 33 3 2 2" xfId="4191" xr:uid="{00000000-0005-0000-0000-00006B0E0000}"/>
    <cellStyle name="Percentuale 33 3 2 3" xfId="4192" xr:uid="{00000000-0005-0000-0000-00006C0E0000}"/>
    <cellStyle name="Percentuale 33 3 3" xfId="1535" xr:uid="{00000000-0005-0000-0000-00006D0E0000}"/>
    <cellStyle name="Percentuale 33 3 3 2" xfId="3128" xr:uid="{00000000-0005-0000-0000-00006E0E0000}"/>
    <cellStyle name="Percentuale 33 3 4" xfId="3129" xr:uid="{00000000-0005-0000-0000-00006F0E0000}"/>
    <cellStyle name="Percentuale 33 4" xfId="1536" xr:uid="{00000000-0005-0000-0000-0000700E0000}"/>
    <cellStyle name="Percentuale 33 4 2" xfId="3130" xr:uid="{00000000-0005-0000-0000-0000710E0000}"/>
    <cellStyle name="Percentuale 33 4 2 2" xfId="3131" xr:uid="{00000000-0005-0000-0000-0000720E0000}"/>
    <cellStyle name="Percentuale 33 4 3" xfId="3132" xr:uid="{00000000-0005-0000-0000-0000730E0000}"/>
    <cellStyle name="Percentuale 33 5" xfId="1537" xr:uid="{00000000-0005-0000-0000-0000740E0000}"/>
    <cellStyle name="Percentuale 34" xfId="1538" xr:uid="{00000000-0005-0000-0000-0000750E0000}"/>
    <cellStyle name="Percentuale 34 2" xfId="1539" xr:uid="{00000000-0005-0000-0000-0000760E0000}"/>
    <cellStyle name="Percentuale 34 2 2" xfId="3133" xr:uid="{00000000-0005-0000-0000-0000770E0000}"/>
    <cellStyle name="Percentuale 34 3" xfId="1540" xr:uid="{00000000-0005-0000-0000-0000780E0000}"/>
    <cellStyle name="Percentuale 34 3 2" xfId="1541" xr:uid="{00000000-0005-0000-0000-0000790E0000}"/>
    <cellStyle name="Percentuale 34 3 2 2" xfId="4193" xr:uid="{00000000-0005-0000-0000-00007A0E0000}"/>
    <cellStyle name="Percentuale 34 3 2 3" xfId="4194" xr:uid="{00000000-0005-0000-0000-00007B0E0000}"/>
    <cellStyle name="Percentuale 34 3 3" xfId="1542" xr:uid="{00000000-0005-0000-0000-00007C0E0000}"/>
    <cellStyle name="Percentuale 34 3 3 2" xfId="3134" xr:uid="{00000000-0005-0000-0000-00007D0E0000}"/>
    <cellStyle name="Percentuale 34 3 4" xfId="3135" xr:uid="{00000000-0005-0000-0000-00007E0E0000}"/>
    <cellStyle name="Percentuale 34 4" xfId="1543" xr:uid="{00000000-0005-0000-0000-00007F0E0000}"/>
    <cellStyle name="Percentuale 34 4 2" xfId="3136" xr:uid="{00000000-0005-0000-0000-0000800E0000}"/>
    <cellStyle name="Percentuale 34 4 2 2" xfId="3137" xr:uid="{00000000-0005-0000-0000-0000810E0000}"/>
    <cellStyle name="Percentuale 34 4 3" xfId="3138" xr:uid="{00000000-0005-0000-0000-0000820E0000}"/>
    <cellStyle name="Percentuale 34 5" xfId="1544" xr:uid="{00000000-0005-0000-0000-0000830E0000}"/>
    <cellStyle name="Percentuale 35" xfId="1545" xr:uid="{00000000-0005-0000-0000-0000840E0000}"/>
    <cellStyle name="Percentuale 35 2" xfId="1546" xr:uid="{00000000-0005-0000-0000-0000850E0000}"/>
    <cellStyle name="Percentuale 35 2 2" xfId="3139" xr:uid="{00000000-0005-0000-0000-0000860E0000}"/>
    <cellStyle name="Percentuale 35 3" xfId="1547" xr:uid="{00000000-0005-0000-0000-0000870E0000}"/>
    <cellStyle name="Percentuale 35 3 2" xfId="1548" xr:uid="{00000000-0005-0000-0000-0000880E0000}"/>
    <cellStyle name="Percentuale 35 3 2 2" xfId="4195" xr:uid="{00000000-0005-0000-0000-0000890E0000}"/>
    <cellStyle name="Percentuale 35 3 2 3" xfId="4196" xr:uid="{00000000-0005-0000-0000-00008A0E0000}"/>
    <cellStyle name="Percentuale 35 3 3" xfId="1549" xr:uid="{00000000-0005-0000-0000-00008B0E0000}"/>
    <cellStyle name="Percentuale 35 3 3 2" xfId="3140" xr:uid="{00000000-0005-0000-0000-00008C0E0000}"/>
    <cellStyle name="Percentuale 35 3 4" xfId="3141" xr:uid="{00000000-0005-0000-0000-00008D0E0000}"/>
    <cellStyle name="Percentuale 35 4" xfId="1550" xr:uid="{00000000-0005-0000-0000-00008E0E0000}"/>
    <cellStyle name="Percentuale 35 4 2" xfId="3142" xr:uid="{00000000-0005-0000-0000-00008F0E0000}"/>
    <cellStyle name="Percentuale 35 4 2 2" xfId="3143" xr:uid="{00000000-0005-0000-0000-0000900E0000}"/>
    <cellStyle name="Percentuale 35 4 3" xfId="3144" xr:uid="{00000000-0005-0000-0000-0000910E0000}"/>
    <cellStyle name="Percentuale 35 5" xfId="1551" xr:uid="{00000000-0005-0000-0000-0000920E0000}"/>
    <cellStyle name="Percentuale 36" xfId="1552" xr:uid="{00000000-0005-0000-0000-0000930E0000}"/>
    <cellStyle name="Percentuale 36 2" xfId="1553" xr:uid="{00000000-0005-0000-0000-0000940E0000}"/>
    <cellStyle name="Percentuale 36 2 2" xfId="3145" xr:uid="{00000000-0005-0000-0000-0000950E0000}"/>
    <cellStyle name="Percentuale 36 3" xfId="1554" xr:uid="{00000000-0005-0000-0000-0000960E0000}"/>
    <cellStyle name="Percentuale 36 3 2" xfId="1555" xr:uid="{00000000-0005-0000-0000-0000970E0000}"/>
    <cellStyle name="Percentuale 36 3 2 2" xfId="4197" xr:uid="{00000000-0005-0000-0000-0000980E0000}"/>
    <cellStyle name="Percentuale 36 3 2 3" xfId="4198" xr:uid="{00000000-0005-0000-0000-0000990E0000}"/>
    <cellStyle name="Percentuale 36 3 3" xfId="1556" xr:uid="{00000000-0005-0000-0000-00009A0E0000}"/>
    <cellStyle name="Percentuale 36 3 3 2" xfId="3146" xr:uid="{00000000-0005-0000-0000-00009B0E0000}"/>
    <cellStyle name="Percentuale 36 3 4" xfId="3147" xr:uid="{00000000-0005-0000-0000-00009C0E0000}"/>
    <cellStyle name="Percentuale 36 4" xfId="1557" xr:uid="{00000000-0005-0000-0000-00009D0E0000}"/>
    <cellStyle name="Percentuale 36 4 2" xfId="3148" xr:uid="{00000000-0005-0000-0000-00009E0E0000}"/>
    <cellStyle name="Percentuale 36 4 2 2" xfId="3149" xr:uid="{00000000-0005-0000-0000-00009F0E0000}"/>
    <cellStyle name="Percentuale 36 4 3" xfId="3150" xr:uid="{00000000-0005-0000-0000-0000A00E0000}"/>
    <cellStyle name="Percentuale 36 5" xfId="1558" xr:uid="{00000000-0005-0000-0000-0000A10E0000}"/>
    <cellStyle name="Percentuale 37" xfId="1559" xr:uid="{00000000-0005-0000-0000-0000A20E0000}"/>
    <cellStyle name="Percentuale 37 2" xfId="1560" xr:uid="{00000000-0005-0000-0000-0000A30E0000}"/>
    <cellStyle name="Percentuale 37 2 2" xfId="3151" xr:uid="{00000000-0005-0000-0000-0000A40E0000}"/>
    <cellStyle name="Percentuale 37 3" xfId="1561" xr:uid="{00000000-0005-0000-0000-0000A50E0000}"/>
    <cellStyle name="Percentuale 37 3 2" xfId="1562" xr:uid="{00000000-0005-0000-0000-0000A60E0000}"/>
    <cellStyle name="Percentuale 37 3 2 2" xfId="4199" xr:uid="{00000000-0005-0000-0000-0000A70E0000}"/>
    <cellStyle name="Percentuale 37 3 2 3" xfId="4200" xr:uid="{00000000-0005-0000-0000-0000A80E0000}"/>
    <cellStyle name="Percentuale 37 3 3" xfId="1563" xr:uid="{00000000-0005-0000-0000-0000A90E0000}"/>
    <cellStyle name="Percentuale 37 3 3 2" xfId="3152" xr:uid="{00000000-0005-0000-0000-0000AA0E0000}"/>
    <cellStyle name="Percentuale 37 3 4" xfId="3153" xr:uid="{00000000-0005-0000-0000-0000AB0E0000}"/>
    <cellStyle name="Percentuale 37 4" xfId="1564" xr:uid="{00000000-0005-0000-0000-0000AC0E0000}"/>
    <cellStyle name="Percentuale 37 4 2" xfId="3154" xr:uid="{00000000-0005-0000-0000-0000AD0E0000}"/>
    <cellStyle name="Percentuale 37 4 2 2" xfId="3155" xr:uid="{00000000-0005-0000-0000-0000AE0E0000}"/>
    <cellStyle name="Percentuale 37 4 3" xfId="3156" xr:uid="{00000000-0005-0000-0000-0000AF0E0000}"/>
    <cellStyle name="Percentuale 37 5" xfId="1565" xr:uid="{00000000-0005-0000-0000-0000B00E0000}"/>
    <cellStyle name="Percentuale 38" xfId="1566" xr:uid="{00000000-0005-0000-0000-0000B10E0000}"/>
    <cellStyle name="Percentuale 38 2" xfId="1567" xr:uid="{00000000-0005-0000-0000-0000B20E0000}"/>
    <cellStyle name="Percentuale 38 2 2" xfId="3157" xr:uid="{00000000-0005-0000-0000-0000B30E0000}"/>
    <cellStyle name="Percentuale 38 3" xfId="1568" xr:uid="{00000000-0005-0000-0000-0000B40E0000}"/>
    <cellStyle name="Percentuale 38 3 2" xfId="1569" xr:uid="{00000000-0005-0000-0000-0000B50E0000}"/>
    <cellStyle name="Percentuale 38 3 2 2" xfId="4201" xr:uid="{00000000-0005-0000-0000-0000B60E0000}"/>
    <cellStyle name="Percentuale 38 3 2 3" xfId="4202" xr:uid="{00000000-0005-0000-0000-0000B70E0000}"/>
    <cellStyle name="Percentuale 38 3 3" xfId="1570" xr:uid="{00000000-0005-0000-0000-0000B80E0000}"/>
    <cellStyle name="Percentuale 38 3 3 2" xfId="3158" xr:uid="{00000000-0005-0000-0000-0000B90E0000}"/>
    <cellStyle name="Percentuale 38 3 4" xfId="3159" xr:uid="{00000000-0005-0000-0000-0000BA0E0000}"/>
    <cellStyle name="Percentuale 38 4" xfId="1571" xr:uid="{00000000-0005-0000-0000-0000BB0E0000}"/>
    <cellStyle name="Percentuale 38 4 2" xfId="3160" xr:uid="{00000000-0005-0000-0000-0000BC0E0000}"/>
    <cellStyle name="Percentuale 38 4 2 2" xfId="3161" xr:uid="{00000000-0005-0000-0000-0000BD0E0000}"/>
    <cellStyle name="Percentuale 38 4 3" xfId="3162" xr:uid="{00000000-0005-0000-0000-0000BE0E0000}"/>
    <cellStyle name="Percentuale 38 5" xfId="1572" xr:uid="{00000000-0005-0000-0000-0000BF0E0000}"/>
    <cellStyle name="Percentuale 39" xfId="1573" xr:uid="{00000000-0005-0000-0000-0000C00E0000}"/>
    <cellStyle name="Percentuale 39 2" xfId="1574" xr:uid="{00000000-0005-0000-0000-0000C10E0000}"/>
    <cellStyle name="Percentuale 39 2 2" xfId="3163" xr:uid="{00000000-0005-0000-0000-0000C20E0000}"/>
    <cellStyle name="Percentuale 39 3" xfId="1575" xr:uid="{00000000-0005-0000-0000-0000C30E0000}"/>
    <cellStyle name="Percentuale 39 3 2" xfId="1576" xr:uid="{00000000-0005-0000-0000-0000C40E0000}"/>
    <cellStyle name="Percentuale 39 3 2 2" xfId="4203" xr:uid="{00000000-0005-0000-0000-0000C50E0000}"/>
    <cellStyle name="Percentuale 39 3 2 3" xfId="4204" xr:uid="{00000000-0005-0000-0000-0000C60E0000}"/>
    <cellStyle name="Percentuale 39 3 3" xfId="1577" xr:uid="{00000000-0005-0000-0000-0000C70E0000}"/>
    <cellStyle name="Percentuale 39 3 3 2" xfId="3164" xr:uid="{00000000-0005-0000-0000-0000C80E0000}"/>
    <cellStyle name="Percentuale 39 3 4" xfId="3165" xr:uid="{00000000-0005-0000-0000-0000C90E0000}"/>
    <cellStyle name="Percentuale 39 4" xfId="1578" xr:uid="{00000000-0005-0000-0000-0000CA0E0000}"/>
    <cellStyle name="Percentuale 39 4 2" xfId="3166" xr:uid="{00000000-0005-0000-0000-0000CB0E0000}"/>
    <cellStyle name="Percentuale 39 4 2 2" xfId="3167" xr:uid="{00000000-0005-0000-0000-0000CC0E0000}"/>
    <cellStyle name="Percentuale 39 4 3" xfId="3168" xr:uid="{00000000-0005-0000-0000-0000CD0E0000}"/>
    <cellStyle name="Percentuale 39 5" xfId="1579" xr:uid="{00000000-0005-0000-0000-0000CE0E0000}"/>
    <cellStyle name="Percentuale 4" xfId="1580" xr:uid="{00000000-0005-0000-0000-0000CF0E0000}"/>
    <cellStyle name="Percentuale 4 2" xfId="1581" xr:uid="{00000000-0005-0000-0000-0000D00E0000}"/>
    <cellStyle name="Percentuale 4 2 2" xfId="3169" xr:uid="{00000000-0005-0000-0000-0000D10E0000}"/>
    <cellStyle name="Percentuale 4 3" xfId="1582" xr:uid="{00000000-0005-0000-0000-0000D20E0000}"/>
    <cellStyle name="Percentuale 4 3 2" xfId="1583" xr:uid="{00000000-0005-0000-0000-0000D30E0000}"/>
    <cellStyle name="Percentuale 4 3 2 2" xfId="4205" xr:uid="{00000000-0005-0000-0000-0000D40E0000}"/>
    <cellStyle name="Percentuale 4 3 2 3" xfId="4206" xr:uid="{00000000-0005-0000-0000-0000D50E0000}"/>
    <cellStyle name="Percentuale 4 3 3" xfId="1584" xr:uid="{00000000-0005-0000-0000-0000D60E0000}"/>
    <cellStyle name="Percentuale 4 3 3 2" xfId="3170" xr:uid="{00000000-0005-0000-0000-0000D70E0000}"/>
    <cellStyle name="Percentuale 4 3 4" xfId="3171" xr:uid="{00000000-0005-0000-0000-0000D80E0000}"/>
    <cellStyle name="Percentuale 4 4" xfId="1585" xr:uid="{00000000-0005-0000-0000-0000D90E0000}"/>
    <cellStyle name="Percentuale 4 4 2" xfId="3172" xr:uid="{00000000-0005-0000-0000-0000DA0E0000}"/>
    <cellStyle name="Percentuale 4 4 2 2" xfId="3173" xr:uid="{00000000-0005-0000-0000-0000DB0E0000}"/>
    <cellStyle name="Percentuale 4 4 3" xfId="3174" xr:uid="{00000000-0005-0000-0000-0000DC0E0000}"/>
    <cellStyle name="Percentuale 4 5" xfId="1586" xr:uid="{00000000-0005-0000-0000-0000DD0E0000}"/>
    <cellStyle name="Percentuale 40" xfId="1587" xr:uid="{00000000-0005-0000-0000-0000DE0E0000}"/>
    <cellStyle name="Percentuale 40 2" xfId="1588" xr:uid="{00000000-0005-0000-0000-0000DF0E0000}"/>
    <cellStyle name="Percentuale 40 2 2" xfId="3175" xr:uid="{00000000-0005-0000-0000-0000E00E0000}"/>
    <cellStyle name="Percentuale 40 3" xfId="1589" xr:uid="{00000000-0005-0000-0000-0000E10E0000}"/>
    <cellStyle name="Percentuale 40 3 2" xfId="1590" xr:uid="{00000000-0005-0000-0000-0000E20E0000}"/>
    <cellStyle name="Percentuale 40 3 2 2" xfId="4207" xr:uid="{00000000-0005-0000-0000-0000E30E0000}"/>
    <cellStyle name="Percentuale 40 3 2 3" xfId="4208" xr:uid="{00000000-0005-0000-0000-0000E40E0000}"/>
    <cellStyle name="Percentuale 40 3 3" xfId="1591" xr:uid="{00000000-0005-0000-0000-0000E50E0000}"/>
    <cellStyle name="Percentuale 40 3 3 2" xfId="3176" xr:uid="{00000000-0005-0000-0000-0000E60E0000}"/>
    <cellStyle name="Percentuale 40 3 4" xfId="3177" xr:uid="{00000000-0005-0000-0000-0000E70E0000}"/>
    <cellStyle name="Percentuale 40 4" xfId="1592" xr:uid="{00000000-0005-0000-0000-0000E80E0000}"/>
    <cellStyle name="Percentuale 40 4 2" xfId="3178" xr:uid="{00000000-0005-0000-0000-0000E90E0000}"/>
    <cellStyle name="Percentuale 40 4 2 2" xfId="3179" xr:uid="{00000000-0005-0000-0000-0000EA0E0000}"/>
    <cellStyle name="Percentuale 40 4 3" xfId="3180" xr:uid="{00000000-0005-0000-0000-0000EB0E0000}"/>
    <cellStyle name="Percentuale 40 5" xfId="1593" xr:uid="{00000000-0005-0000-0000-0000EC0E0000}"/>
    <cellStyle name="Percentuale 41" xfId="1594" xr:uid="{00000000-0005-0000-0000-0000ED0E0000}"/>
    <cellStyle name="Percentuale 41 2" xfId="1595" xr:uid="{00000000-0005-0000-0000-0000EE0E0000}"/>
    <cellStyle name="Percentuale 41 2 2" xfId="3181" xr:uid="{00000000-0005-0000-0000-0000EF0E0000}"/>
    <cellStyle name="Percentuale 41 3" xfId="1596" xr:uid="{00000000-0005-0000-0000-0000F00E0000}"/>
    <cellStyle name="Percentuale 41 3 2" xfId="1597" xr:uid="{00000000-0005-0000-0000-0000F10E0000}"/>
    <cellStyle name="Percentuale 41 3 2 2" xfId="4209" xr:uid="{00000000-0005-0000-0000-0000F20E0000}"/>
    <cellStyle name="Percentuale 41 3 2 3" xfId="4210" xr:uid="{00000000-0005-0000-0000-0000F30E0000}"/>
    <cellStyle name="Percentuale 41 3 3" xfId="1598" xr:uid="{00000000-0005-0000-0000-0000F40E0000}"/>
    <cellStyle name="Percentuale 41 3 3 2" xfId="3182" xr:uid="{00000000-0005-0000-0000-0000F50E0000}"/>
    <cellStyle name="Percentuale 41 3 4" xfId="3183" xr:uid="{00000000-0005-0000-0000-0000F60E0000}"/>
    <cellStyle name="Percentuale 41 4" xfId="1599" xr:uid="{00000000-0005-0000-0000-0000F70E0000}"/>
    <cellStyle name="Percentuale 41 4 2" xfId="3184" xr:uid="{00000000-0005-0000-0000-0000F80E0000}"/>
    <cellStyle name="Percentuale 41 4 2 2" xfId="3185" xr:uid="{00000000-0005-0000-0000-0000F90E0000}"/>
    <cellStyle name="Percentuale 41 4 3" xfId="3186" xr:uid="{00000000-0005-0000-0000-0000FA0E0000}"/>
    <cellStyle name="Percentuale 41 5" xfId="1600" xr:uid="{00000000-0005-0000-0000-0000FB0E0000}"/>
    <cellStyle name="Percentuale 42" xfId="1601" xr:uid="{00000000-0005-0000-0000-0000FC0E0000}"/>
    <cellStyle name="Percentuale 42 2" xfId="1602" xr:uid="{00000000-0005-0000-0000-0000FD0E0000}"/>
    <cellStyle name="Percentuale 42 2 2" xfId="3187" xr:uid="{00000000-0005-0000-0000-0000FE0E0000}"/>
    <cellStyle name="Percentuale 42 3" xfId="1603" xr:uid="{00000000-0005-0000-0000-0000FF0E0000}"/>
    <cellStyle name="Percentuale 42 3 2" xfId="1604" xr:uid="{00000000-0005-0000-0000-0000000F0000}"/>
    <cellStyle name="Percentuale 42 3 2 2" xfId="4211" xr:uid="{00000000-0005-0000-0000-0000010F0000}"/>
    <cellStyle name="Percentuale 42 3 2 3" xfId="4212" xr:uid="{00000000-0005-0000-0000-0000020F0000}"/>
    <cellStyle name="Percentuale 42 3 3" xfId="1605" xr:uid="{00000000-0005-0000-0000-0000030F0000}"/>
    <cellStyle name="Percentuale 42 3 3 2" xfId="3188" xr:uid="{00000000-0005-0000-0000-0000040F0000}"/>
    <cellStyle name="Percentuale 42 3 4" xfId="3189" xr:uid="{00000000-0005-0000-0000-0000050F0000}"/>
    <cellStyle name="Percentuale 42 4" xfId="1606" xr:uid="{00000000-0005-0000-0000-0000060F0000}"/>
    <cellStyle name="Percentuale 42 4 2" xfId="3190" xr:uid="{00000000-0005-0000-0000-0000070F0000}"/>
    <cellStyle name="Percentuale 42 4 2 2" xfId="3191" xr:uid="{00000000-0005-0000-0000-0000080F0000}"/>
    <cellStyle name="Percentuale 42 4 3" xfId="3192" xr:uid="{00000000-0005-0000-0000-0000090F0000}"/>
    <cellStyle name="Percentuale 42 5" xfId="1607" xr:uid="{00000000-0005-0000-0000-00000A0F0000}"/>
    <cellStyle name="Percentuale 43" xfId="1608" xr:uid="{00000000-0005-0000-0000-00000B0F0000}"/>
    <cellStyle name="Percentuale 43 2" xfId="1609" xr:uid="{00000000-0005-0000-0000-00000C0F0000}"/>
    <cellStyle name="Percentuale 43 2 2" xfId="3193" xr:uid="{00000000-0005-0000-0000-00000D0F0000}"/>
    <cellStyle name="Percentuale 43 3" xfId="1610" xr:uid="{00000000-0005-0000-0000-00000E0F0000}"/>
    <cellStyle name="Percentuale 43 3 2" xfId="1611" xr:uid="{00000000-0005-0000-0000-00000F0F0000}"/>
    <cellStyle name="Percentuale 43 3 2 2" xfId="4213" xr:uid="{00000000-0005-0000-0000-0000100F0000}"/>
    <cellStyle name="Percentuale 43 3 2 3" xfId="4214" xr:uid="{00000000-0005-0000-0000-0000110F0000}"/>
    <cellStyle name="Percentuale 43 3 3" xfId="1612" xr:uid="{00000000-0005-0000-0000-0000120F0000}"/>
    <cellStyle name="Percentuale 43 3 3 2" xfId="3194" xr:uid="{00000000-0005-0000-0000-0000130F0000}"/>
    <cellStyle name="Percentuale 43 3 4" xfId="3195" xr:uid="{00000000-0005-0000-0000-0000140F0000}"/>
    <cellStyle name="Percentuale 43 4" xfId="1613" xr:uid="{00000000-0005-0000-0000-0000150F0000}"/>
    <cellStyle name="Percentuale 43 4 2" xfId="3196" xr:uid="{00000000-0005-0000-0000-0000160F0000}"/>
    <cellStyle name="Percentuale 43 4 2 2" xfId="3197" xr:uid="{00000000-0005-0000-0000-0000170F0000}"/>
    <cellStyle name="Percentuale 43 4 3" xfId="3198" xr:uid="{00000000-0005-0000-0000-0000180F0000}"/>
    <cellStyle name="Percentuale 43 5" xfId="1614" xr:uid="{00000000-0005-0000-0000-0000190F0000}"/>
    <cellStyle name="Percentuale 44" xfId="1615" xr:uid="{00000000-0005-0000-0000-00001A0F0000}"/>
    <cellStyle name="Percentuale 44 2" xfId="1616" xr:uid="{00000000-0005-0000-0000-00001B0F0000}"/>
    <cellStyle name="Percentuale 44 2 2" xfId="3199" xr:uid="{00000000-0005-0000-0000-00001C0F0000}"/>
    <cellStyle name="Percentuale 44 3" xfId="1617" xr:uid="{00000000-0005-0000-0000-00001D0F0000}"/>
    <cellStyle name="Percentuale 44 3 2" xfId="1618" xr:uid="{00000000-0005-0000-0000-00001E0F0000}"/>
    <cellStyle name="Percentuale 44 3 2 2" xfId="4215" xr:uid="{00000000-0005-0000-0000-00001F0F0000}"/>
    <cellStyle name="Percentuale 44 3 2 3" xfId="4216" xr:uid="{00000000-0005-0000-0000-0000200F0000}"/>
    <cellStyle name="Percentuale 44 3 3" xfId="1619" xr:uid="{00000000-0005-0000-0000-0000210F0000}"/>
    <cellStyle name="Percentuale 44 3 3 2" xfId="3200" xr:uid="{00000000-0005-0000-0000-0000220F0000}"/>
    <cellStyle name="Percentuale 44 3 4" xfId="3201" xr:uid="{00000000-0005-0000-0000-0000230F0000}"/>
    <cellStyle name="Percentuale 44 4" xfId="1620" xr:uid="{00000000-0005-0000-0000-0000240F0000}"/>
    <cellStyle name="Percentuale 44 4 2" xfId="3202" xr:uid="{00000000-0005-0000-0000-0000250F0000}"/>
    <cellStyle name="Percentuale 44 4 2 2" xfId="3203" xr:uid="{00000000-0005-0000-0000-0000260F0000}"/>
    <cellStyle name="Percentuale 44 4 3" xfId="3204" xr:uid="{00000000-0005-0000-0000-0000270F0000}"/>
    <cellStyle name="Percentuale 44 5" xfId="1621" xr:uid="{00000000-0005-0000-0000-0000280F0000}"/>
    <cellStyle name="Percentuale 45" xfId="1622" xr:uid="{00000000-0005-0000-0000-0000290F0000}"/>
    <cellStyle name="Percentuale 45 2" xfId="1623" xr:uid="{00000000-0005-0000-0000-00002A0F0000}"/>
    <cellStyle name="Percentuale 45 2 2" xfId="3205" xr:uid="{00000000-0005-0000-0000-00002B0F0000}"/>
    <cellStyle name="Percentuale 45 3" xfId="1624" xr:uid="{00000000-0005-0000-0000-00002C0F0000}"/>
    <cellStyle name="Percentuale 45 3 2" xfId="1625" xr:uid="{00000000-0005-0000-0000-00002D0F0000}"/>
    <cellStyle name="Percentuale 45 3 2 2" xfId="4217" xr:uid="{00000000-0005-0000-0000-00002E0F0000}"/>
    <cellStyle name="Percentuale 45 3 2 3" xfId="4218" xr:uid="{00000000-0005-0000-0000-00002F0F0000}"/>
    <cellStyle name="Percentuale 45 3 3" xfId="1626" xr:uid="{00000000-0005-0000-0000-0000300F0000}"/>
    <cellStyle name="Percentuale 45 3 3 2" xfId="3206" xr:uid="{00000000-0005-0000-0000-0000310F0000}"/>
    <cellStyle name="Percentuale 45 3 4" xfId="3207" xr:uid="{00000000-0005-0000-0000-0000320F0000}"/>
    <cellStyle name="Percentuale 45 4" xfId="1627" xr:uid="{00000000-0005-0000-0000-0000330F0000}"/>
    <cellStyle name="Percentuale 45 4 2" xfId="3208" xr:uid="{00000000-0005-0000-0000-0000340F0000}"/>
    <cellStyle name="Percentuale 45 4 2 2" xfId="3209" xr:uid="{00000000-0005-0000-0000-0000350F0000}"/>
    <cellStyle name="Percentuale 45 4 3" xfId="3210" xr:uid="{00000000-0005-0000-0000-0000360F0000}"/>
    <cellStyle name="Percentuale 45 5" xfId="1628" xr:uid="{00000000-0005-0000-0000-0000370F0000}"/>
    <cellStyle name="Percentuale 46" xfId="1629" xr:uid="{00000000-0005-0000-0000-0000380F0000}"/>
    <cellStyle name="Percentuale 46 2" xfId="1630" xr:uid="{00000000-0005-0000-0000-0000390F0000}"/>
    <cellStyle name="Percentuale 46 2 2" xfId="3211" xr:uid="{00000000-0005-0000-0000-00003A0F0000}"/>
    <cellStyle name="Percentuale 46 3" xfId="1631" xr:uid="{00000000-0005-0000-0000-00003B0F0000}"/>
    <cellStyle name="Percentuale 46 3 2" xfId="1632" xr:uid="{00000000-0005-0000-0000-00003C0F0000}"/>
    <cellStyle name="Percentuale 46 3 2 2" xfId="4219" xr:uid="{00000000-0005-0000-0000-00003D0F0000}"/>
    <cellStyle name="Percentuale 46 3 2 3" xfId="4220" xr:uid="{00000000-0005-0000-0000-00003E0F0000}"/>
    <cellStyle name="Percentuale 46 3 3" xfId="1633" xr:uid="{00000000-0005-0000-0000-00003F0F0000}"/>
    <cellStyle name="Percentuale 46 3 3 2" xfId="3212" xr:uid="{00000000-0005-0000-0000-0000400F0000}"/>
    <cellStyle name="Percentuale 46 3 4" xfId="3213" xr:uid="{00000000-0005-0000-0000-0000410F0000}"/>
    <cellStyle name="Percentuale 46 4" xfId="1634" xr:uid="{00000000-0005-0000-0000-0000420F0000}"/>
    <cellStyle name="Percentuale 46 4 2" xfId="3214" xr:uid="{00000000-0005-0000-0000-0000430F0000}"/>
    <cellStyle name="Percentuale 46 4 2 2" xfId="3215" xr:uid="{00000000-0005-0000-0000-0000440F0000}"/>
    <cellStyle name="Percentuale 46 4 3" xfId="3216" xr:uid="{00000000-0005-0000-0000-0000450F0000}"/>
    <cellStyle name="Percentuale 46 5" xfId="1635" xr:uid="{00000000-0005-0000-0000-0000460F0000}"/>
    <cellStyle name="Percentuale 47" xfId="1636" xr:uid="{00000000-0005-0000-0000-0000470F0000}"/>
    <cellStyle name="Percentuale 47 2" xfId="1637" xr:uid="{00000000-0005-0000-0000-0000480F0000}"/>
    <cellStyle name="Percentuale 47 2 2" xfId="3217" xr:uid="{00000000-0005-0000-0000-0000490F0000}"/>
    <cellStyle name="Percentuale 47 3" xfId="1638" xr:uid="{00000000-0005-0000-0000-00004A0F0000}"/>
    <cellStyle name="Percentuale 47 3 2" xfId="1639" xr:uid="{00000000-0005-0000-0000-00004B0F0000}"/>
    <cellStyle name="Percentuale 47 3 2 2" xfId="4221" xr:uid="{00000000-0005-0000-0000-00004C0F0000}"/>
    <cellStyle name="Percentuale 47 3 2 3" xfId="4222" xr:uid="{00000000-0005-0000-0000-00004D0F0000}"/>
    <cellStyle name="Percentuale 47 3 3" xfId="1640" xr:uid="{00000000-0005-0000-0000-00004E0F0000}"/>
    <cellStyle name="Percentuale 47 3 3 2" xfId="3218" xr:uid="{00000000-0005-0000-0000-00004F0F0000}"/>
    <cellStyle name="Percentuale 47 3 4" xfId="3219" xr:uid="{00000000-0005-0000-0000-0000500F0000}"/>
    <cellStyle name="Percentuale 47 4" xfId="1641" xr:uid="{00000000-0005-0000-0000-0000510F0000}"/>
    <cellStyle name="Percentuale 47 4 2" xfId="3220" xr:uid="{00000000-0005-0000-0000-0000520F0000}"/>
    <cellStyle name="Percentuale 47 4 2 2" xfId="3221" xr:uid="{00000000-0005-0000-0000-0000530F0000}"/>
    <cellStyle name="Percentuale 47 4 3" xfId="3222" xr:uid="{00000000-0005-0000-0000-0000540F0000}"/>
    <cellStyle name="Percentuale 47 5" xfId="1642" xr:uid="{00000000-0005-0000-0000-0000550F0000}"/>
    <cellStyle name="Percentuale 48" xfId="1643" xr:uid="{00000000-0005-0000-0000-0000560F0000}"/>
    <cellStyle name="Percentuale 48 2" xfId="1644" xr:uid="{00000000-0005-0000-0000-0000570F0000}"/>
    <cellStyle name="Percentuale 48 2 2" xfId="3223" xr:uid="{00000000-0005-0000-0000-0000580F0000}"/>
    <cellStyle name="Percentuale 48 3" xfId="1645" xr:uid="{00000000-0005-0000-0000-0000590F0000}"/>
    <cellStyle name="Percentuale 48 3 2" xfId="1646" xr:uid="{00000000-0005-0000-0000-00005A0F0000}"/>
    <cellStyle name="Percentuale 48 3 2 2" xfId="4223" xr:uid="{00000000-0005-0000-0000-00005B0F0000}"/>
    <cellStyle name="Percentuale 48 3 2 3" xfId="4224" xr:uid="{00000000-0005-0000-0000-00005C0F0000}"/>
    <cellStyle name="Percentuale 48 3 3" xfId="1647" xr:uid="{00000000-0005-0000-0000-00005D0F0000}"/>
    <cellStyle name="Percentuale 48 3 3 2" xfId="3224" xr:uid="{00000000-0005-0000-0000-00005E0F0000}"/>
    <cellStyle name="Percentuale 48 3 4" xfId="3225" xr:uid="{00000000-0005-0000-0000-00005F0F0000}"/>
    <cellStyle name="Percentuale 48 4" xfId="1648" xr:uid="{00000000-0005-0000-0000-0000600F0000}"/>
    <cellStyle name="Percentuale 48 4 2" xfId="3226" xr:uid="{00000000-0005-0000-0000-0000610F0000}"/>
    <cellStyle name="Percentuale 48 4 2 2" xfId="3227" xr:uid="{00000000-0005-0000-0000-0000620F0000}"/>
    <cellStyle name="Percentuale 48 4 3" xfId="3228" xr:uid="{00000000-0005-0000-0000-0000630F0000}"/>
    <cellStyle name="Percentuale 48 5" xfId="1649" xr:uid="{00000000-0005-0000-0000-0000640F0000}"/>
    <cellStyle name="Percentuale 49" xfId="1650" xr:uid="{00000000-0005-0000-0000-0000650F0000}"/>
    <cellStyle name="Percentuale 49 2" xfId="1651" xr:uid="{00000000-0005-0000-0000-0000660F0000}"/>
    <cellStyle name="Percentuale 49 2 2" xfId="3229" xr:uid="{00000000-0005-0000-0000-0000670F0000}"/>
    <cellStyle name="Percentuale 49 3" xfId="1652" xr:uid="{00000000-0005-0000-0000-0000680F0000}"/>
    <cellStyle name="Percentuale 49 3 2" xfId="1653" xr:uid="{00000000-0005-0000-0000-0000690F0000}"/>
    <cellStyle name="Percentuale 49 3 2 2" xfId="4225" xr:uid="{00000000-0005-0000-0000-00006A0F0000}"/>
    <cellStyle name="Percentuale 49 3 2 3" xfId="4226" xr:uid="{00000000-0005-0000-0000-00006B0F0000}"/>
    <cellStyle name="Percentuale 49 3 3" xfId="1654" xr:uid="{00000000-0005-0000-0000-00006C0F0000}"/>
    <cellStyle name="Percentuale 49 3 3 2" xfId="3230" xr:uid="{00000000-0005-0000-0000-00006D0F0000}"/>
    <cellStyle name="Percentuale 49 3 4" xfId="3231" xr:uid="{00000000-0005-0000-0000-00006E0F0000}"/>
    <cellStyle name="Percentuale 49 4" xfId="1655" xr:uid="{00000000-0005-0000-0000-00006F0F0000}"/>
    <cellStyle name="Percentuale 49 4 2" xfId="3232" xr:uid="{00000000-0005-0000-0000-0000700F0000}"/>
    <cellStyle name="Percentuale 49 4 2 2" xfId="3233" xr:uid="{00000000-0005-0000-0000-0000710F0000}"/>
    <cellStyle name="Percentuale 49 4 3" xfId="3234" xr:uid="{00000000-0005-0000-0000-0000720F0000}"/>
    <cellStyle name="Percentuale 49 5" xfId="1656" xr:uid="{00000000-0005-0000-0000-0000730F0000}"/>
    <cellStyle name="Percentuale 5" xfId="1657" xr:uid="{00000000-0005-0000-0000-0000740F0000}"/>
    <cellStyle name="Percentuale 5 2" xfId="1658" xr:uid="{00000000-0005-0000-0000-0000750F0000}"/>
    <cellStyle name="Percentuale 5 2 2" xfId="3235" xr:uid="{00000000-0005-0000-0000-0000760F0000}"/>
    <cellStyle name="Percentuale 5 3" xfId="1659" xr:uid="{00000000-0005-0000-0000-0000770F0000}"/>
    <cellStyle name="Percentuale 5 3 2" xfId="1660" xr:uid="{00000000-0005-0000-0000-0000780F0000}"/>
    <cellStyle name="Percentuale 5 3 2 2" xfId="4227" xr:uid="{00000000-0005-0000-0000-0000790F0000}"/>
    <cellStyle name="Percentuale 5 3 2 3" xfId="4228" xr:uid="{00000000-0005-0000-0000-00007A0F0000}"/>
    <cellStyle name="Percentuale 5 3 3" xfId="1661" xr:uid="{00000000-0005-0000-0000-00007B0F0000}"/>
    <cellStyle name="Percentuale 5 3 3 2" xfId="3236" xr:uid="{00000000-0005-0000-0000-00007C0F0000}"/>
    <cellStyle name="Percentuale 5 3 4" xfId="3237" xr:uid="{00000000-0005-0000-0000-00007D0F0000}"/>
    <cellStyle name="Percentuale 5 4" xfId="1662" xr:uid="{00000000-0005-0000-0000-00007E0F0000}"/>
    <cellStyle name="Percentuale 5 4 2" xfId="3238" xr:uid="{00000000-0005-0000-0000-00007F0F0000}"/>
    <cellStyle name="Percentuale 5 4 2 2" xfId="3239" xr:uid="{00000000-0005-0000-0000-0000800F0000}"/>
    <cellStyle name="Percentuale 5 4 3" xfId="3240" xr:uid="{00000000-0005-0000-0000-0000810F0000}"/>
    <cellStyle name="Percentuale 5 5" xfId="1663" xr:uid="{00000000-0005-0000-0000-0000820F0000}"/>
    <cellStyle name="Percentuale 50" xfId="1664" xr:uid="{00000000-0005-0000-0000-0000830F0000}"/>
    <cellStyle name="Percentuale 50 2" xfId="1665" xr:uid="{00000000-0005-0000-0000-0000840F0000}"/>
    <cellStyle name="Percentuale 50 2 2" xfId="3241" xr:uid="{00000000-0005-0000-0000-0000850F0000}"/>
    <cellStyle name="Percentuale 50 3" xfId="1666" xr:uid="{00000000-0005-0000-0000-0000860F0000}"/>
    <cellStyle name="Percentuale 50 3 2" xfId="1667" xr:uid="{00000000-0005-0000-0000-0000870F0000}"/>
    <cellStyle name="Percentuale 50 3 2 2" xfId="4229" xr:uid="{00000000-0005-0000-0000-0000880F0000}"/>
    <cellStyle name="Percentuale 50 3 2 3" xfId="4230" xr:uid="{00000000-0005-0000-0000-0000890F0000}"/>
    <cellStyle name="Percentuale 50 3 3" xfId="1668" xr:uid="{00000000-0005-0000-0000-00008A0F0000}"/>
    <cellStyle name="Percentuale 50 3 3 2" xfId="3242" xr:uid="{00000000-0005-0000-0000-00008B0F0000}"/>
    <cellStyle name="Percentuale 50 3 4" xfId="3243" xr:uid="{00000000-0005-0000-0000-00008C0F0000}"/>
    <cellStyle name="Percentuale 50 4" xfId="1669" xr:uid="{00000000-0005-0000-0000-00008D0F0000}"/>
    <cellStyle name="Percentuale 50 4 2" xfId="3244" xr:uid="{00000000-0005-0000-0000-00008E0F0000}"/>
    <cellStyle name="Percentuale 50 4 2 2" xfId="3245" xr:uid="{00000000-0005-0000-0000-00008F0F0000}"/>
    <cellStyle name="Percentuale 50 4 3" xfId="3246" xr:uid="{00000000-0005-0000-0000-0000900F0000}"/>
    <cellStyle name="Percentuale 50 5" xfId="1670" xr:uid="{00000000-0005-0000-0000-0000910F0000}"/>
    <cellStyle name="Percentuale 51" xfId="1671" xr:uid="{00000000-0005-0000-0000-0000920F0000}"/>
    <cellStyle name="Percentuale 51 2" xfId="1672" xr:uid="{00000000-0005-0000-0000-0000930F0000}"/>
    <cellStyle name="Percentuale 51 2 2" xfId="3247" xr:uid="{00000000-0005-0000-0000-0000940F0000}"/>
    <cellStyle name="Percentuale 51 3" xfId="1673" xr:uid="{00000000-0005-0000-0000-0000950F0000}"/>
    <cellStyle name="Percentuale 51 3 2" xfId="1674" xr:uid="{00000000-0005-0000-0000-0000960F0000}"/>
    <cellStyle name="Percentuale 51 3 2 2" xfId="4231" xr:uid="{00000000-0005-0000-0000-0000970F0000}"/>
    <cellStyle name="Percentuale 51 3 2 3" xfId="4232" xr:uid="{00000000-0005-0000-0000-0000980F0000}"/>
    <cellStyle name="Percentuale 51 3 3" xfId="1675" xr:uid="{00000000-0005-0000-0000-0000990F0000}"/>
    <cellStyle name="Percentuale 51 3 3 2" xfId="3248" xr:uid="{00000000-0005-0000-0000-00009A0F0000}"/>
    <cellStyle name="Percentuale 51 3 4" xfId="3249" xr:uid="{00000000-0005-0000-0000-00009B0F0000}"/>
    <cellStyle name="Percentuale 51 4" xfId="1676" xr:uid="{00000000-0005-0000-0000-00009C0F0000}"/>
    <cellStyle name="Percentuale 51 4 2" xfId="3250" xr:uid="{00000000-0005-0000-0000-00009D0F0000}"/>
    <cellStyle name="Percentuale 51 4 2 2" xfId="3251" xr:uid="{00000000-0005-0000-0000-00009E0F0000}"/>
    <cellStyle name="Percentuale 51 4 3" xfId="3252" xr:uid="{00000000-0005-0000-0000-00009F0F0000}"/>
    <cellStyle name="Percentuale 51 5" xfId="1677" xr:uid="{00000000-0005-0000-0000-0000A00F0000}"/>
    <cellStyle name="Percentuale 52" xfId="1678" xr:uid="{00000000-0005-0000-0000-0000A10F0000}"/>
    <cellStyle name="Percentuale 52 2" xfId="1679" xr:uid="{00000000-0005-0000-0000-0000A20F0000}"/>
    <cellStyle name="Percentuale 52 2 2" xfId="3253" xr:uid="{00000000-0005-0000-0000-0000A30F0000}"/>
    <cellStyle name="Percentuale 52 3" xfId="1680" xr:uid="{00000000-0005-0000-0000-0000A40F0000}"/>
    <cellStyle name="Percentuale 52 3 2" xfId="1681" xr:uid="{00000000-0005-0000-0000-0000A50F0000}"/>
    <cellStyle name="Percentuale 52 3 2 2" xfId="4233" xr:uid="{00000000-0005-0000-0000-0000A60F0000}"/>
    <cellStyle name="Percentuale 52 3 2 3" xfId="4234" xr:uid="{00000000-0005-0000-0000-0000A70F0000}"/>
    <cellStyle name="Percentuale 52 3 3" xfId="1682" xr:uid="{00000000-0005-0000-0000-0000A80F0000}"/>
    <cellStyle name="Percentuale 52 3 3 2" xfId="3254" xr:uid="{00000000-0005-0000-0000-0000A90F0000}"/>
    <cellStyle name="Percentuale 52 3 4" xfId="3255" xr:uid="{00000000-0005-0000-0000-0000AA0F0000}"/>
    <cellStyle name="Percentuale 52 4" xfId="1683" xr:uid="{00000000-0005-0000-0000-0000AB0F0000}"/>
    <cellStyle name="Percentuale 52 4 2" xfId="3256" xr:uid="{00000000-0005-0000-0000-0000AC0F0000}"/>
    <cellStyle name="Percentuale 52 4 2 2" xfId="3257" xr:uid="{00000000-0005-0000-0000-0000AD0F0000}"/>
    <cellStyle name="Percentuale 52 4 3" xfId="3258" xr:uid="{00000000-0005-0000-0000-0000AE0F0000}"/>
    <cellStyle name="Percentuale 52 5" xfId="1684" xr:uid="{00000000-0005-0000-0000-0000AF0F0000}"/>
    <cellStyle name="Percentuale 53" xfId="1685" xr:uid="{00000000-0005-0000-0000-0000B00F0000}"/>
    <cellStyle name="Percentuale 53 2" xfId="1686" xr:uid="{00000000-0005-0000-0000-0000B10F0000}"/>
    <cellStyle name="Percentuale 53 2 2" xfId="3259" xr:uid="{00000000-0005-0000-0000-0000B20F0000}"/>
    <cellStyle name="Percentuale 53 3" xfId="1687" xr:uid="{00000000-0005-0000-0000-0000B30F0000}"/>
    <cellStyle name="Percentuale 53 3 2" xfId="1688" xr:uid="{00000000-0005-0000-0000-0000B40F0000}"/>
    <cellStyle name="Percentuale 53 3 2 2" xfId="4235" xr:uid="{00000000-0005-0000-0000-0000B50F0000}"/>
    <cellStyle name="Percentuale 53 3 2 3" xfId="4236" xr:uid="{00000000-0005-0000-0000-0000B60F0000}"/>
    <cellStyle name="Percentuale 53 3 3" xfId="1689" xr:uid="{00000000-0005-0000-0000-0000B70F0000}"/>
    <cellStyle name="Percentuale 53 3 3 2" xfId="3260" xr:uid="{00000000-0005-0000-0000-0000B80F0000}"/>
    <cellStyle name="Percentuale 53 3 4" xfId="3261" xr:uid="{00000000-0005-0000-0000-0000B90F0000}"/>
    <cellStyle name="Percentuale 53 4" xfId="1690" xr:uid="{00000000-0005-0000-0000-0000BA0F0000}"/>
    <cellStyle name="Percentuale 53 4 2" xfId="3262" xr:uid="{00000000-0005-0000-0000-0000BB0F0000}"/>
    <cellStyle name="Percentuale 53 4 2 2" xfId="3263" xr:uid="{00000000-0005-0000-0000-0000BC0F0000}"/>
    <cellStyle name="Percentuale 53 4 3" xfId="3264" xr:uid="{00000000-0005-0000-0000-0000BD0F0000}"/>
    <cellStyle name="Percentuale 53 5" xfId="1691" xr:uid="{00000000-0005-0000-0000-0000BE0F0000}"/>
    <cellStyle name="Percentuale 54" xfId="1692" xr:uid="{00000000-0005-0000-0000-0000BF0F0000}"/>
    <cellStyle name="Percentuale 54 2" xfId="1693" xr:uid="{00000000-0005-0000-0000-0000C00F0000}"/>
    <cellStyle name="Percentuale 54 2 2" xfId="3265" xr:uid="{00000000-0005-0000-0000-0000C10F0000}"/>
    <cellStyle name="Percentuale 54 3" xfId="1694" xr:uid="{00000000-0005-0000-0000-0000C20F0000}"/>
    <cellStyle name="Percentuale 54 3 2" xfId="1695" xr:uid="{00000000-0005-0000-0000-0000C30F0000}"/>
    <cellStyle name="Percentuale 54 3 2 2" xfId="4237" xr:uid="{00000000-0005-0000-0000-0000C40F0000}"/>
    <cellStyle name="Percentuale 54 3 2 3" xfId="4238" xr:uid="{00000000-0005-0000-0000-0000C50F0000}"/>
    <cellStyle name="Percentuale 54 3 3" xfId="1696" xr:uid="{00000000-0005-0000-0000-0000C60F0000}"/>
    <cellStyle name="Percentuale 54 3 3 2" xfId="3266" xr:uid="{00000000-0005-0000-0000-0000C70F0000}"/>
    <cellStyle name="Percentuale 54 3 4" xfId="3267" xr:uid="{00000000-0005-0000-0000-0000C80F0000}"/>
    <cellStyle name="Percentuale 54 4" xfId="1697" xr:uid="{00000000-0005-0000-0000-0000C90F0000}"/>
    <cellStyle name="Percentuale 54 4 2" xfId="3268" xr:uid="{00000000-0005-0000-0000-0000CA0F0000}"/>
    <cellStyle name="Percentuale 54 4 2 2" xfId="3269" xr:uid="{00000000-0005-0000-0000-0000CB0F0000}"/>
    <cellStyle name="Percentuale 54 4 3" xfId="3270" xr:uid="{00000000-0005-0000-0000-0000CC0F0000}"/>
    <cellStyle name="Percentuale 54 5" xfId="1698" xr:uid="{00000000-0005-0000-0000-0000CD0F0000}"/>
    <cellStyle name="Percentuale 55" xfId="1699" xr:uid="{00000000-0005-0000-0000-0000CE0F0000}"/>
    <cellStyle name="Percentuale 55 2" xfId="1700" xr:uid="{00000000-0005-0000-0000-0000CF0F0000}"/>
    <cellStyle name="Percentuale 55 2 2" xfId="3271" xr:uid="{00000000-0005-0000-0000-0000D00F0000}"/>
    <cellStyle name="Percentuale 55 3" xfId="1701" xr:uid="{00000000-0005-0000-0000-0000D10F0000}"/>
    <cellStyle name="Percentuale 55 3 2" xfId="1702" xr:uid="{00000000-0005-0000-0000-0000D20F0000}"/>
    <cellStyle name="Percentuale 55 3 2 2" xfId="4239" xr:uid="{00000000-0005-0000-0000-0000D30F0000}"/>
    <cellStyle name="Percentuale 55 3 2 3" xfId="4240" xr:uid="{00000000-0005-0000-0000-0000D40F0000}"/>
    <cellStyle name="Percentuale 55 3 3" xfId="1703" xr:uid="{00000000-0005-0000-0000-0000D50F0000}"/>
    <cellStyle name="Percentuale 55 3 3 2" xfId="3272" xr:uid="{00000000-0005-0000-0000-0000D60F0000}"/>
    <cellStyle name="Percentuale 55 3 4" xfId="3273" xr:uid="{00000000-0005-0000-0000-0000D70F0000}"/>
    <cellStyle name="Percentuale 55 4" xfId="1704" xr:uid="{00000000-0005-0000-0000-0000D80F0000}"/>
    <cellStyle name="Percentuale 55 4 2" xfId="3274" xr:uid="{00000000-0005-0000-0000-0000D90F0000}"/>
    <cellStyle name="Percentuale 55 4 2 2" xfId="3275" xr:uid="{00000000-0005-0000-0000-0000DA0F0000}"/>
    <cellStyle name="Percentuale 55 4 3" xfId="3276" xr:uid="{00000000-0005-0000-0000-0000DB0F0000}"/>
    <cellStyle name="Percentuale 55 5" xfId="1705" xr:uid="{00000000-0005-0000-0000-0000DC0F0000}"/>
    <cellStyle name="Percentuale 56" xfId="1706" xr:uid="{00000000-0005-0000-0000-0000DD0F0000}"/>
    <cellStyle name="Percentuale 56 2" xfId="1707" xr:uid="{00000000-0005-0000-0000-0000DE0F0000}"/>
    <cellStyle name="Percentuale 56 2 2" xfId="3277" xr:uid="{00000000-0005-0000-0000-0000DF0F0000}"/>
    <cellStyle name="Percentuale 56 3" xfId="1708" xr:uid="{00000000-0005-0000-0000-0000E00F0000}"/>
    <cellStyle name="Percentuale 56 3 2" xfId="1709" xr:uid="{00000000-0005-0000-0000-0000E10F0000}"/>
    <cellStyle name="Percentuale 56 3 2 2" xfId="4241" xr:uid="{00000000-0005-0000-0000-0000E20F0000}"/>
    <cellStyle name="Percentuale 56 3 2 3" xfId="4242" xr:uid="{00000000-0005-0000-0000-0000E30F0000}"/>
    <cellStyle name="Percentuale 56 3 3" xfId="1710" xr:uid="{00000000-0005-0000-0000-0000E40F0000}"/>
    <cellStyle name="Percentuale 56 3 3 2" xfId="3278" xr:uid="{00000000-0005-0000-0000-0000E50F0000}"/>
    <cellStyle name="Percentuale 56 3 4" xfId="3279" xr:uid="{00000000-0005-0000-0000-0000E60F0000}"/>
    <cellStyle name="Percentuale 56 4" xfId="1711" xr:uid="{00000000-0005-0000-0000-0000E70F0000}"/>
    <cellStyle name="Percentuale 56 4 2" xfId="3280" xr:uid="{00000000-0005-0000-0000-0000E80F0000}"/>
    <cellStyle name="Percentuale 56 4 2 2" xfId="3281" xr:uid="{00000000-0005-0000-0000-0000E90F0000}"/>
    <cellStyle name="Percentuale 56 4 3" xfId="3282" xr:uid="{00000000-0005-0000-0000-0000EA0F0000}"/>
    <cellStyle name="Percentuale 56 5" xfId="1712" xr:uid="{00000000-0005-0000-0000-0000EB0F0000}"/>
    <cellStyle name="Percentuale 57" xfId="1713" xr:uid="{00000000-0005-0000-0000-0000EC0F0000}"/>
    <cellStyle name="Percentuale 57 2" xfId="1714" xr:uid="{00000000-0005-0000-0000-0000ED0F0000}"/>
    <cellStyle name="Percentuale 57 2 2" xfId="3283" xr:uid="{00000000-0005-0000-0000-0000EE0F0000}"/>
    <cellStyle name="Percentuale 57 3" xfId="1715" xr:uid="{00000000-0005-0000-0000-0000EF0F0000}"/>
    <cellStyle name="Percentuale 57 3 2" xfId="1716" xr:uid="{00000000-0005-0000-0000-0000F00F0000}"/>
    <cellStyle name="Percentuale 57 3 2 2" xfId="4243" xr:uid="{00000000-0005-0000-0000-0000F10F0000}"/>
    <cellStyle name="Percentuale 57 3 2 3" xfId="4244" xr:uid="{00000000-0005-0000-0000-0000F20F0000}"/>
    <cellStyle name="Percentuale 57 3 3" xfId="1717" xr:uid="{00000000-0005-0000-0000-0000F30F0000}"/>
    <cellStyle name="Percentuale 57 3 3 2" xfId="3284" xr:uid="{00000000-0005-0000-0000-0000F40F0000}"/>
    <cellStyle name="Percentuale 57 3 4" xfId="3285" xr:uid="{00000000-0005-0000-0000-0000F50F0000}"/>
    <cellStyle name="Percentuale 57 4" xfId="1718" xr:uid="{00000000-0005-0000-0000-0000F60F0000}"/>
    <cellStyle name="Percentuale 57 4 2" xfId="3286" xr:uid="{00000000-0005-0000-0000-0000F70F0000}"/>
    <cellStyle name="Percentuale 57 4 2 2" xfId="3287" xr:uid="{00000000-0005-0000-0000-0000F80F0000}"/>
    <cellStyle name="Percentuale 57 4 3" xfId="3288" xr:uid="{00000000-0005-0000-0000-0000F90F0000}"/>
    <cellStyle name="Percentuale 57 5" xfId="1719" xr:uid="{00000000-0005-0000-0000-0000FA0F0000}"/>
    <cellStyle name="Percentuale 58" xfId="1720" xr:uid="{00000000-0005-0000-0000-0000FB0F0000}"/>
    <cellStyle name="Percentuale 58 2" xfId="1721" xr:uid="{00000000-0005-0000-0000-0000FC0F0000}"/>
    <cellStyle name="Percentuale 58 2 2" xfId="3289" xr:uid="{00000000-0005-0000-0000-0000FD0F0000}"/>
    <cellStyle name="Percentuale 58 3" xfId="1722" xr:uid="{00000000-0005-0000-0000-0000FE0F0000}"/>
    <cellStyle name="Percentuale 58 3 2" xfId="1723" xr:uid="{00000000-0005-0000-0000-0000FF0F0000}"/>
    <cellStyle name="Percentuale 58 3 2 2" xfId="4245" xr:uid="{00000000-0005-0000-0000-000000100000}"/>
    <cellStyle name="Percentuale 58 3 2 3" xfId="4246" xr:uid="{00000000-0005-0000-0000-000001100000}"/>
    <cellStyle name="Percentuale 58 3 3" xfId="1724" xr:uid="{00000000-0005-0000-0000-000002100000}"/>
    <cellStyle name="Percentuale 58 3 3 2" xfId="3290" xr:uid="{00000000-0005-0000-0000-000003100000}"/>
    <cellStyle name="Percentuale 58 3 4" xfId="3291" xr:uid="{00000000-0005-0000-0000-000004100000}"/>
    <cellStyle name="Percentuale 58 4" xfId="1725" xr:uid="{00000000-0005-0000-0000-000005100000}"/>
    <cellStyle name="Percentuale 58 4 2" xfId="3292" xr:uid="{00000000-0005-0000-0000-000006100000}"/>
    <cellStyle name="Percentuale 58 4 2 2" xfId="3293" xr:uid="{00000000-0005-0000-0000-000007100000}"/>
    <cellStyle name="Percentuale 58 4 3" xfId="3294" xr:uid="{00000000-0005-0000-0000-000008100000}"/>
    <cellStyle name="Percentuale 58 5" xfId="1726" xr:uid="{00000000-0005-0000-0000-000009100000}"/>
    <cellStyle name="Percentuale 59" xfId="1727" xr:uid="{00000000-0005-0000-0000-00000A100000}"/>
    <cellStyle name="Percentuale 59 2" xfId="1728" xr:uid="{00000000-0005-0000-0000-00000B100000}"/>
    <cellStyle name="Percentuale 59 2 2" xfId="3295" xr:uid="{00000000-0005-0000-0000-00000C100000}"/>
    <cellStyle name="Percentuale 59 3" xfId="1729" xr:uid="{00000000-0005-0000-0000-00000D100000}"/>
    <cellStyle name="Percentuale 59 3 2" xfId="1730" xr:uid="{00000000-0005-0000-0000-00000E100000}"/>
    <cellStyle name="Percentuale 59 3 2 2" xfId="4247" xr:uid="{00000000-0005-0000-0000-00000F100000}"/>
    <cellStyle name="Percentuale 59 3 2 3" xfId="4248" xr:uid="{00000000-0005-0000-0000-000010100000}"/>
    <cellStyle name="Percentuale 59 3 3" xfId="1731" xr:uid="{00000000-0005-0000-0000-000011100000}"/>
    <cellStyle name="Percentuale 59 3 3 2" xfId="3296" xr:uid="{00000000-0005-0000-0000-000012100000}"/>
    <cellStyle name="Percentuale 59 3 4" xfId="3297" xr:uid="{00000000-0005-0000-0000-000013100000}"/>
    <cellStyle name="Percentuale 59 4" xfId="1732" xr:uid="{00000000-0005-0000-0000-000014100000}"/>
    <cellStyle name="Percentuale 59 4 2" xfId="3298" xr:uid="{00000000-0005-0000-0000-000015100000}"/>
    <cellStyle name="Percentuale 59 4 2 2" xfId="3299" xr:uid="{00000000-0005-0000-0000-000016100000}"/>
    <cellStyle name="Percentuale 59 4 3" xfId="3300" xr:uid="{00000000-0005-0000-0000-000017100000}"/>
    <cellStyle name="Percentuale 59 5" xfId="1733" xr:uid="{00000000-0005-0000-0000-000018100000}"/>
    <cellStyle name="Percentuale 6" xfId="1734" xr:uid="{00000000-0005-0000-0000-000019100000}"/>
    <cellStyle name="Percentuale 6 2" xfId="1735" xr:uid="{00000000-0005-0000-0000-00001A100000}"/>
    <cellStyle name="Percentuale 6 2 2" xfId="3301" xr:uid="{00000000-0005-0000-0000-00001B100000}"/>
    <cellStyle name="Percentuale 6 3" xfId="1736" xr:uid="{00000000-0005-0000-0000-00001C100000}"/>
    <cellStyle name="Percentuale 6 3 2" xfId="1737" xr:uid="{00000000-0005-0000-0000-00001D100000}"/>
    <cellStyle name="Percentuale 6 3 2 2" xfId="4249" xr:uid="{00000000-0005-0000-0000-00001E100000}"/>
    <cellStyle name="Percentuale 6 3 2 3" xfId="4250" xr:uid="{00000000-0005-0000-0000-00001F100000}"/>
    <cellStyle name="Percentuale 6 3 3" xfId="1738" xr:uid="{00000000-0005-0000-0000-000020100000}"/>
    <cellStyle name="Percentuale 6 3 3 2" xfId="3302" xr:uid="{00000000-0005-0000-0000-000021100000}"/>
    <cellStyle name="Percentuale 6 3 4" xfId="3303" xr:uid="{00000000-0005-0000-0000-000022100000}"/>
    <cellStyle name="Percentuale 6 4" xfId="1739" xr:uid="{00000000-0005-0000-0000-000023100000}"/>
    <cellStyle name="Percentuale 6 4 2" xfId="3304" xr:uid="{00000000-0005-0000-0000-000024100000}"/>
    <cellStyle name="Percentuale 6 4 2 2" xfId="3305" xr:uid="{00000000-0005-0000-0000-000025100000}"/>
    <cellStyle name="Percentuale 6 4 3" xfId="3306" xr:uid="{00000000-0005-0000-0000-000026100000}"/>
    <cellStyle name="Percentuale 6 5" xfId="1740" xr:uid="{00000000-0005-0000-0000-000027100000}"/>
    <cellStyle name="Percentuale 60" xfId="1741" xr:uid="{00000000-0005-0000-0000-000028100000}"/>
    <cellStyle name="Percentuale 60 2" xfId="1742" xr:uid="{00000000-0005-0000-0000-000029100000}"/>
    <cellStyle name="Percentuale 60 2 2" xfId="3307" xr:uid="{00000000-0005-0000-0000-00002A100000}"/>
    <cellStyle name="Percentuale 60 3" xfId="1743" xr:uid="{00000000-0005-0000-0000-00002B100000}"/>
    <cellStyle name="Percentuale 60 3 2" xfId="1744" xr:uid="{00000000-0005-0000-0000-00002C100000}"/>
    <cellStyle name="Percentuale 60 3 2 2" xfId="4251" xr:uid="{00000000-0005-0000-0000-00002D100000}"/>
    <cellStyle name="Percentuale 60 3 2 3" xfId="4252" xr:uid="{00000000-0005-0000-0000-00002E100000}"/>
    <cellStyle name="Percentuale 60 3 3" xfId="1745" xr:uid="{00000000-0005-0000-0000-00002F100000}"/>
    <cellStyle name="Percentuale 60 3 3 2" xfId="3308" xr:uid="{00000000-0005-0000-0000-000030100000}"/>
    <cellStyle name="Percentuale 60 3 4" xfId="3309" xr:uid="{00000000-0005-0000-0000-000031100000}"/>
    <cellStyle name="Percentuale 60 4" xfId="1746" xr:uid="{00000000-0005-0000-0000-000032100000}"/>
    <cellStyle name="Percentuale 60 4 2" xfId="3310" xr:uid="{00000000-0005-0000-0000-000033100000}"/>
    <cellStyle name="Percentuale 60 4 2 2" xfId="3311" xr:uid="{00000000-0005-0000-0000-000034100000}"/>
    <cellStyle name="Percentuale 60 4 3" xfId="3312" xr:uid="{00000000-0005-0000-0000-000035100000}"/>
    <cellStyle name="Percentuale 60 5" xfId="1747" xr:uid="{00000000-0005-0000-0000-000036100000}"/>
    <cellStyle name="Percentuale 61" xfId="1748" xr:uid="{00000000-0005-0000-0000-000037100000}"/>
    <cellStyle name="Percentuale 61 2" xfId="1749" xr:uid="{00000000-0005-0000-0000-000038100000}"/>
    <cellStyle name="Percentuale 61 2 2" xfId="3313" xr:uid="{00000000-0005-0000-0000-000039100000}"/>
    <cellStyle name="Percentuale 61 3" xfId="1750" xr:uid="{00000000-0005-0000-0000-00003A100000}"/>
    <cellStyle name="Percentuale 61 3 2" xfId="1751" xr:uid="{00000000-0005-0000-0000-00003B100000}"/>
    <cellStyle name="Percentuale 61 3 2 2" xfId="4253" xr:uid="{00000000-0005-0000-0000-00003C100000}"/>
    <cellStyle name="Percentuale 61 3 2 3" xfId="4254" xr:uid="{00000000-0005-0000-0000-00003D100000}"/>
    <cellStyle name="Percentuale 61 3 3" xfId="1752" xr:uid="{00000000-0005-0000-0000-00003E100000}"/>
    <cellStyle name="Percentuale 61 3 3 2" xfId="3314" xr:uid="{00000000-0005-0000-0000-00003F100000}"/>
    <cellStyle name="Percentuale 61 3 4" xfId="3315" xr:uid="{00000000-0005-0000-0000-000040100000}"/>
    <cellStyle name="Percentuale 61 4" xfId="1753" xr:uid="{00000000-0005-0000-0000-000041100000}"/>
    <cellStyle name="Percentuale 61 4 2" xfId="3316" xr:uid="{00000000-0005-0000-0000-000042100000}"/>
    <cellStyle name="Percentuale 61 4 2 2" xfId="3317" xr:uid="{00000000-0005-0000-0000-000043100000}"/>
    <cellStyle name="Percentuale 61 4 3" xfId="3318" xr:uid="{00000000-0005-0000-0000-000044100000}"/>
    <cellStyle name="Percentuale 61 5" xfId="1754" xr:uid="{00000000-0005-0000-0000-000045100000}"/>
    <cellStyle name="Percentuale 62" xfId="1755" xr:uid="{00000000-0005-0000-0000-000046100000}"/>
    <cellStyle name="Percentuale 62 2" xfId="3319" xr:uid="{00000000-0005-0000-0000-000047100000}"/>
    <cellStyle name="Percentuale 63" xfId="1756" xr:uid="{00000000-0005-0000-0000-000048100000}"/>
    <cellStyle name="Percentuale 63 2" xfId="3320" xr:uid="{00000000-0005-0000-0000-000049100000}"/>
    <cellStyle name="Percentuale 64" xfId="1757" xr:uid="{00000000-0005-0000-0000-00004A100000}"/>
    <cellStyle name="Percentuale 64 2" xfId="3321" xr:uid="{00000000-0005-0000-0000-00004B100000}"/>
    <cellStyle name="Percentuale 65" xfId="1758" xr:uid="{00000000-0005-0000-0000-00004C100000}"/>
    <cellStyle name="Percentuale 65 2" xfId="3322" xr:uid="{00000000-0005-0000-0000-00004D100000}"/>
    <cellStyle name="Percentuale 66" xfId="1759" xr:uid="{00000000-0005-0000-0000-00004E100000}"/>
    <cellStyle name="Percentuale 66 2" xfId="3323" xr:uid="{00000000-0005-0000-0000-00004F100000}"/>
    <cellStyle name="Percentuale 67" xfId="1760" xr:uid="{00000000-0005-0000-0000-000050100000}"/>
    <cellStyle name="Percentuale 67 2" xfId="3324" xr:uid="{00000000-0005-0000-0000-000051100000}"/>
    <cellStyle name="Percentuale 68" xfId="1761" xr:uid="{00000000-0005-0000-0000-000052100000}"/>
    <cellStyle name="Percentuale 68 2" xfId="1762" xr:uid="{00000000-0005-0000-0000-000053100000}"/>
    <cellStyle name="Percentuale 68 2 2" xfId="3325" xr:uid="{00000000-0005-0000-0000-000054100000}"/>
    <cellStyle name="Percentuale 68 3" xfId="1763" xr:uid="{00000000-0005-0000-0000-000055100000}"/>
    <cellStyle name="Percentuale 68 3 2" xfId="1764" xr:uid="{00000000-0005-0000-0000-000056100000}"/>
    <cellStyle name="Percentuale 68 3 2 2" xfId="4255" xr:uid="{00000000-0005-0000-0000-000057100000}"/>
    <cellStyle name="Percentuale 68 3 2 3" xfId="4256" xr:uid="{00000000-0005-0000-0000-000058100000}"/>
    <cellStyle name="Percentuale 68 3 3" xfId="1765" xr:uid="{00000000-0005-0000-0000-000059100000}"/>
    <cellStyle name="Percentuale 68 3 3 2" xfId="3326" xr:uid="{00000000-0005-0000-0000-00005A100000}"/>
    <cellStyle name="Percentuale 68 3 4" xfId="3327" xr:uid="{00000000-0005-0000-0000-00005B100000}"/>
    <cellStyle name="Percentuale 68 4" xfId="1766" xr:uid="{00000000-0005-0000-0000-00005C100000}"/>
    <cellStyle name="Percentuale 68 4 2" xfId="3328" xr:uid="{00000000-0005-0000-0000-00005D100000}"/>
    <cellStyle name="Percentuale 68 4 2 2" xfId="3329" xr:uid="{00000000-0005-0000-0000-00005E100000}"/>
    <cellStyle name="Percentuale 68 4 3" xfId="3330" xr:uid="{00000000-0005-0000-0000-00005F100000}"/>
    <cellStyle name="Percentuale 68 5" xfId="1767" xr:uid="{00000000-0005-0000-0000-000060100000}"/>
    <cellStyle name="Percentuale 69" xfId="1768" xr:uid="{00000000-0005-0000-0000-000061100000}"/>
    <cellStyle name="Percentuale 69 2" xfId="1769" xr:uid="{00000000-0005-0000-0000-000062100000}"/>
    <cellStyle name="Percentuale 69 2 2" xfId="3331" xr:uid="{00000000-0005-0000-0000-000063100000}"/>
    <cellStyle name="Percentuale 69 3" xfId="1770" xr:uid="{00000000-0005-0000-0000-000064100000}"/>
    <cellStyle name="Percentuale 69 3 2" xfId="1771" xr:uid="{00000000-0005-0000-0000-000065100000}"/>
    <cellStyle name="Percentuale 69 3 2 2" xfId="4257" xr:uid="{00000000-0005-0000-0000-000066100000}"/>
    <cellStyle name="Percentuale 69 3 2 3" xfId="4258" xr:uid="{00000000-0005-0000-0000-000067100000}"/>
    <cellStyle name="Percentuale 69 3 3" xfId="1772" xr:uid="{00000000-0005-0000-0000-000068100000}"/>
    <cellStyle name="Percentuale 69 3 3 2" xfId="3332" xr:uid="{00000000-0005-0000-0000-000069100000}"/>
    <cellStyle name="Percentuale 69 3 4" xfId="3333" xr:uid="{00000000-0005-0000-0000-00006A100000}"/>
    <cellStyle name="Percentuale 69 4" xfId="1773" xr:uid="{00000000-0005-0000-0000-00006B100000}"/>
    <cellStyle name="Percentuale 69 4 2" xfId="3334" xr:uid="{00000000-0005-0000-0000-00006C100000}"/>
    <cellStyle name="Percentuale 69 4 2 2" xfId="3335" xr:uid="{00000000-0005-0000-0000-00006D100000}"/>
    <cellStyle name="Percentuale 69 4 3" xfId="3336" xr:uid="{00000000-0005-0000-0000-00006E100000}"/>
    <cellStyle name="Percentuale 69 5" xfId="1774" xr:uid="{00000000-0005-0000-0000-00006F100000}"/>
    <cellStyle name="Percentuale 7" xfId="1775" xr:uid="{00000000-0005-0000-0000-000070100000}"/>
    <cellStyle name="Percentuale 7 2" xfId="1776" xr:uid="{00000000-0005-0000-0000-000071100000}"/>
    <cellStyle name="Percentuale 7 2 2" xfId="3337" xr:uid="{00000000-0005-0000-0000-000072100000}"/>
    <cellStyle name="Percentuale 7 3" xfId="1777" xr:uid="{00000000-0005-0000-0000-000073100000}"/>
    <cellStyle name="Percentuale 7 3 2" xfId="1778" xr:uid="{00000000-0005-0000-0000-000074100000}"/>
    <cellStyle name="Percentuale 7 3 2 2" xfId="4259" xr:uid="{00000000-0005-0000-0000-000075100000}"/>
    <cellStyle name="Percentuale 7 3 2 3" xfId="4260" xr:uid="{00000000-0005-0000-0000-000076100000}"/>
    <cellStyle name="Percentuale 7 3 3" xfId="1779" xr:uid="{00000000-0005-0000-0000-000077100000}"/>
    <cellStyle name="Percentuale 7 3 3 2" xfId="3338" xr:uid="{00000000-0005-0000-0000-000078100000}"/>
    <cellStyle name="Percentuale 7 3 4" xfId="3339" xr:uid="{00000000-0005-0000-0000-000079100000}"/>
    <cellStyle name="Percentuale 7 4" xfId="1780" xr:uid="{00000000-0005-0000-0000-00007A100000}"/>
    <cellStyle name="Percentuale 7 4 2" xfId="3340" xr:uid="{00000000-0005-0000-0000-00007B100000}"/>
    <cellStyle name="Percentuale 7 4 2 2" xfId="3341" xr:uid="{00000000-0005-0000-0000-00007C100000}"/>
    <cellStyle name="Percentuale 7 4 3" xfId="3342" xr:uid="{00000000-0005-0000-0000-00007D100000}"/>
    <cellStyle name="Percentuale 7 5" xfId="1781" xr:uid="{00000000-0005-0000-0000-00007E100000}"/>
    <cellStyle name="Percentuale 8" xfId="1782" xr:uid="{00000000-0005-0000-0000-00007F100000}"/>
    <cellStyle name="Percentuale 8 2" xfId="1783" xr:uid="{00000000-0005-0000-0000-000080100000}"/>
    <cellStyle name="Percentuale 8 2 2" xfId="3343" xr:uid="{00000000-0005-0000-0000-000081100000}"/>
    <cellStyle name="Percentuale 8 3" xfId="1784" xr:uid="{00000000-0005-0000-0000-000082100000}"/>
    <cellStyle name="Percentuale 8 3 2" xfId="1785" xr:uid="{00000000-0005-0000-0000-000083100000}"/>
    <cellStyle name="Percentuale 8 3 2 2" xfId="4261" xr:uid="{00000000-0005-0000-0000-000084100000}"/>
    <cellStyle name="Percentuale 8 3 2 3" xfId="4262" xr:uid="{00000000-0005-0000-0000-000085100000}"/>
    <cellStyle name="Percentuale 8 3 3" xfId="1786" xr:uid="{00000000-0005-0000-0000-000086100000}"/>
    <cellStyle name="Percentuale 8 3 3 2" xfId="3344" xr:uid="{00000000-0005-0000-0000-000087100000}"/>
    <cellStyle name="Percentuale 8 3 4" xfId="3345" xr:uid="{00000000-0005-0000-0000-000088100000}"/>
    <cellStyle name="Percentuale 8 4" xfId="1787" xr:uid="{00000000-0005-0000-0000-000089100000}"/>
    <cellStyle name="Percentuale 8 4 2" xfId="3346" xr:uid="{00000000-0005-0000-0000-00008A100000}"/>
    <cellStyle name="Percentuale 8 4 2 2" xfId="3347" xr:uid="{00000000-0005-0000-0000-00008B100000}"/>
    <cellStyle name="Percentuale 8 4 3" xfId="3348" xr:uid="{00000000-0005-0000-0000-00008C100000}"/>
    <cellStyle name="Percentuale 8 5" xfId="1788" xr:uid="{00000000-0005-0000-0000-00008D100000}"/>
    <cellStyle name="Percentuale 9" xfId="1789" xr:uid="{00000000-0005-0000-0000-00008E100000}"/>
    <cellStyle name="Percentuale 9 2" xfId="1790" xr:uid="{00000000-0005-0000-0000-00008F100000}"/>
    <cellStyle name="Percentuale 9 2 2" xfId="3349" xr:uid="{00000000-0005-0000-0000-000090100000}"/>
    <cellStyle name="Percentuale 9 3" xfId="1791" xr:uid="{00000000-0005-0000-0000-000091100000}"/>
    <cellStyle name="Percentuale 9 3 2" xfId="1792" xr:uid="{00000000-0005-0000-0000-000092100000}"/>
    <cellStyle name="Percentuale 9 3 2 2" xfId="4263" xr:uid="{00000000-0005-0000-0000-000093100000}"/>
    <cellStyle name="Percentuale 9 3 2 3" xfId="4264" xr:uid="{00000000-0005-0000-0000-000094100000}"/>
    <cellStyle name="Percentuale 9 3 3" xfId="1793" xr:uid="{00000000-0005-0000-0000-000095100000}"/>
    <cellStyle name="Percentuale 9 3 3 2" xfId="3350" xr:uid="{00000000-0005-0000-0000-000096100000}"/>
    <cellStyle name="Percentuale 9 3 4" xfId="3351" xr:uid="{00000000-0005-0000-0000-000097100000}"/>
    <cellStyle name="Percentuale 9 4" xfId="1794" xr:uid="{00000000-0005-0000-0000-000098100000}"/>
    <cellStyle name="Percentuale 9 4 2" xfId="3352" xr:uid="{00000000-0005-0000-0000-000099100000}"/>
    <cellStyle name="Percentuale 9 4 2 2" xfId="3353" xr:uid="{00000000-0005-0000-0000-00009A100000}"/>
    <cellStyle name="Percentuale 9 4 3" xfId="3354" xr:uid="{00000000-0005-0000-0000-00009B100000}"/>
    <cellStyle name="Percentuale 9 5" xfId="1795" xr:uid="{00000000-0005-0000-0000-00009C100000}"/>
    <cellStyle name="Procent" xfId="4351" builtinId="5"/>
    <cellStyle name="Procent 2" xfId="1796" xr:uid="{00000000-0005-0000-0000-00009D100000}"/>
    <cellStyle name="Procent 2 2" xfId="3355" xr:uid="{00000000-0005-0000-0000-00009E100000}"/>
    <cellStyle name="Procent 2 2 2" xfId="4265" xr:uid="{00000000-0005-0000-0000-00009F100000}"/>
    <cellStyle name="Procent 2 2 3" xfId="4266" xr:uid="{00000000-0005-0000-0000-0000A0100000}"/>
    <cellStyle name="Procent 3" xfId="3356" xr:uid="{00000000-0005-0000-0000-0000A1100000}"/>
    <cellStyle name="Procent 3 2" xfId="3357" xr:uid="{00000000-0005-0000-0000-0000A2100000}"/>
    <cellStyle name="Procent 3 2 2" xfId="4267" xr:uid="{00000000-0005-0000-0000-0000A3100000}"/>
    <cellStyle name="Procent 3 3" xfId="4268" xr:uid="{00000000-0005-0000-0000-0000A4100000}"/>
    <cellStyle name="Procent 4" xfId="3358" xr:uid="{00000000-0005-0000-0000-0000A5100000}"/>
    <cellStyle name="Procent 4 2" xfId="3359" xr:uid="{00000000-0005-0000-0000-0000A6100000}"/>
    <cellStyle name="Standard_Sce_D_Extraction" xfId="1797" xr:uid="{00000000-0005-0000-0000-0000A7100000}"/>
    <cellStyle name="Style 155" xfId="4269" xr:uid="{00000000-0005-0000-0000-0000A8100000}"/>
    <cellStyle name="Style 156" xfId="4270" xr:uid="{00000000-0005-0000-0000-0000A9100000}"/>
    <cellStyle name="Style 157" xfId="4271" xr:uid="{00000000-0005-0000-0000-0000AA100000}"/>
    <cellStyle name="Style 158" xfId="4272" xr:uid="{00000000-0005-0000-0000-0000AB100000}"/>
    <cellStyle name="Style 159" xfId="4273" xr:uid="{00000000-0005-0000-0000-0000AC100000}"/>
    <cellStyle name="Style 161" xfId="4274" xr:uid="{00000000-0005-0000-0000-0000AD100000}"/>
    <cellStyle name="Style 162" xfId="4275" xr:uid="{00000000-0005-0000-0000-0000AE100000}"/>
    <cellStyle name="Style 163" xfId="4276" xr:uid="{00000000-0005-0000-0000-0000AF100000}"/>
    <cellStyle name="Style 223" xfId="4277" xr:uid="{00000000-0005-0000-0000-0000B0100000}"/>
    <cellStyle name="Style 224" xfId="4278" xr:uid="{00000000-0005-0000-0000-0000B1100000}"/>
    <cellStyle name="Style 225" xfId="4279" xr:uid="{00000000-0005-0000-0000-0000B2100000}"/>
    <cellStyle name="Style 226" xfId="4280" xr:uid="{00000000-0005-0000-0000-0000B3100000}"/>
    <cellStyle name="Style 227" xfId="4281" xr:uid="{00000000-0005-0000-0000-0000B4100000}"/>
    <cellStyle name="Style 229" xfId="4282" xr:uid="{00000000-0005-0000-0000-0000B5100000}"/>
    <cellStyle name="Style 230" xfId="4283" xr:uid="{00000000-0005-0000-0000-0000B6100000}"/>
    <cellStyle name="Style 231" xfId="4284" xr:uid="{00000000-0005-0000-0000-0000B7100000}"/>
    <cellStyle name="Style 257" xfId="4285" xr:uid="{00000000-0005-0000-0000-0000B8100000}"/>
    <cellStyle name="Style 258" xfId="4286" xr:uid="{00000000-0005-0000-0000-0000B9100000}"/>
    <cellStyle name="Style 259" xfId="4287" xr:uid="{00000000-0005-0000-0000-0000BA100000}"/>
    <cellStyle name="Style 260" xfId="4288" xr:uid="{00000000-0005-0000-0000-0000BB100000}"/>
    <cellStyle name="Style 261" xfId="4289" xr:uid="{00000000-0005-0000-0000-0000BC100000}"/>
    <cellStyle name="Style 263" xfId="4290" xr:uid="{00000000-0005-0000-0000-0000BD100000}"/>
    <cellStyle name="Style 264" xfId="4291" xr:uid="{00000000-0005-0000-0000-0000BE100000}"/>
    <cellStyle name="Style 265" xfId="4292" xr:uid="{00000000-0005-0000-0000-0000BF100000}"/>
    <cellStyle name="Style 461" xfId="4293" xr:uid="{00000000-0005-0000-0000-0000C0100000}"/>
    <cellStyle name="Style 467" xfId="4294" xr:uid="{00000000-0005-0000-0000-0000C1100000}"/>
    <cellStyle name="Style 468" xfId="4295" xr:uid="{00000000-0005-0000-0000-0000C2100000}"/>
    <cellStyle name="Style 469" xfId="4296" xr:uid="{00000000-0005-0000-0000-0000C3100000}"/>
    <cellStyle name="Style 478" xfId="4297" xr:uid="{00000000-0005-0000-0000-0000C4100000}"/>
    <cellStyle name="Style 479" xfId="4298" xr:uid="{00000000-0005-0000-0000-0000C5100000}"/>
    <cellStyle name="Style 480" xfId="4299" xr:uid="{00000000-0005-0000-0000-0000C6100000}"/>
    <cellStyle name="Style 481" xfId="4300" xr:uid="{00000000-0005-0000-0000-0000C7100000}"/>
    <cellStyle name="Style 482" xfId="4301" xr:uid="{00000000-0005-0000-0000-0000C8100000}"/>
    <cellStyle name="Style 484" xfId="4302" xr:uid="{00000000-0005-0000-0000-0000C9100000}"/>
    <cellStyle name="Style 485" xfId="4303" xr:uid="{00000000-0005-0000-0000-0000CA100000}"/>
    <cellStyle name="Style 486" xfId="4304" xr:uid="{00000000-0005-0000-0000-0000CB100000}"/>
    <cellStyle name="Style 495" xfId="4305" xr:uid="{00000000-0005-0000-0000-0000CC100000}"/>
    <cellStyle name="Style 496" xfId="4306" xr:uid="{00000000-0005-0000-0000-0000CD100000}"/>
    <cellStyle name="Style 497" xfId="4307" xr:uid="{00000000-0005-0000-0000-0000CE100000}"/>
    <cellStyle name="Style 498" xfId="4308" xr:uid="{00000000-0005-0000-0000-0000CF100000}"/>
    <cellStyle name="Style 499" xfId="4309" xr:uid="{00000000-0005-0000-0000-0000D0100000}"/>
    <cellStyle name="Style 501" xfId="4310" xr:uid="{00000000-0005-0000-0000-0000D1100000}"/>
    <cellStyle name="Style 502" xfId="4311" xr:uid="{00000000-0005-0000-0000-0000D2100000}"/>
    <cellStyle name="Style 503" xfId="4312" xr:uid="{00000000-0005-0000-0000-0000D3100000}"/>
    <cellStyle name="Style 580" xfId="4313" xr:uid="{00000000-0005-0000-0000-0000D4100000}"/>
    <cellStyle name="Style 581" xfId="4314" xr:uid="{00000000-0005-0000-0000-0000D5100000}"/>
    <cellStyle name="Style 582" xfId="4315" xr:uid="{00000000-0005-0000-0000-0000D6100000}"/>
    <cellStyle name="Style 583" xfId="4316" xr:uid="{00000000-0005-0000-0000-0000D7100000}"/>
    <cellStyle name="Style 584" xfId="4317" xr:uid="{00000000-0005-0000-0000-0000D8100000}"/>
    <cellStyle name="Style 586" xfId="4318" xr:uid="{00000000-0005-0000-0000-0000D9100000}"/>
    <cellStyle name="Style 587" xfId="4319" xr:uid="{00000000-0005-0000-0000-0000DA100000}"/>
    <cellStyle name="Style 588" xfId="4320" xr:uid="{00000000-0005-0000-0000-0000DB100000}"/>
    <cellStyle name="Testo avviso" xfId="1798" xr:uid="{00000000-0005-0000-0000-0000DC100000}"/>
    <cellStyle name="Testo descrittivo" xfId="1799" xr:uid="{00000000-0005-0000-0000-0000DD100000}"/>
    <cellStyle name="Titolo" xfId="1800" xr:uid="{00000000-0005-0000-0000-0000DE100000}"/>
    <cellStyle name="Titolo 1" xfId="1801" xr:uid="{00000000-0005-0000-0000-0000DF100000}"/>
    <cellStyle name="Titolo 1 2" xfId="4321" xr:uid="{00000000-0005-0000-0000-0000E0100000}"/>
    <cellStyle name="Titolo 1 3" xfId="4322" xr:uid="{00000000-0005-0000-0000-0000E1100000}"/>
    <cellStyle name="Titolo 2" xfId="1802" xr:uid="{00000000-0005-0000-0000-0000E2100000}"/>
    <cellStyle name="Titolo 2 2" xfId="4323" xr:uid="{00000000-0005-0000-0000-0000E3100000}"/>
    <cellStyle name="Titolo 2 3" xfId="4324" xr:uid="{00000000-0005-0000-0000-0000E4100000}"/>
    <cellStyle name="Titolo 3" xfId="1803" xr:uid="{00000000-0005-0000-0000-0000E5100000}"/>
    <cellStyle name="Titolo 3 2" xfId="1804" xr:uid="{00000000-0005-0000-0000-0000E6100000}"/>
    <cellStyle name="Titolo 3 2 2" xfId="4325" xr:uid="{00000000-0005-0000-0000-0000E7100000}"/>
    <cellStyle name="Titolo 3 3" xfId="4326" xr:uid="{00000000-0005-0000-0000-0000E8100000}"/>
    <cellStyle name="Titolo 4" xfId="1805" xr:uid="{00000000-0005-0000-0000-0000E9100000}"/>
    <cellStyle name="Total 2" xfId="4327" xr:uid="{00000000-0005-0000-0000-0000EA100000}"/>
    <cellStyle name="Total 2 2" xfId="4328" xr:uid="{00000000-0005-0000-0000-0000EB100000}"/>
    <cellStyle name="Totale" xfId="1806" xr:uid="{00000000-0005-0000-0000-0000EC100000}"/>
    <cellStyle name="Totale 2" xfId="1807" xr:uid="{00000000-0005-0000-0000-0000ED100000}"/>
    <cellStyle name="Totale 2 2" xfId="4329" xr:uid="{00000000-0005-0000-0000-0000EE100000}"/>
    <cellStyle name="Totale 2 3" xfId="4330" xr:uid="{00000000-0005-0000-0000-0000EF100000}"/>
    <cellStyle name="Totale 3" xfId="1808" xr:uid="{00000000-0005-0000-0000-0000F0100000}"/>
    <cellStyle name="Totale 3 2" xfId="4331" xr:uid="{00000000-0005-0000-0000-0000F1100000}"/>
    <cellStyle name="Totale 3 3" xfId="4332" xr:uid="{00000000-0005-0000-0000-0000F2100000}"/>
    <cellStyle name="Totale 4" xfId="1809" xr:uid="{00000000-0005-0000-0000-0000F3100000}"/>
    <cellStyle name="Totale 4 2" xfId="4333" xr:uid="{00000000-0005-0000-0000-0000F4100000}"/>
    <cellStyle name="Totale 5" xfId="1810" xr:uid="{00000000-0005-0000-0000-0000F5100000}"/>
    <cellStyle name="Totale 6" xfId="1811" xr:uid="{00000000-0005-0000-0000-0000F6100000}"/>
    <cellStyle name="Totale 7" xfId="4334" xr:uid="{00000000-0005-0000-0000-0000F7100000}"/>
    <cellStyle name="Uncertain" xfId="3360" xr:uid="{00000000-0005-0000-0000-0000F8100000}"/>
    <cellStyle name="Valore non valido" xfId="1812" xr:uid="{00000000-0005-0000-0000-0000F9100000}"/>
    <cellStyle name="Valore valido" xfId="1813" xr:uid="{00000000-0005-0000-0000-0000FA100000}"/>
    <cellStyle name="Years" xfId="3361" xr:uid="{00000000-0005-0000-0000-0000FB100000}"/>
    <cellStyle name="Обычный_CRF2002 (1)" xfId="1814" xr:uid="{00000000-0005-0000-0000-0000FC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28</xdr:row>
      <xdr:rowOff>0</xdr:rowOff>
    </xdr:from>
    <xdr:to>
      <xdr:col>44</xdr:col>
      <xdr:colOff>66634</xdr:colOff>
      <xdr:row>36</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35</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33</xdr:row>
      <xdr:rowOff>150812</xdr:rowOff>
    </xdr:from>
    <xdr:to>
      <xdr:col>45</xdr:col>
      <xdr:colOff>31750</xdr:colOff>
      <xdr:row>35</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40</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34</xdr:row>
      <xdr:rowOff>152461</xdr:rowOff>
    </xdr:from>
    <xdr:to>
      <xdr:col>41</xdr:col>
      <xdr:colOff>457159</xdr:colOff>
      <xdr:row>34</xdr:row>
      <xdr:rowOff>155637</xdr:rowOff>
    </xdr:to>
    <xdr:cxnSp macro="">
      <xdr:nvCxnSpPr>
        <xdr:cNvPr id="33" name="Straight Connector 32">
          <a:extLst>
            <a:ext uri="{FF2B5EF4-FFF2-40B4-BE49-F238E27FC236}">
              <a16:creationId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63</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78</xdr:row>
      <xdr:rowOff>0</xdr:rowOff>
    </xdr:from>
    <xdr:to>
      <xdr:col>30</xdr:col>
      <xdr:colOff>581025</xdr:colOff>
      <xdr:row>85</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32</xdr:row>
      <xdr:rowOff>45720</xdr:rowOff>
    </xdr:from>
    <xdr:to>
      <xdr:col>4</xdr:col>
      <xdr:colOff>729614</xdr:colOff>
      <xdr:row>41</xdr:row>
      <xdr:rowOff>146686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en-DK"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609600</xdr:colOff>
          <xdr:row>44</xdr:row>
          <xdr:rowOff>12700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1000-000001D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 val="IEA Data"/>
      <sheetName val="E&amp;D Driver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refreshError="1">
        <row r="2">
          <cell r="A2" t="str">
            <v>^FI_ST: TCH, PRC</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topLeftCell="D1" zoomScaleNormal="100" workbookViewId="0">
      <selection activeCell="E4" sqref="E4"/>
    </sheetView>
  </sheetViews>
  <sheetFormatPr defaultColWidth="9.1796875" defaultRowHeight="12.5"/>
  <cols>
    <col min="1" max="1" width="11" style="92" bestFit="1" customWidth="1"/>
    <col min="2" max="2" width="21.1796875" style="92" customWidth="1"/>
    <col min="3" max="3" width="30.36328125" style="92" bestFit="1" customWidth="1"/>
    <col min="4" max="4" width="16.36328125" style="92" bestFit="1" customWidth="1"/>
    <col min="5" max="5" width="132.1796875" style="92" customWidth="1"/>
    <col min="6" max="8" width="9.1796875" style="92"/>
    <col min="9" max="9" width="13" style="92" customWidth="1"/>
    <col min="10" max="10" width="14.453125" style="92" bestFit="1" customWidth="1"/>
    <col min="11" max="16384" width="9.1796875" style="92"/>
  </cols>
  <sheetData>
    <row r="3" spans="1:6" ht="13">
      <c r="A3" s="90" t="s">
        <v>114</v>
      </c>
      <c r="B3" s="91" t="s">
        <v>96</v>
      </c>
      <c r="C3" s="91" t="s">
        <v>115</v>
      </c>
      <c r="D3" s="91" t="s">
        <v>116</v>
      </c>
      <c r="E3" s="91" t="s">
        <v>117</v>
      </c>
    </row>
    <row r="4" spans="1:6" ht="13">
      <c r="A4" s="291">
        <v>44300</v>
      </c>
      <c r="B4" s="292" t="s">
        <v>181</v>
      </c>
      <c r="C4" s="292"/>
      <c r="D4" s="293"/>
      <c r="E4" s="294" t="s">
        <v>969</v>
      </c>
    </row>
    <row r="5" spans="1:6" ht="13">
      <c r="A5" s="291"/>
      <c r="B5" s="292"/>
      <c r="C5" s="292"/>
      <c r="D5" s="293"/>
      <c r="E5" s="294"/>
    </row>
    <row r="6" spans="1:6" ht="13">
      <c r="A6" s="291"/>
      <c r="B6" s="292"/>
      <c r="C6" s="292"/>
      <c r="D6" s="293"/>
      <c r="E6" s="294"/>
    </row>
    <row r="7" spans="1:6" ht="13">
      <c r="A7" s="90"/>
      <c r="B7" s="91"/>
      <c r="C7" s="292"/>
      <c r="D7" s="293"/>
      <c r="E7" s="294"/>
    </row>
    <row r="8" spans="1:6" ht="13">
      <c r="A8" s="90"/>
      <c r="B8" s="91"/>
      <c r="C8" s="292"/>
      <c r="D8" s="293"/>
      <c r="E8" s="294"/>
    </row>
    <row r="9" spans="1:6" ht="13">
      <c r="A9" s="185"/>
      <c r="B9" s="146"/>
      <c r="C9" s="292"/>
      <c r="D9" s="293"/>
      <c r="E9" s="294"/>
    </row>
    <row r="10" spans="1:6" ht="13">
      <c r="A10" s="185"/>
      <c r="B10" s="146"/>
      <c r="C10" s="292"/>
      <c r="D10" s="293"/>
      <c r="E10" s="294"/>
    </row>
    <row r="11" spans="1:6" ht="13">
      <c r="A11" s="185"/>
      <c r="B11" s="146"/>
      <c r="C11" s="292"/>
      <c r="D11" s="293"/>
      <c r="E11" s="294"/>
    </row>
    <row r="12" spans="1:6" ht="13">
      <c r="A12" s="185"/>
      <c r="B12" s="146"/>
      <c r="C12" s="292"/>
      <c r="D12" s="293"/>
      <c r="E12" s="294"/>
    </row>
    <row r="13" spans="1:6">
      <c r="A13" s="93"/>
      <c r="B13" s="94"/>
      <c r="C13" s="94"/>
      <c r="D13" s="94"/>
      <c r="E13" s="94"/>
    </row>
    <row r="14" spans="1:6">
      <c r="A14" s="185"/>
      <c r="B14" s="146"/>
      <c r="C14" s="146"/>
      <c r="D14" s="146"/>
      <c r="E14" s="146"/>
    </row>
    <row r="15" spans="1:6">
      <c r="F15" s="95"/>
    </row>
    <row r="16" spans="1:6" ht="13">
      <c r="A16" s="90"/>
      <c r="B16" s="91"/>
      <c r="C16" s="91"/>
      <c r="D16" s="91"/>
      <c r="E16" s="91"/>
    </row>
    <row r="17" spans="1:5" ht="13">
      <c r="A17" s="90"/>
      <c r="B17" s="91"/>
      <c r="C17" s="91"/>
      <c r="D17" s="91"/>
      <c r="E17" s="91"/>
    </row>
    <row r="18" spans="1:5" ht="13">
      <c r="A18" s="90"/>
      <c r="B18" s="91"/>
      <c r="C18" s="91"/>
      <c r="D18" s="91"/>
      <c r="E18" s="91"/>
    </row>
    <row r="19" spans="1:5" ht="13">
      <c r="A19" s="90"/>
      <c r="B19" s="91"/>
      <c r="C19" s="91"/>
      <c r="D19" s="91"/>
      <c r="E19" s="91"/>
    </row>
    <row r="20" spans="1:5" ht="13">
      <c r="A20" s="90"/>
      <c r="B20" s="91"/>
      <c r="C20" s="91"/>
      <c r="D20" s="91"/>
      <c r="E20" s="91"/>
    </row>
    <row r="21" spans="1:5" ht="13">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ht="13">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C28"/>
  <sheetViews>
    <sheetView topLeftCell="B16" workbookViewId="0">
      <selection activeCell="C12" sqref="C12"/>
    </sheetView>
  </sheetViews>
  <sheetFormatPr defaultColWidth="9.1796875" defaultRowHeight="14.5"/>
  <cols>
    <col min="1" max="1" width="9.1796875" style="138"/>
    <col min="2" max="2" width="28.36328125" style="138" customWidth="1"/>
    <col min="3" max="3" width="138.453125" style="138" customWidth="1"/>
    <col min="4" max="16384" width="9.1796875" style="138"/>
  </cols>
  <sheetData>
    <row r="1" spans="2:3" ht="18.5">
      <c r="B1" s="137" t="s">
        <v>125</v>
      </c>
    </row>
    <row r="3" spans="2:3">
      <c r="B3" s="139" t="s">
        <v>126</v>
      </c>
      <c r="C3" s="138" t="s">
        <v>133</v>
      </c>
    </row>
    <row r="4" spans="2:3">
      <c r="B4" s="139" t="s">
        <v>127</v>
      </c>
      <c r="C4" s="138" t="s">
        <v>134</v>
      </c>
    </row>
    <row r="5" spans="2:3">
      <c r="B5" s="139"/>
    </row>
    <row r="6" spans="2:3">
      <c r="B6" s="139" t="s">
        <v>128</v>
      </c>
      <c r="C6" s="630" t="s">
        <v>859</v>
      </c>
    </row>
    <row r="7" spans="2:3">
      <c r="B7" s="139"/>
    </row>
    <row r="8" spans="2:3">
      <c r="B8" s="140" t="s">
        <v>129</v>
      </c>
    </row>
    <row r="9" spans="2:3">
      <c r="B9" s="139"/>
    </row>
    <row r="13" spans="2:3">
      <c r="B13" s="142" t="s">
        <v>118</v>
      </c>
      <c r="C13" s="138" t="s">
        <v>130</v>
      </c>
    </row>
    <row r="14" spans="2:3">
      <c r="B14" s="142" t="s">
        <v>138</v>
      </c>
      <c r="C14" s="138" t="s">
        <v>139</v>
      </c>
    </row>
    <row r="15" spans="2:3">
      <c r="B15" s="142" t="s">
        <v>796</v>
      </c>
      <c r="C15" s="557" t="s">
        <v>970</v>
      </c>
    </row>
    <row r="16" spans="2:3">
      <c r="B16" s="142" t="s">
        <v>266</v>
      </c>
      <c r="C16" s="557" t="s">
        <v>797</v>
      </c>
    </row>
    <row r="17" spans="2:3">
      <c r="B17" s="142" t="s">
        <v>119</v>
      </c>
      <c r="C17" s="138" t="s">
        <v>140</v>
      </c>
    </row>
    <row r="18" spans="2:3">
      <c r="B18" s="142" t="s">
        <v>141</v>
      </c>
      <c r="C18" s="138" t="s">
        <v>142</v>
      </c>
    </row>
    <row r="19" spans="2:3">
      <c r="B19" s="142" t="s">
        <v>143</v>
      </c>
      <c r="C19" s="138" t="s">
        <v>145</v>
      </c>
    </row>
    <row r="20" spans="2:3">
      <c r="B20" s="142" t="s">
        <v>860</v>
      </c>
      <c r="C20" s="138" t="s">
        <v>144</v>
      </c>
    </row>
    <row r="21" spans="2:3">
      <c r="B21" s="142" t="s">
        <v>131</v>
      </c>
      <c r="C21" s="138" t="s">
        <v>132</v>
      </c>
    </row>
    <row r="22" spans="2:3">
      <c r="B22" s="560" t="s">
        <v>798</v>
      </c>
      <c r="C22" s="557" t="s">
        <v>802</v>
      </c>
    </row>
    <row r="23" spans="2:3">
      <c r="B23" s="560" t="s">
        <v>799</v>
      </c>
      <c r="C23" s="557" t="s">
        <v>801</v>
      </c>
    </row>
    <row r="24" spans="2:3">
      <c r="B24" s="559" t="s">
        <v>202</v>
      </c>
      <c r="C24" s="557" t="s">
        <v>803</v>
      </c>
    </row>
    <row r="25" spans="2:3">
      <c r="B25" s="559" t="s">
        <v>800</v>
      </c>
      <c r="C25" s="557" t="s">
        <v>971</v>
      </c>
    </row>
    <row r="26" spans="2:3">
      <c r="B26" s="558" t="s">
        <v>859</v>
      </c>
      <c r="C26" s="138" t="s">
        <v>137</v>
      </c>
    </row>
    <row r="27" spans="2:3">
      <c r="B27" s="558" t="s">
        <v>162</v>
      </c>
      <c r="C27" s="186" t="s">
        <v>163</v>
      </c>
    </row>
    <row r="28" spans="2:3">
      <c r="B28" s="558" t="s">
        <v>135</v>
      </c>
      <c r="C28" s="138" t="s">
        <v>136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6" tint="-0.249977111117893"/>
  </sheetPr>
  <dimension ref="A2:AD84"/>
  <sheetViews>
    <sheetView zoomScale="55" zoomScaleNormal="55" workbookViewId="0">
      <selection activeCell="L26" sqref="L26"/>
    </sheetView>
  </sheetViews>
  <sheetFormatPr defaultColWidth="8.81640625" defaultRowHeight="12.5"/>
  <cols>
    <col min="1" max="1" width="12.453125" customWidth="1"/>
    <col min="2" max="2" width="16.81640625" bestFit="1" customWidth="1"/>
    <col min="3" max="3" width="14.6328125" bestFit="1" customWidth="1"/>
    <col min="4" max="4" width="61.6328125" bestFit="1" customWidth="1"/>
    <col min="5" max="5" width="5.1796875" bestFit="1" customWidth="1"/>
    <col min="6" max="6" width="9.81640625" customWidth="1"/>
    <col min="7" max="7" width="10.6328125" customWidth="1"/>
    <col min="8" max="8" width="8.453125" bestFit="1" customWidth="1"/>
    <col min="9" max="9" width="7.6328125" bestFit="1" customWidth="1"/>
    <col min="10" max="10" width="6" style="10" customWidth="1"/>
    <col min="11" max="11" width="3.453125" customWidth="1"/>
    <col min="12" max="27" width="14.1796875" customWidth="1"/>
  </cols>
  <sheetData>
    <row r="2" spans="2:27" ht="18">
      <c r="B2" s="536" t="s">
        <v>757</v>
      </c>
      <c r="C2" s="536" t="s">
        <v>859</v>
      </c>
      <c r="D2" s="106" t="s">
        <v>972</v>
      </c>
    </row>
    <row r="3" spans="2:27" ht="13">
      <c r="B3" s="2"/>
    </row>
    <row r="4" spans="2:27" ht="13">
      <c r="B4" s="63" t="s">
        <v>9</v>
      </c>
      <c r="C4" s="64"/>
      <c r="D4" s="64"/>
      <c r="E4" s="64"/>
      <c r="F4" s="64"/>
      <c r="G4" s="64"/>
      <c r="H4" s="64"/>
      <c r="I4" s="64"/>
    </row>
    <row r="5" spans="2:27" ht="52">
      <c r="B5" s="65" t="s">
        <v>6</v>
      </c>
      <c r="C5" s="65" t="s">
        <v>4</v>
      </c>
      <c r="D5" s="65" t="s">
        <v>5</v>
      </c>
      <c r="E5" s="65" t="s">
        <v>7</v>
      </c>
      <c r="F5" s="65" t="s">
        <v>10</v>
      </c>
      <c r="G5" s="65" t="s">
        <v>11</v>
      </c>
      <c r="H5" s="65" t="s">
        <v>12</v>
      </c>
      <c r="I5" s="65" t="s">
        <v>13</v>
      </c>
      <c r="J5" s="503"/>
      <c r="K5" s="127"/>
      <c r="L5" s="296" t="s">
        <v>732</v>
      </c>
      <c r="M5" s="296" t="s">
        <v>733</v>
      </c>
      <c r="N5" s="296" t="s">
        <v>734</v>
      </c>
      <c r="O5" s="296" t="s">
        <v>735</v>
      </c>
      <c r="P5" s="296" t="s">
        <v>756</v>
      </c>
      <c r="Q5" s="296" t="s">
        <v>771</v>
      </c>
      <c r="R5" s="296" t="s">
        <v>774</v>
      </c>
      <c r="S5" s="127"/>
      <c r="T5" s="127"/>
      <c r="U5" s="127"/>
      <c r="V5" s="127"/>
      <c r="W5" s="127"/>
      <c r="X5" s="127"/>
      <c r="Y5" s="127"/>
      <c r="Z5" s="127"/>
      <c r="AA5" s="127"/>
    </row>
    <row r="6" spans="2:27" ht="21">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CHUDB</v>
      </c>
      <c r="D7" s="67" t="str">
        <f t="shared" ref="D7:D17" si="0">$D$2&amp;" "&amp;L7&amp;" "&amp;N7&amp;" "&amp;M7&amp;" "&amp;O7&amp;" "&amp;P7&amp;" "&amp;R7</f>
        <v>Commercial Heating Urban Detached Building  Demand</v>
      </c>
      <c r="E7" s="68" t="s">
        <v>46</v>
      </c>
      <c r="F7" s="69"/>
      <c r="G7" s="64"/>
      <c r="H7" s="64"/>
      <c r="I7" s="64"/>
      <c r="J7" s="504"/>
      <c r="K7" s="126"/>
      <c r="L7" s="126" t="s">
        <v>728</v>
      </c>
      <c r="M7" s="127" t="s">
        <v>102</v>
      </c>
      <c r="N7" s="127" t="s">
        <v>704</v>
      </c>
      <c r="O7" s="127" t="s">
        <v>733</v>
      </c>
      <c r="P7" s="126"/>
      <c r="Q7" s="126"/>
      <c r="R7" s="126" t="s">
        <v>775</v>
      </c>
      <c r="S7" s="126"/>
      <c r="T7" s="126"/>
      <c r="U7" s="126"/>
      <c r="V7" s="126"/>
      <c r="W7" s="126"/>
      <c r="X7" s="126"/>
      <c r="Y7" s="126"/>
      <c r="Z7" s="126"/>
      <c r="AA7" s="126"/>
    </row>
    <row r="8" spans="2:27">
      <c r="B8" s="64"/>
      <c r="C8" s="152" t="str">
        <f t="shared" ref="C8:C17" si="1">LEFT($C$2,1)&amp;LEFT(L8,1)&amp;LEFT(N8,1)&amp;LEFT(M8,1)&amp;LEFT(O8,1)&amp;LEFT(P8,1)&amp;Q8</f>
        <v>CHRDB</v>
      </c>
      <c r="D8" s="67" t="str">
        <f t="shared" si="0"/>
        <v>Commercial Heating Rural Detached Building  Demand</v>
      </c>
      <c r="E8" s="68" t="s">
        <v>46</v>
      </c>
      <c r="F8" s="69"/>
      <c r="G8" s="64"/>
      <c r="H8" s="64"/>
      <c r="I8" s="64"/>
      <c r="J8" s="504"/>
      <c r="K8" s="126"/>
      <c r="L8" s="126" t="s">
        <v>728</v>
      </c>
      <c r="M8" s="127" t="s">
        <v>102</v>
      </c>
      <c r="N8" s="127" t="s">
        <v>705</v>
      </c>
      <c r="O8" s="127" t="s">
        <v>733</v>
      </c>
      <c r="P8" s="126"/>
      <c r="Q8" s="126"/>
      <c r="R8" s="126" t="s">
        <v>775</v>
      </c>
      <c r="S8" s="126"/>
      <c r="T8" s="126"/>
      <c r="U8" s="126"/>
      <c r="V8" s="126"/>
      <c r="W8" s="126"/>
      <c r="X8" s="126"/>
      <c r="Y8" s="126"/>
      <c r="Z8" s="126"/>
      <c r="AA8" s="126"/>
    </row>
    <row r="9" spans="2:27">
      <c r="B9" s="64"/>
      <c r="C9" s="152" t="str">
        <f t="shared" si="1"/>
        <v>CHUMB</v>
      </c>
      <c r="D9" s="67" t="str">
        <f t="shared" si="0"/>
        <v>Commercial Heating Urban Multi Building  Demand</v>
      </c>
      <c r="E9" s="68" t="s">
        <v>46</v>
      </c>
      <c r="F9" s="69"/>
      <c r="G9" s="64"/>
      <c r="H9" s="64"/>
      <c r="I9" s="64"/>
      <c r="J9" s="504"/>
      <c r="K9" s="126"/>
      <c r="L9" s="126" t="s">
        <v>728</v>
      </c>
      <c r="M9" s="127" t="s">
        <v>710</v>
      </c>
      <c r="N9" s="127" t="s">
        <v>704</v>
      </c>
      <c r="O9" s="127" t="s">
        <v>733</v>
      </c>
      <c r="P9" s="126"/>
      <c r="Q9" s="126"/>
      <c r="R9" s="126" t="s">
        <v>775</v>
      </c>
      <c r="S9" s="126"/>
      <c r="T9" s="126"/>
      <c r="U9" s="126"/>
      <c r="V9" s="126"/>
      <c r="W9" s="126"/>
      <c r="X9" s="126"/>
      <c r="Y9" s="126"/>
      <c r="Z9" s="126"/>
      <c r="AA9" s="126"/>
    </row>
    <row r="10" spans="2:27">
      <c r="B10" s="488"/>
      <c r="C10" s="489" t="str">
        <f t="shared" si="1"/>
        <v>CHRMB</v>
      </c>
      <c r="D10" s="490" t="str">
        <f t="shared" si="0"/>
        <v>Commercial Heating Rural Multi Building  Demand</v>
      </c>
      <c r="E10" s="485" t="s">
        <v>46</v>
      </c>
      <c r="F10" s="482"/>
      <c r="G10" s="488"/>
      <c r="H10" s="488"/>
      <c r="I10" s="488"/>
      <c r="J10" s="505"/>
      <c r="K10" s="127"/>
      <c r="L10" s="126" t="s">
        <v>728</v>
      </c>
      <c r="M10" s="127" t="s">
        <v>710</v>
      </c>
      <c r="N10" s="127" t="s">
        <v>705</v>
      </c>
      <c r="O10" s="127" t="s">
        <v>733</v>
      </c>
      <c r="P10" s="127"/>
      <c r="Q10" s="127"/>
      <c r="R10" s="126" t="s">
        <v>775</v>
      </c>
      <c r="S10" s="127"/>
      <c r="T10" s="127"/>
      <c r="U10" s="127"/>
      <c r="V10" s="127"/>
      <c r="W10" s="127"/>
      <c r="X10" s="127"/>
      <c r="Y10" s="127"/>
      <c r="Z10" s="127"/>
      <c r="AA10" s="127"/>
    </row>
    <row r="11" spans="2:27">
      <c r="B11" s="77"/>
      <c r="C11" s="152" t="str">
        <f t="shared" si="1"/>
        <v>CCUDB</v>
      </c>
      <c r="D11" s="67" t="str">
        <f t="shared" si="0"/>
        <v>Commercial Cooling Urban Detached Building  Demand</v>
      </c>
      <c r="E11" s="68" t="s">
        <v>46</v>
      </c>
      <c r="F11" s="78"/>
      <c r="G11" s="77"/>
      <c r="H11" s="77"/>
      <c r="I11" s="77"/>
      <c r="J11" s="506"/>
      <c r="K11" s="127"/>
      <c r="L11" s="127" t="s">
        <v>266</v>
      </c>
      <c r="M11" s="127" t="s">
        <v>102</v>
      </c>
      <c r="N11" s="127" t="s">
        <v>704</v>
      </c>
      <c r="O11" s="127" t="s">
        <v>733</v>
      </c>
      <c r="P11" s="127"/>
      <c r="Q11" s="127"/>
      <c r="R11" s="126" t="s">
        <v>775</v>
      </c>
      <c r="S11" s="127"/>
      <c r="T11" s="127"/>
      <c r="U11" s="127"/>
      <c r="V11" s="127"/>
      <c r="W11" s="127"/>
      <c r="X11" s="127"/>
      <c r="Y11" s="127"/>
      <c r="Z11" s="127"/>
      <c r="AA11" s="127"/>
    </row>
    <row r="12" spans="2:27">
      <c r="B12" s="77"/>
      <c r="C12" s="152" t="str">
        <f t="shared" si="1"/>
        <v>CCRDB</v>
      </c>
      <c r="D12" s="67" t="str">
        <f t="shared" si="0"/>
        <v>Commercial Cooling Rural Detached Building  Demand</v>
      </c>
      <c r="E12" s="68" t="s">
        <v>46</v>
      </c>
      <c r="F12" s="78"/>
      <c r="G12" s="77"/>
      <c r="H12" s="77"/>
      <c r="I12" s="77"/>
      <c r="J12" s="506"/>
      <c r="K12" s="127"/>
      <c r="L12" s="127" t="s">
        <v>266</v>
      </c>
      <c r="M12" s="127" t="s">
        <v>102</v>
      </c>
      <c r="N12" s="127" t="s">
        <v>705</v>
      </c>
      <c r="O12" s="127" t="s">
        <v>733</v>
      </c>
      <c r="P12" s="127"/>
      <c r="Q12" s="127"/>
      <c r="R12" s="126" t="s">
        <v>775</v>
      </c>
      <c r="S12" s="127"/>
      <c r="T12" s="127"/>
      <c r="U12" s="127"/>
      <c r="V12" s="127"/>
      <c r="W12" s="127"/>
      <c r="X12" s="127"/>
      <c r="Y12" s="127"/>
      <c r="Z12" s="127"/>
      <c r="AA12" s="127"/>
    </row>
    <row r="13" spans="2:27">
      <c r="B13" s="77"/>
      <c r="C13" s="152" t="str">
        <f t="shared" si="1"/>
        <v>CCUMB</v>
      </c>
      <c r="D13" s="67" t="str">
        <f t="shared" si="0"/>
        <v>Commercial Cooling Urban Multi Building  Demand</v>
      </c>
      <c r="E13" s="68" t="s">
        <v>46</v>
      </c>
      <c r="F13" s="78"/>
      <c r="G13" s="77"/>
      <c r="H13" s="77"/>
      <c r="I13" s="77"/>
      <c r="J13" s="506"/>
      <c r="K13" s="127"/>
      <c r="L13" s="127" t="s">
        <v>266</v>
      </c>
      <c r="M13" s="127" t="s">
        <v>710</v>
      </c>
      <c r="N13" s="127" t="s">
        <v>704</v>
      </c>
      <c r="O13" s="127" t="s">
        <v>733</v>
      </c>
      <c r="P13" s="127"/>
      <c r="Q13" s="127"/>
      <c r="R13" s="126" t="s">
        <v>775</v>
      </c>
      <c r="S13" s="127"/>
      <c r="T13" s="127"/>
      <c r="U13" s="127"/>
      <c r="V13" s="127"/>
      <c r="W13" s="127"/>
      <c r="X13" s="127"/>
      <c r="Y13" s="127"/>
      <c r="Z13" s="127"/>
      <c r="AA13" s="127"/>
    </row>
    <row r="14" spans="2:27">
      <c r="B14" s="488"/>
      <c r="C14" s="489" t="str">
        <f t="shared" si="1"/>
        <v>CCRMB</v>
      </c>
      <c r="D14" s="490" t="str">
        <f t="shared" si="0"/>
        <v>Commercial Cooling Rural Multi Building  Demand</v>
      </c>
      <c r="E14" s="485" t="s">
        <v>46</v>
      </c>
      <c r="F14" s="482"/>
      <c r="G14" s="488"/>
      <c r="H14" s="488"/>
      <c r="I14" s="488"/>
      <c r="J14" s="505"/>
      <c r="K14" s="127"/>
      <c r="L14" s="127" t="s">
        <v>266</v>
      </c>
      <c r="M14" s="127" t="s">
        <v>710</v>
      </c>
      <c r="N14" s="127" t="s">
        <v>705</v>
      </c>
      <c r="O14" s="127" t="s">
        <v>733</v>
      </c>
      <c r="P14" s="127"/>
      <c r="Q14" s="127"/>
      <c r="R14" s="126" t="s">
        <v>775</v>
      </c>
      <c r="S14" s="127"/>
      <c r="T14" s="127"/>
      <c r="U14" s="127"/>
      <c r="V14" s="127"/>
      <c r="W14" s="127"/>
      <c r="X14" s="127"/>
      <c r="Y14" s="127"/>
      <c r="Z14" s="127"/>
      <c r="AA14" s="127"/>
    </row>
    <row r="15" spans="2:27">
      <c r="B15" s="77"/>
      <c r="C15" s="152" t="str">
        <f t="shared" si="1"/>
        <v>CWDEM</v>
      </c>
      <c r="D15" s="539" t="str">
        <f t="shared" si="0"/>
        <v>Commercial Water Hot     Demand</v>
      </c>
      <c r="E15" s="133" t="s">
        <v>44</v>
      </c>
      <c r="F15" s="78"/>
      <c r="G15" s="77"/>
      <c r="H15" s="77"/>
      <c r="I15" s="77"/>
      <c r="J15" s="506"/>
      <c r="K15" s="127"/>
      <c r="L15" s="127" t="s">
        <v>776</v>
      </c>
      <c r="M15" s="127"/>
      <c r="N15" s="127"/>
      <c r="P15" s="127"/>
      <c r="Q15" s="127" t="s">
        <v>17</v>
      </c>
      <c r="R15" s="126" t="s">
        <v>775</v>
      </c>
      <c r="S15" s="127"/>
      <c r="T15" s="127"/>
      <c r="U15" s="127"/>
      <c r="V15" s="127"/>
      <c r="W15" s="127"/>
      <c r="X15" s="127"/>
      <c r="Y15" s="127"/>
      <c r="Z15" s="127"/>
      <c r="AA15" s="127"/>
    </row>
    <row r="16" spans="2:27">
      <c r="B16" s="77"/>
      <c r="C16" s="152" t="str">
        <f t="shared" si="1"/>
        <v>CADEM</v>
      </c>
      <c r="D16" s="539" t="str">
        <f t="shared" si="0"/>
        <v>Commercial Appliances     Demand</v>
      </c>
      <c r="E16" s="133" t="s">
        <v>44</v>
      </c>
      <c r="F16" s="78"/>
      <c r="G16" s="77"/>
      <c r="H16" s="77"/>
      <c r="I16" s="77"/>
      <c r="J16" s="506"/>
      <c r="K16" s="127"/>
      <c r="L16" s="127" t="s">
        <v>265</v>
      </c>
      <c r="M16" s="127"/>
      <c r="N16" s="127"/>
      <c r="P16" s="127"/>
      <c r="Q16" s="127" t="s">
        <v>17</v>
      </c>
      <c r="R16" s="126" t="s">
        <v>775</v>
      </c>
      <c r="S16" s="127"/>
      <c r="T16" s="127"/>
      <c r="U16" s="127"/>
      <c r="V16" s="127"/>
      <c r="W16" s="127"/>
      <c r="X16" s="127"/>
      <c r="Y16" s="127"/>
      <c r="Z16" s="127"/>
      <c r="AA16" s="127"/>
    </row>
    <row r="17" spans="2:27">
      <c r="B17" s="488"/>
      <c r="C17" s="489" t="str">
        <f t="shared" si="1"/>
        <v>CFDEM</v>
      </c>
      <c r="D17" s="490" t="str">
        <f t="shared" si="0"/>
        <v>Commercial Food (cooking)     Demand</v>
      </c>
      <c r="E17" s="483" t="s">
        <v>44</v>
      </c>
      <c r="F17" s="482"/>
      <c r="G17" s="488"/>
      <c r="H17" s="488"/>
      <c r="I17" s="488"/>
      <c r="J17" s="505"/>
      <c r="K17" s="127"/>
      <c r="L17" s="127" t="s">
        <v>777</v>
      </c>
      <c r="M17" s="127"/>
      <c r="N17" s="127"/>
      <c r="P17" s="127"/>
      <c r="Q17" s="127" t="s">
        <v>17</v>
      </c>
      <c r="R17" s="126" t="s">
        <v>775</v>
      </c>
      <c r="S17" s="127"/>
      <c r="T17" s="127"/>
      <c r="U17" s="127"/>
      <c r="V17" s="127"/>
      <c r="W17" s="127"/>
      <c r="X17" s="127"/>
      <c r="Y17" s="127"/>
      <c r="Z17" s="127"/>
      <c r="AA17" s="127"/>
    </row>
    <row r="18" spans="2:27" ht="15" customHeight="1">
      <c r="B18" s="76" t="s">
        <v>47</v>
      </c>
      <c r="C18" s="152" t="str">
        <f>$C$2&amp;LEFT(L18,1)&amp;LEFT(N18,1)&amp;LEFT(M18,1)&amp;LEFT(O18,1)&amp;LEFT(P18,1)&amp;Q18</f>
        <v>COMNGA</v>
      </c>
      <c r="D18" s="78" t="str">
        <f t="shared" ref="D18:D82" si="2">$D$2&amp;" "&amp;L18&amp;" "&amp;N18&amp;" "&amp;M18&amp;" "&amp;O18&amp;" "&amp;P18&amp;" "&amp;R18</f>
        <v>Commercial      Natural Gas</v>
      </c>
      <c r="E18" s="68" t="s">
        <v>44</v>
      </c>
      <c r="F18" s="77"/>
      <c r="G18" s="77"/>
      <c r="H18" s="77"/>
      <c r="I18" s="77"/>
      <c r="J18" s="507"/>
      <c r="K18" s="3"/>
      <c r="M18" s="3"/>
      <c r="N18" s="3"/>
      <c r="O18" s="3"/>
      <c r="P18" s="3"/>
      <c r="Q18" s="127" t="s">
        <v>758</v>
      </c>
      <c r="R18" s="127" t="s">
        <v>778</v>
      </c>
      <c r="S18" s="3"/>
      <c r="T18" s="3"/>
      <c r="U18" s="3"/>
      <c r="V18" s="3"/>
      <c r="W18" s="3"/>
      <c r="X18" s="3"/>
      <c r="Y18" s="3"/>
      <c r="Z18" s="3"/>
      <c r="AA18" s="3"/>
    </row>
    <row r="19" spans="2:27" s="601" customFormat="1" ht="15" customHeight="1">
      <c r="B19" s="599"/>
      <c r="C19" s="642" t="str">
        <f>$C$2&amp;LEFT(L19,1)&amp;LEFT(N19,1)&amp;LEFT(M19,1)&amp;LEFT(O19,1)&amp;LEFT(P19,1)&amp;Q19</f>
        <v>COMBGA</v>
      </c>
      <c r="D19" s="608" t="str">
        <f>$D$2&amp;" "&amp;L19&amp;" "&amp;N19&amp;" "&amp;M19&amp;" "&amp;O19&amp;" "&amp;P19&amp;" "&amp;R19</f>
        <v>Commercial      Biogas</v>
      </c>
      <c r="E19" s="599" t="s">
        <v>44</v>
      </c>
      <c r="F19" s="608"/>
      <c r="G19" s="608"/>
      <c r="H19" s="608"/>
      <c r="I19" s="608"/>
      <c r="J19" s="643"/>
      <c r="K19" s="602"/>
      <c r="M19" s="602"/>
      <c r="N19" s="602"/>
      <c r="O19" s="602"/>
      <c r="P19" s="602"/>
      <c r="Q19" s="611" t="s">
        <v>844</v>
      </c>
      <c r="R19" s="611" t="s">
        <v>845</v>
      </c>
      <c r="S19" s="602"/>
      <c r="T19" s="602"/>
      <c r="U19" s="602"/>
      <c r="V19" s="602"/>
      <c r="W19" s="602"/>
      <c r="X19" s="602"/>
      <c r="Y19" s="602"/>
      <c r="Z19" s="602"/>
      <c r="AA19" s="602"/>
    </row>
    <row r="20" spans="2:27" ht="15" customHeight="1">
      <c r="B20" s="76"/>
      <c r="C20" s="152" t="str">
        <f t="shared" ref="C20:C38" si="3">$C$2&amp;LEFT(L20,1)&amp;LEFT(N20,1)&amp;LEFT(M20,1)&amp;LEFT(O20,1)&amp;LEFT(P20,1)&amp;Q20</f>
        <v>COMLPG</v>
      </c>
      <c r="D20" s="133" t="str">
        <f t="shared" si="2"/>
        <v>Commercial      LPG</v>
      </c>
      <c r="E20" s="133" t="s">
        <v>44</v>
      </c>
      <c r="F20" s="77"/>
      <c r="G20" s="77"/>
      <c r="H20" s="77"/>
      <c r="I20" s="77"/>
      <c r="J20" s="507"/>
      <c r="K20" s="3"/>
      <c r="M20" s="3"/>
      <c r="N20" s="3"/>
      <c r="O20" s="3"/>
      <c r="P20" s="3"/>
      <c r="Q20" s="127" t="s">
        <v>759</v>
      </c>
      <c r="R20" s="127" t="s">
        <v>759</v>
      </c>
      <c r="S20" s="3"/>
      <c r="T20" s="3"/>
      <c r="U20" s="3"/>
      <c r="V20" s="3"/>
      <c r="W20" s="3"/>
      <c r="X20" s="3"/>
      <c r="Y20" s="3"/>
      <c r="Z20" s="3"/>
      <c r="AA20" s="3"/>
    </row>
    <row r="21" spans="2:27" ht="15" customHeight="1">
      <c r="B21" s="77"/>
      <c r="C21" s="152" t="str">
        <f t="shared" si="3"/>
        <v>COMDSL</v>
      </c>
      <c r="D21" s="133" t="str">
        <f t="shared" si="2"/>
        <v>Commercial      Diesel</v>
      </c>
      <c r="E21" s="68" t="s">
        <v>44</v>
      </c>
      <c r="F21" s="77"/>
      <c r="G21" s="77"/>
      <c r="H21" s="77"/>
      <c r="I21" s="77"/>
      <c r="J21" s="507"/>
      <c r="K21" s="3"/>
      <c r="M21" s="3"/>
      <c r="N21" s="3"/>
      <c r="O21" s="3"/>
      <c r="P21" s="3"/>
      <c r="Q21" s="127" t="s">
        <v>760</v>
      </c>
      <c r="R21" s="127" t="s">
        <v>109</v>
      </c>
      <c r="S21" s="3"/>
      <c r="T21" s="3"/>
      <c r="U21" s="3"/>
      <c r="V21" s="3"/>
      <c r="W21" s="3"/>
      <c r="X21" s="3"/>
      <c r="Y21" s="3"/>
      <c r="Z21" s="3"/>
      <c r="AA21" s="3"/>
    </row>
    <row r="22" spans="2:27" ht="15" customHeight="1">
      <c r="B22" s="77"/>
      <c r="C22" s="152" t="str">
        <f t="shared" si="3"/>
        <v>COMGSL</v>
      </c>
      <c r="D22" s="133" t="str">
        <f t="shared" si="2"/>
        <v>Commercial      Gasoline</v>
      </c>
      <c r="E22" s="68" t="s">
        <v>44</v>
      </c>
      <c r="F22" s="77"/>
      <c r="G22" s="77"/>
      <c r="H22" s="77"/>
      <c r="I22" s="77"/>
      <c r="J22" s="507"/>
      <c r="K22" s="3"/>
      <c r="M22" s="3"/>
      <c r="N22" s="3"/>
      <c r="O22" s="3"/>
      <c r="P22" s="3"/>
      <c r="Q22" s="127" t="s">
        <v>761</v>
      </c>
      <c r="R22" s="127" t="s">
        <v>779</v>
      </c>
      <c r="S22" s="3"/>
      <c r="T22" s="3"/>
      <c r="U22" s="3"/>
      <c r="V22" s="3"/>
      <c r="W22" s="3"/>
      <c r="X22" s="3"/>
      <c r="Y22" s="3"/>
      <c r="Z22" s="3"/>
      <c r="AA22" s="3"/>
    </row>
    <row r="23" spans="2:27" ht="15" customHeight="1">
      <c r="B23" s="77"/>
      <c r="C23" s="152" t="str">
        <f t="shared" si="3"/>
        <v>COMWPE</v>
      </c>
      <c r="D23" s="68" t="str">
        <f t="shared" si="2"/>
        <v>Commercial      Wood pellets</v>
      </c>
      <c r="E23" s="68" t="s">
        <v>44</v>
      </c>
      <c r="F23" s="77"/>
      <c r="G23" s="77"/>
      <c r="H23" s="77"/>
      <c r="I23" s="77"/>
      <c r="J23" s="507"/>
      <c r="K23" s="3"/>
      <c r="M23" s="3"/>
      <c r="N23" s="3"/>
      <c r="O23" s="3"/>
      <c r="P23" s="3"/>
      <c r="Q23" s="127" t="s">
        <v>762</v>
      </c>
      <c r="R23" s="127" t="s">
        <v>780</v>
      </c>
      <c r="S23" s="3"/>
      <c r="T23" s="3"/>
      <c r="U23" s="3"/>
      <c r="V23" s="3"/>
      <c r="W23" s="3"/>
      <c r="X23" s="3"/>
      <c r="Y23" s="3"/>
      <c r="Z23" s="3"/>
      <c r="AA23" s="3"/>
    </row>
    <row r="24" spans="2:27" ht="15" customHeight="1">
      <c r="B24" s="77"/>
      <c r="C24" s="152" t="str">
        <f t="shared" si="3"/>
        <v>COMFIW</v>
      </c>
      <c r="D24" s="133" t="str">
        <f t="shared" si="2"/>
        <v>Commercial      Fire wood</v>
      </c>
      <c r="E24" s="68" t="s">
        <v>44</v>
      </c>
      <c r="F24" s="77"/>
      <c r="G24" s="77"/>
      <c r="H24" s="77"/>
      <c r="I24" s="77"/>
      <c r="J24" s="506"/>
      <c r="K24" s="127"/>
      <c r="M24" s="127"/>
      <c r="N24" s="127"/>
      <c r="O24" s="127"/>
      <c r="P24" s="127"/>
      <c r="Q24" s="127" t="s">
        <v>763</v>
      </c>
      <c r="R24" s="127" t="s">
        <v>781</v>
      </c>
      <c r="S24" s="127"/>
      <c r="T24" s="127"/>
      <c r="U24" s="127"/>
      <c r="V24" s="127"/>
      <c r="W24" s="127"/>
      <c r="X24" s="127"/>
      <c r="Y24" s="127"/>
      <c r="Z24" s="127"/>
      <c r="AA24" s="127"/>
    </row>
    <row r="25" spans="2:27" ht="15" customHeight="1">
      <c r="B25" s="77"/>
      <c r="C25" s="152" t="str">
        <f t="shared" si="3"/>
        <v>COMCOA</v>
      </c>
      <c r="D25" s="78" t="str">
        <f t="shared" si="2"/>
        <v>Commercial      Coal</v>
      </c>
      <c r="E25" s="68" t="s">
        <v>44</v>
      </c>
      <c r="F25" s="77"/>
      <c r="G25" s="77"/>
      <c r="H25" s="77"/>
      <c r="I25" s="77"/>
      <c r="J25" s="507"/>
      <c r="K25" s="3"/>
      <c r="M25" s="3"/>
      <c r="N25" s="3"/>
      <c r="O25" s="3"/>
      <c r="P25" s="3"/>
      <c r="Q25" s="127" t="s">
        <v>847</v>
      </c>
      <c r="R25" s="127" t="s">
        <v>848</v>
      </c>
      <c r="S25" s="3"/>
      <c r="T25" s="3"/>
      <c r="U25" s="3"/>
      <c r="V25" s="3"/>
      <c r="W25" s="3"/>
      <c r="X25" s="3"/>
      <c r="Y25" s="3"/>
      <c r="Z25" s="3"/>
      <c r="AA25" s="3"/>
    </row>
    <row r="26" spans="2:27" ht="15" customHeight="1">
      <c r="B26" s="77"/>
      <c r="C26" s="152" t="str">
        <f t="shared" si="3"/>
        <v>COMH2</v>
      </c>
      <c r="D26" s="78" t="str">
        <f t="shared" si="2"/>
        <v>Commercial      Hydrogen</v>
      </c>
      <c r="E26" s="135" t="s">
        <v>44</v>
      </c>
      <c r="F26" s="77"/>
      <c r="G26" s="77"/>
      <c r="H26" s="77"/>
      <c r="I26" s="77"/>
      <c r="J26" s="508"/>
      <c r="K26" s="1"/>
      <c r="M26" s="1"/>
      <c r="N26" s="1"/>
      <c r="O26" s="1"/>
      <c r="P26" s="1"/>
      <c r="Q26" s="127" t="s">
        <v>166</v>
      </c>
      <c r="R26" s="127" t="s">
        <v>782</v>
      </c>
      <c r="S26" s="1"/>
      <c r="T26" s="1"/>
      <c r="U26" s="1"/>
      <c r="V26" s="1"/>
      <c r="W26" s="1"/>
      <c r="X26" s="1"/>
      <c r="Y26" s="1"/>
      <c r="Z26" s="1"/>
      <c r="AA26" s="1"/>
    </row>
    <row r="27" spans="2:27" ht="15" customHeight="1">
      <c r="B27" s="77"/>
      <c r="C27" s="152" t="str">
        <f t="shared" si="3"/>
        <v>COMSOL</v>
      </c>
      <c r="D27" s="78" t="str">
        <f t="shared" si="2"/>
        <v>Commercial      Solar</v>
      </c>
      <c r="E27" s="68" t="s">
        <v>44</v>
      </c>
      <c r="F27" s="77"/>
      <c r="G27" s="77"/>
      <c r="H27" s="77"/>
      <c r="I27" s="77"/>
      <c r="J27" s="507"/>
      <c r="K27" s="3"/>
      <c r="M27" s="3"/>
      <c r="N27" s="3"/>
      <c r="O27" s="3"/>
      <c r="P27" s="3"/>
      <c r="Q27" s="127" t="s">
        <v>764</v>
      </c>
      <c r="R27" s="127" t="s">
        <v>783</v>
      </c>
      <c r="S27" s="3"/>
      <c r="T27" s="3"/>
      <c r="U27" s="3"/>
      <c r="V27" s="3"/>
      <c r="W27" s="3"/>
      <c r="X27" s="3"/>
      <c r="Y27" s="3"/>
      <c r="Z27" s="3"/>
      <c r="AA27" s="3"/>
    </row>
    <row r="28" spans="2:27" s="601" customFormat="1" ht="15" customHeight="1">
      <c r="B28" s="608"/>
      <c r="C28" s="642" t="str">
        <f t="shared" ref="C28" si="4">$C$2&amp;LEFT(L28,1)&amp;LEFT(N28,1)&amp;LEFT(M28,1)&amp;LEFT(O28,1)&amp;LEFT(P28,1)&amp;Q28</f>
        <v>COMGEO</v>
      </c>
      <c r="D28" s="608" t="str">
        <f t="shared" ref="D28" si="5">$D$2&amp;" "&amp;L28&amp;" "&amp;N28&amp;" "&amp;M28&amp;" "&amp;O28&amp;" "&amp;P28&amp;" "&amp;R28</f>
        <v>Commercial      Geothermal</v>
      </c>
      <c r="E28" s="599" t="s">
        <v>44</v>
      </c>
      <c r="F28" s="608"/>
      <c r="G28" s="608"/>
      <c r="H28" s="608"/>
      <c r="I28" s="608"/>
      <c r="J28" s="643"/>
      <c r="K28" s="602"/>
      <c r="M28" s="602"/>
      <c r="N28" s="602"/>
      <c r="O28" s="602"/>
      <c r="P28" s="602"/>
      <c r="Q28" s="611" t="s">
        <v>966</v>
      </c>
      <c r="R28" s="611" t="s">
        <v>891</v>
      </c>
      <c r="S28" s="602"/>
      <c r="T28" s="602"/>
      <c r="U28" s="602"/>
      <c r="V28" s="602"/>
      <c r="W28" s="602"/>
      <c r="X28" s="602"/>
      <c r="Y28" s="602"/>
      <c r="Z28" s="602"/>
      <c r="AA28" s="602"/>
    </row>
    <row r="29" spans="2:27" ht="15" customHeight="1">
      <c r="B29" s="77"/>
      <c r="C29" s="152" t="str">
        <f t="shared" si="3"/>
        <v>COMELCH</v>
      </c>
      <c r="D29" s="135" t="str">
        <f t="shared" si="2"/>
        <v>Commercial      Electricity Heating</v>
      </c>
      <c r="E29" s="68" t="s">
        <v>44</v>
      </c>
      <c r="F29" s="77"/>
      <c r="G29" s="77" t="s">
        <v>98</v>
      </c>
      <c r="H29" s="77"/>
      <c r="I29" s="77" t="s">
        <v>99</v>
      </c>
      <c r="J29" s="507"/>
      <c r="K29" s="3"/>
      <c r="M29" s="3"/>
      <c r="N29" s="3"/>
      <c r="O29" s="3"/>
      <c r="P29" s="3"/>
      <c r="Q29" s="127" t="s">
        <v>765</v>
      </c>
      <c r="R29" s="127" t="s">
        <v>784</v>
      </c>
      <c r="S29" s="3"/>
      <c r="T29" s="3"/>
      <c r="U29" s="3"/>
      <c r="V29" s="3"/>
      <c r="W29" s="3"/>
      <c r="X29" s="3"/>
      <c r="Y29" s="3"/>
      <c r="Z29" s="3"/>
      <c r="AA29" s="3"/>
    </row>
    <row r="30" spans="2:27" ht="15" customHeight="1">
      <c r="B30" s="77"/>
      <c r="C30" s="152" t="str">
        <f t="shared" si="3"/>
        <v>COMELCC</v>
      </c>
      <c r="D30" s="135" t="str">
        <f t="shared" si="2"/>
        <v>Commercial      Electricity Cooling</v>
      </c>
      <c r="E30" s="68" t="s">
        <v>44</v>
      </c>
      <c r="F30" s="77"/>
      <c r="G30" s="77" t="s">
        <v>98</v>
      </c>
      <c r="H30" s="77"/>
      <c r="I30" s="77" t="s">
        <v>99</v>
      </c>
      <c r="J30" s="507"/>
      <c r="K30" s="3"/>
      <c r="M30" s="3"/>
      <c r="N30" s="3"/>
      <c r="O30" s="3"/>
      <c r="P30" s="3"/>
      <c r="Q30" s="127" t="s">
        <v>95</v>
      </c>
      <c r="R30" s="127" t="s">
        <v>785</v>
      </c>
      <c r="S30" s="3"/>
      <c r="T30" s="3"/>
      <c r="U30" s="3"/>
      <c r="V30" s="3"/>
      <c r="W30" s="3"/>
      <c r="X30" s="3"/>
      <c r="Y30" s="3"/>
      <c r="Z30" s="3"/>
      <c r="AA30" s="3"/>
    </row>
    <row r="31" spans="2:27" ht="15" customHeight="1">
      <c r="B31" s="77"/>
      <c r="C31" s="152" t="str">
        <f>$C$2&amp;LEFT(L31,1)&amp;LEFT(N31,1)&amp;LEFT(M31,1)&amp;LEFT(O31,1)&amp;LEFT(P31,1)&amp;Q31</f>
        <v>COMELCA</v>
      </c>
      <c r="D31" s="135" t="str">
        <f>$D$2&amp;" "&amp;L31&amp;" "&amp;N31&amp;" "&amp;M31&amp;" "&amp;O31&amp;" "&amp;P31&amp;" "&amp;R31</f>
        <v>Commercial      Electricity Appliances</v>
      </c>
      <c r="E31" s="68" t="s">
        <v>44</v>
      </c>
      <c r="F31" s="77"/>
      <c r="G31" s="77" t="s">
        <v>98</v>
      </c>
      <c r="H31" s="77"/>
      <c r="I31" s="77" t="s">
        <v>99</v>
      </c>
      <c r="J31" s="507"/>
      <c r="K31" s="3"/>
      <c r="M31" s="3"/>
      <c r="N31" s="3"/>
      <c r="O31" s="3"/>
      <c r="P31" s="3"/>
      <c r="Q31" s="127" t="s">
        <v>766</v>
      </c>
      <c r="R31" s="127" t="s">
        <v>786</v>
      </c>
      <c r="S31" s="3"/>
      <c r="T31" s="3"/>
      <c r="U31" s="3"/>
      <c r="V31" s="3"/>
      <c r="W31" s="3"/>
      <c r="X31" s="3"/>
      <c r="Y31" s="3"/>
      <c r="Z31" s="3"/>
      <c r="AA31" s="3"/>
    </row>
    <row r="32" spans="2:27" ht="15" customHeight="1">
      <c r="B32" s="77"/>
      <c r="C32" s="152" t="str">
        <f>$C$2&amp;LEFT(L32,1)&amp;LEFT(N32,1)&amp;LEFT(M32,1)&amp;LEFT(O32,1)&amp;LEFT(P32,1)&amp;Q32</f>
        <v>COMELCO</v>
      </c>
      <c r="D32" s="135" t="str">
        <f>$D$2&amp;" "&amp;L32&amp;" "&amp;N32&amp;" "&amp;M32&amp;" "&amp;O32&amp;" "&amp;P32&amp;" "&amp;R32</f>
        <v>Commercial      Electricity Cooking</v>
      </c>
      <c r="E32" s="68" t="s">
        <v>44</v>
      </c>
      <c r="F32" s="77"/>
      <c r="G32" s="77" t="s">
        <v>98</v>
      </c>
      <c r="H32" s="77"/>
      <c r="I32" s="77" t="s">
        <v>99</v>
      </c>
      <c r="J32" s="507"/>
      <c r="K32" s="3"/>
      <c r="M32" s="3"/>
      <c r="N32" s="3"/>
      <c r="O32" s="3"/>
      <c r="P32" s="3"/>
      <c r="Q32" s="127" t="s">
        <v>850</v>
      </c>
      <c r="R32" s="127" t="s">
        <v>851</v>
      </c>
      <c r="S32" s="3"/>
      <c r="T32" s="3"/>
      <c r="U32" s="3"/>
      <c r="V32" s="3"/>
      <c r="W32" s="3"/>
      <c r="X32" s="3"/>
      <c r="Y32" s="3"/>
      <c r="Z32" s="3"/>
      <c r="AA32" s="3"/>
    </row>
    <row r="33" spans="1:30" ht="15" customHeight="1">
      <c r="B33" s="77"/>
      <c r="C33" s="152" t="str">
        <f>$C$2&amp;LEFT(L33,1)&amp;LEFT(N33,1)&amp;LEFT(M33,1)&amp;LEFT(O33,1)&amp;LEFT(P33,1)&amp;Q33</f>
        <v>COMELCW</v>
      </c>
      <c r="D33" s="135" t="str">
        <f>$D$2&amp;" "&amp;L33&amp;" "&amp;N33&amp;" "&amp;M33&amp;" "&amp;O33&amp;" "&amp;P33&amp;" "&amp;R33</f>
        <v>Commercial      Electricity Water Heating</v>
      </c>
      <c r="E33" s="68" t="s">
        <v>44</v>
      </c>
      <c r="F33" s="77"/>
      <c r="G33" s="77" t="s">
        <v>98</v>
      </c>
      <c r="H33" s="77"/>
      <c r="I33" s="77" t="s">
        <v>99</v>
      </c>
      <c r="J33" s="507"/>
      <c r="K33" s="3"/>
      <c r="M33" s="3"/>
      <c r="N33" s="3"/>
      <c r="O33" s="3"/>
      <c r="P33" s="3"/>
      <c r="Q33" s="127" t="s">
        <v>855</v>
      </c>
      <c r="R33" s="127" t="s">
        <v>854</v>
      </c>
      <c r="S33" s="3"/>
      <c r="T33" s="3"/>
      <c r="U33" s="3"/>
      <c r="V33" s="3"/>
      <c r="W33" s="3"/>
      <c r="X33" s="3"/>
      <c r="Y33" s="3"/>
      <c r="Z33" s="3"/>
      <c r="AA33" s="3"/>
    </row>
    <row r="34" spans="1:30" ht="15" customHeight="1">
      <c r="B34" s="77"/>
      <c r="C34" s="152" t="str">
        <f t="shared" si="3"/>
        <v>COMHCE</v>
      </c>
      <c r="D34" s="76" t="str">
        <f t="shared" si="2"/>
        <v>Commercial      District heating Central</v>
      </c>
      <c r="E34" s="68" t="s">
        <v>44</v>
      </c>
      <c r="F34" s="77"/>
      <c r="G34" s="135" t="s">
        <v>98</v>
      </c>
      <c r="H34" s="77"/>
      <c r="I34" s="77"/>
      <c r="J34" s="506"/>
      <c r="K34" s="127"/>
      <c r="M34" s="127"/>
      <c r="N34" s="127"/>
      <c r="O34" s="127"/>
      <c r="P34" s="127"/>
      <c r="Q34" s="127" t="s">
        <v>767</v>
      </c>
      <c r="R34" s="127" t="s">
        <v>787</v>
      </c>
      <c r="S34" s="127"/>
      <c r="T34" s="127"/>
      <c r="U34" s="127"/>
      <c r="V34" s="127"/>
      <c r="W34" s="127"/>
      <c r="X34" s="127"/>
      <c r="Y34" s="127"/>
      <c r="Z34" s="127"/>
      <c r="AA34" s="127"/>
    </row>
    <row r="35" spans="1:30" ht="15" customHeight="1">
      <c r="B35" s="77"/>
      <c r="C35" s="152" t="str">
        <f>$C$2&amp;LEFT(L35,1)&amp;LEFT(N35,1)&amp;LEFT(M35,1)&amp;LEFT(O35,1)&amp;LEFT(P35,1)&amp;Q35</f>
        <v>COMHSE</v>
      </c>
      <c r="D35" s="76" t="str">
        <f t="shared" ref="D35" si="6">$D$2&amp;" "&amp;L35&amp;" "&amp;N35&amp;" "&amp;M35&amp;" "&amp;O35&amp;" "&amp;P35&amp;" "&amp;R35</f>
        <v>Commercial      District heating SubUrban</v>
      </c>
      <c r="E35" s="68" t="s">
        <v>44</v>
      </c>
      <c r="F35" s="77"/>
      <c r="G35" s="135" t="s">
        <v>98</v>
      </c>
      <c r="H35" s="77"/>
      <c r="I35" s="77"/>
      <c r="J35" s="506"/>
      <c r="K35" s="127"/>
      <c r="M35" s="127"/>
      <c r="N35" s="127"/>
      <c r="O35" s="127"/>
      <c r="P35" s="127"/>
      <c r="Q35" s="127" t="s">
        <v>808</v>
      </c>
      <c r="R35" s="127" t="s">
        <v>809</v>
      </c>
      <c r="S35" s="127"/>
      <c r="T35" s="127"/>
      <c r="U35" s="127"/>
      <c r="V35" s="127"/>
      <c r="W35" s="127"/>
      <c r="X35" s="127"/>
      <c r="Y35" s="127"/>
      <c r="Z35" s="127"/>
      <c r="AA35" s="127"/>
    </row>
    <row r="36" spans="1:30" ht="15" customHeight="1">
      <c r="B36" s="77"/>
      <c r="C36" s="152" t="str">
        <f t="shared" si="3"/>
        <v>COMHDE</v>
      </c>
      <c r="D36" s="76" t="str">
        <f t="shared" si="2"/>
        <v>Commercial      District heating Decentral</v>
      </c>
      <c r="E36" s="68" t="s">
        <v>44</v>
      </c>
      <c r="F36" s="78"/>
      <c r="G36" s="135" t="s">
        <v>98</v>
      </c>
      <c r="H36" s="77"/>
      <c r="I36" s="77"/>
      <c r="J36" s="506"/>
      <c r="K36" s="127"/>
      <c r="M36" s="127"/>
      <c r="N36" s="127"/>
      <c r="O36" s="127"/>
      <c r="P36" s="127"/>
      <c r="Q36" s="127" t="s">
        <v>768</v>
      </c>
      <c r="R36" s="127" t="s">
        <v>788</v>
      </c>
      <c r="S36" s="127"/>
      <c r="T36" s="127"/>
      <c r="U36" s="127"/>
      <c r="V36" s="127"/>
      <c r="W36" s="127"/>
      <c r="X36" s="127"/>
      <c r="Y36" s="127"/>
      <c r="Z36" s="127"/>
      <c r="AA36" s="127"/>
    </row>
    <row r="37" spans="1:30" ht="15" customHeight="1">
      <c r="B37" s="77"/>
      <c r="C37" s="152" t="str">
        <f t="shared" si="3"/>
        <v>COMSNG</v>
      </c>
      <c r="D37" s="76" t="str">
        <f t="shared" si="2"/>
        <v>Commercial      Synthetic Natural Gas</v>
      </c>
      <c r="E37" s="68" t="s">
        <v>44</v>
      </c>
      <c r="F37" s="78"/>
      <c r="G37" s="77"/>
      <c r="H37" s="77"/>
      <c r="I37" s="77"/>
      <c r="J37" s="506"/>
      <c r="K37" s="127"/>
      <c r="M37" s="127"/>
      <c r="N37" s="127"/>
      <c r="O37" s="127"/>
      <c r="P37" s="127"/>
      <c r="Q37" s="127" t="s">
        <v>769</v>
      </c>
      <c r="R37" s="127" t="s">
        <v>789</v>
      </c>
      <c r="S37" s="127"/>
      <c r="T37" s="127"/>
      <c r="U37" s="127"/>
      <c r="V37" s="127"/>
      <c r="W37" s="127"/>
      <c r="X37" s="127"/>
      <c r="Y37" s="127"/>
      <c r="Z37" s="127"/>
      <c r="AA37" s="127"/>
      <c r="AD37" t="s">
        <v>123</v>
      </c>
    </row>
    <row r="38" spans="1:30" ht="15" customHeight="1">
      <c r="B38" s="77"/>
      <c r="C38" s="152" t="str">
        <f t="shared" si="3"/>
        <v>COMDSB</v>
      </c>
      <c r="D38" s="76" t="str">
        <f t="shared" si="2"/>
        <v>Commercial      Renewable Diesel</v>
      </c>
      <c r="E38" s="68" t="s">
        <v>44</v>
      </c>
      <c r="F38" s="78"/>
      <c r="G38" s="77"/>
      <c r="H38" s="77"/>
      <c r="I38" s="77"/>
      <c r="J38" s="506"/>
      <c r="K38" s="127"/>
      <c r="M38" s="127"/>
      <c r="N38" s="127"/>
      <c r="O38" s="127"/>
      <c r="P38" s="127"/>
      <c r="Q38" s="127" t="s">
        <v>770</v>
      </c>
      <c r="R38" s="127" t="s">
        <v>790</v>
      </c>
      <c r="S38" s="127"/>
      <c r="T38" s="127"/>
      <c r="U38" s="127"/>
      <c r="V38" s="127"/>
      <c r="W38" s="127"/>
      <c r="X38" s="127"/>
      <c r="Y38" s="127"/>
      <c r="Z38" s="127"/>
      <c r="AA38" s="127"/>
      <c r="AD38" t="s">
        <v>124</v>
      </c>
    </row>
    <row r="39" spans="1:30" ht="15" customHeight="1">
      <c r="B39" s="77"/>
      <c r="C39" s="152" t="str">
        <f t="shared" ref="C39:C59" si="7">$C$2&amp;LEFT(L39,1)&amp;LEFT(N39,1)&amp;LEFT(M39,1)&amp;LEFT(O39,1)&amp;LEFT(P39,1)&amp;Q39</f>
        <v>COMHUDX</v>
      </c>
      <c r="D39" s="76" t="str">
        <f t="shared" si="2"/>
        <v xml:space="preserve">Commercial Heating Urban Detached Xhanger DH  </v>
      </c>
      <c r="E39" s="68" t="s">
        <v>44</v>
      </c>
      <c r="F39" s="77"/>
      <c r="G39" s="74" t="s">
        <v>98</v>
      </c>
      <c r="H39" s="77"/>
      <c r="I39" s="77"/>
      <c r="J39" s="507"/>
      <c r="K39" s="3"/>
      <c r="L39" s="127" t="s">
        <v>728</v>
      </c>
      <c r="M39" s="127" t="s">
        <v>102</v>
      </c>
      <c r="N39" s="127" t="s">
        <v>704</v>
      </c>
      <c r="O39" s="127" t="s">
        <v>772</v>
      </c>
      <c r="P39" s="3"/>
      <c r="Q39" s="3"/>
      <c r="R39" s="3"/>
      <c r="S39" s="3"/>
      <c r="T39" s="3"/>
      <c r="U39" s="3"/>
      <c r="V39" s="3"/>
      <c r="W39" s="3"/>
      <c r="X39" s="3"/>
      <c r="Y39" s="3"/>
      <c r="Z39" s="3"/>
      <c r="AA39" s="3"/>
      <c r="AC39" s="11"/>
      <c r="AD39" t="s">
        <v>861</v>
      </c>
    </row>
    <row r="40" spans="1:30" ht="15" customHeight="1">
      <c r="B40" s="77"/>
      <c r="C40" s="152" t="str">
        <f t="shared" si="7"/>
        <v>COMHRDX</v>
      </c>
      <c r="D40" s="76" t="str">
        <f t="shared" si="2"/>
        <v xml:space="preserve">Commercial Heating Rural Detached Xhanger DH  </v>
      </c>
      <c r="E40" s="68" t="s">
        <v>44</v>
      </c>
      <c r="F40" s="77"/>
      <c r="G40" s="74" t="s">
        <v>98</v>
      </c>
      <c r="H40" s="77"/>
      <c r="I40" s="77"/>
      <c r="J40" s="506"/>
      <c r="K40" s="127"/>
      <c r="L40" s="127" t="s">
        <v>728</v>
      </c>
      <c r="M40" s="127" t="s">
        <v>102</v>
      </c>
      <c r="N40" s="127" t="s">
        <v>705</v>
      </c>
      <c r="O40" s="127" t="s">
        <v>772</v>
      </c>
      <c r="P40" s="127"/>
      <c r="Q40" s="127"/>
      <c r="R40" s="127"/>
      <c r="S40" s="127"/>
      <c r="T40" s="127"/>
      <c r="U40" s="127"/>
      <c r="V40" s="127"/>
      <c r="W40" s="127"/>
      <c r="X40" s="127"/>
      <c r="Y40" s="127"/>
      <c r="Z40" s="127"/>
      <c r="AA40" s="127"/>
    </row>
    <row r="41" spans="1:30" ht="15" customHeight="1">
      <c r="B41" s="77"/>
      <c r="C41" s="152" t="str">
        <f t="shared" si="7"/>
        <v>COMHUMX</v>
      </c>
      <c r="D41" s="76" t="str">
        <f t="shared" si="2"/>
        <v xml:space="preserve">Commercial Heating Urban Multi Xhanger DH  </v>
      </c>
      <c r="E41" s="68" t="s">
        <v>44</v>
      </c>
      <c r="F41" s="78"/>
      <c r="G41" s="74" t="s">
        <v>98</v>
      </c>
      <c r="H41" s="77"/>
      <c r="I41" s="77"/>
      <c r="J41" s="506"/>
      <c r="K41" s="127"/>
      <c r="L41" s="127" t="s">
        <v>728</v>
      </c>
      <c r="M41" s="127" t="s">
        <v>710</v>
      </c>
      <c r="N41" s="127" t="s">
        <v>704</v>
      </c>
      <c r="O41" s="127" t="s">
        <v>772</v>
      </c>
      <c r="P41" s="127"/>
      <c r="Q41" s="127"/>
      <c r="R41" s="127"/>
      <c r="S41" s="127"/>
      <c r="T41" s="127"/>
      <c r="U41" s="127"/>
      <c r="V41" s="127"/>
      <c r="W41" s="127"/>
      <c r="X41" s="127"/>
      <c r="Y41" s="127"/>
      <c r="Z41" s="127"/>
      <c r="AA41" s="127"/>
    </row>
    <row r="42" spans="1:30" ht="15" customHeight="1">
      <c r="B42" s="77"/>
      <c r="C42" s="152" t="str">
        <f t="shared" si="7"/>
        <v>COMHRMX</v>
      </c>
      <c r="D42" s="76" t="str">
        <f t="shared" si="2"/>
        <v xml:space="preserve">Commercial Heating Rural Multi Xhanger DH  </v>
      </c>
      <c r="E42" s="68" t="s">
        <v>44</v>
      </c>
      <c r="F42" s="78"/>
      <c r="G42" s="74" t="s">
        <v>98</v>
      </c>
      <c r="H42" s="77"/>
      <c r="I42" s="77"/>
      <c r="J42" s="506"/>
      <c r="K42" s="127"/>
      <c r="L42" s="127" t="s">
        <v>728</v>
      </c>
      <c r="M42" s="127" t="s">
        <v>710</v>
      </c>
      <c r="N42" s="127" t="s">
        <v>705</v>
      </c>
      <c r="O42" s="127" t="s">
        <v>772</v>
      </c>
      <c r="P42" s="127"/>
      <c r="Q42" s="127"/>
      <c r="R42" s="127"/>
      <c r="S42" s="127"/>
      <c r="T42" s="127"/>
      <c r="U42" s="127"/>
      <c r="V42" s="127"/>
      <c r="W42" s="127"/>
      <c r="X42" s="127"/>
      <c r="Y42" s="127"/>
      <c r="Z42" s="127"/>
      <c r="AA42" s="127"/>
      <c r="AC42" s="27"/>
    </row>
    <row r="43" spans="1:30" s="1" customFormat="1" ht="15" customHeight="1">
      <c r="B43" s="77"/>
      <c r="C43" s="152" t="str">
        <f t="shared" si="7"/>
        <v>COMHUDB</v>
      </c>
      <c r="D43" s="76" t="str">
        <f t="shared" si="2"/>
        <v xml:space="preserve">Commercial Heating Urban Detached Boilers  </v>
      </c>
      <c r="E43" s="68" t="s">
        <v>44</v>
      </c>
      <c r="F43" s="78"/>
      <c r="G43" s="74" t="s">
        <v>98</v>
      </c>
      <c r="H43" s="77"/>
      <c r="I43" s="77"/>
      <c r="J43" s="506"/>
      <c r="K43" s="127"/>
      <c r="L43" s="127" t="s">
        <v>728</v>
      </c>
      <c r="M43" s="127" t="s">
        <v>102</v>
      </c>
      <c r="N43" s="127" t="s">
        <v>704</v>
      </c>
      <c r="O43" s="127" t="s">
        <v>119</v>
      </c>
      <c r="P43" s="127"/>
      <c r="Q43" s="127"/>
      <c r="R43" s="127"/>
      <c r="S43" s="127"/>
      <c r="T43" s="127"/>
      <c r="U43" s="127"/>
      <c r="V43" s="127"/>
      <c r="W43" s="127"/>
      <c r="X43" s="127"/>
      <c r="Y43" s="127"/>
      <c r="Z43" s="127"/>
      <c r="AA43" s="127"/>
      <c r="AD43"/>
    </row>
    <row r="44" spans="1:30" s="1" customFormat="1" ht="15" customHeight="1">
      <c r="B44" s="77"/>
      <c r="C44" s="152" t="str">
        <f t="shared" si="7"/>
        <v>COMHRDB</v>
      </c>
      <c r="D44" s="76" t="str">
        <f>$D$2&amp;" "&amp;L44&amp;" "&amp;N44&amp;" "&amp;M44&amp;" "&amp;O44&amp;" "&amp;P44&amp;" "&amp;Buildings_DR!D9</f>
        <v>Commercial Heating Rural Detached Boilers  COMHUDX,COMHUDB,COMHUDBE,COMHSAV,COMHUDSL</v>
      </c>
      <c r="E44" s="68" t="s">
        <v>44</v>
      </c>
      <c r="F44" s="78"/>
      <c r="G44" s="74" t="s">
        <v>98</v>
      </c>
      <c r="H44" s="77"/>
      <c r="I44" s="77"/>
      <c r="J44" s="506"/>
      <c r="K44" s="127"/>
      <c r="L44" s="127" t="s">
        <v>728</v>
      </c>
      <c r="M44" s="127" t="s">
        <v>102</v>
      </c>
      <c r="N44" s="127" t="s">
        <v>705</v>
      </c>
      <c r="O44" s="127" t="s">
        <v>119</v>
      </c>
      <c r="P44" s="127"/>
      <c r="Q44" s="127"/>
      <c r="S44" s="127"/>
      <c r="T44" s="127"/>
      <c r="V44" s="127"/>
      <c r="W44" s="127"/>
      <c r="X44" s="127"/>
      <c r="Y44" s="127"/>
      <c r="Z44" s="127"/>
      <c r="AA44" s="127"/>
      <c r="AD44"/>
    </row>
    <row r="45" spans="1:30" ht="15" customHeight="1">
      <c r="B45" s="77"/>
      <c r="C45" s="152" t="str">
        <f t="shared" si="7"/>
        <v>COMHUMB</v>
      </c>
      <c r="D45" s="135" t="str">
        <f>$D$2&amp;" "&amp;L45&amp;" "&amp;N45&amp;" "&amp;M45&amp;" "&amp;O45&amp;" "&amp;P45&amp;" "&amp;Buildings_DR!D10</f>
        <v>Commercial Heating Urban Multi Boilers  COMHUDX,COMHUDB,COMHUDBE,COMHSAV,COMHUDSM</v>
      </c>
      <c r="E45" s="68" t="s">
        <v>44</v>
      </c>
      <c r="F45" s="77"/>
      <c r="G45" s="74" t="s">
        <v>98</v>
      </c>
      <c r="H45" s="77"/>
      <c r="I45" s="77"/>
      <c r="J45" s="506"/>
      <c r="K45" s="127"/>
      <c r="L45" s="127" t="s">
        <v>728</v>
      </c>
      <c r="M45" s="127" t="s">
        <v>710</v>
      </c>
      <c r="N45" s="127" t="s">
        <v>704</v>
      </c>
      <c r="O45" s="127" t="s">
        <v>119</v>
      </c>
      <c r="P45" s="127"/>
      <c r="Q45" s="127"/>
      <c r="S45" s="127"/>
      <c r="T45" s="127"/>
      <c r="V45" s="127"/>
      <c r="W45" s="127"/>
      <c r="X45" s="127"/>
      <c r="Y45" s="127"/>
      <c r="Z45" s="127"/>
      <c r="AA45" s="127"/>
    </row>
    <row r="46" spans="1:30" ht="15" customHeight="1">
      <c r="B46" s="77"/>
      <c r="C46" s="152" t="str">
        <f t="shared" si="7"/>
        <v>COMHRMB</v>
      </c>
      <c r="D46" s="135" t="str">
        <f>$D$2&amp;" "&amp;L46&amp;" "&amp;N46&amp;" "&amp;M46&amp;" "&amp;O46&amp;" "&amp;P46&amp;" "&amp;Buildings_DR!D11</f>
        <v>Commercial Heating Rural Multi Boilers  COMHUDX,COMHUDB,COMHUDBE,COMHSAV,COMHUDSH</v>
      </c>
      <c r="E46" s="68" t="s">
        <v>44</v>
      </c>
      <c r="F46" s="77"/>
      <c r="G46" s="74" t="s">
        <v>98</v>
      </c>
      <c r="H46" s="77"/>
      <c r="I46" s="77"/>
      <c r="J46" s="506"/>
      <c r="K46" s="127"/>
      <c r="L46" s="127" t="s">
        <v>728</v>
      </c>
      <c r="M46" s="127" t="s">
        <v>710</v>
      </c>
      <c r="N46" s="127" t="s">
        <v>705</v>
      </c>
      <c r="O46" s="127" t="s">
        <v>119</v>
      </c>
      <c r="P46" s="127"/>
      <c r="Q46" s="127"/>
      <c r="S46" s="127"/>
      <c r="T46" s="127"/>
      <c r="V46" s="127"/>
      <c r="W46" s="127"/>
      <c r="X46" s="127"/>
      <c r="Y46" s="127"/>
      <c r="Z46" s="127"/>
      <c r="AA46" s="127"/>
    </row>
    <row r="47" spans="1:30" ht="15" customHeight="1">
      <c r="A47" s="106"/>
      <c r="B47" s="77"/>
      <c r="C47" s="152" t="str">
        <f t="shared" si="7"/>
        <v>COMHUDBE</v>
      </c>
      <c r="D47" s="133" t="str">
        <f>$D$2&amp;" "&amp;L47&amp;" "&amp;N47&amp;" "&amp;M47&amp;" "&amp;O47&amp;" "&amp;P47&amp;" "&amp;Buildings_DR!D16</f>
        <v>Commercial Heating Urban Detached Boilers Existing buildings COMHRDX,COMHRDB,COMHRDBE,COMHSAV,COMHRDSL</v>
      </c>
      <c r="E47" s="133" t="s">
        <v>44</v>
      </c>
      <c r="F47" s="80"/>
      <c r="G47" s="189" t="s">
        <v>98</v>
      </c>
      <c r="H47" s="80"/>
      <c r="I47" s="80"/>
      <c r="J47" s="506"/>
      <c r="K47" s="127"/>
      <c r="L47" s="127" t="s">
        <v>728</v>
      </c>
      <c r="M47" s="127" t="s">
        <v>102</v>
      </c>
      <c r="N47" s="127" t="s">
        <v>704</v>
      </c>
      <c r="O47" s="127" t="s">
        <v>119</v>
      </c>
      <c r="P47" s="127" t="s">
        <v>736</v>
      </c>
      <c r="Q47" s="127"/>
      <c r="S47" s="127"/>
      <c r="T47" s="127"/>
      <c r="V47" s="127"/>
      <c r="W47" s="127"/>
      <c r="X47" s="127"/>
      <c r="Y47" s="127"/>
      <c r="Z47" s="127"/>
      <c r="AA47" s="127"/>
    </row>
    <row r="48" spans="1:30" ht="15" customHeight="1">
      <c r="A48" s="106"/>
      <c r="B48" s="77"/>
      <c r="C48" s="152" t="str">
        <f t="shared" si="7"/>
        <v>COMHRDBE</v>
      </c>
      <c r="D48" s="133" t="str">
        <f t="shared" si="2"/>
        <v xml:space="preserve">Commercial Heating Rural Detached Boilers Existing buildings </v>
      </c>
      <c r="E48" s="133" t="s">
        <v>44</v>
      </c>
      <c r="F48" s="80"/>
      <c r="G48" s="189" t="s">
        <v>98</v>
      </c>
      <c r="H48" s="80"/>
      <c r="I48" s="80"/>
      <c r="J48" s="506"/>
      <c r="K48" s="127"/>
      <c r="L48" s="127" t="s">
        <v>728</v>
      </c>
      <c r="M48" s="127" t="s">
        <v>102</v>
      </c>
      <c r="N48" s="127" t="s">
        <v>705</v>
      </c>
      <c r="O48" s="127" t="s">
        <v>119</v>
      </c>
      <c r="P48" s="127" t="s">
        <v>736</v>
      </c>
      <c r="Q48" s="127"/>
      <c r="R48" s="127"/>
      <c r="S48" s="127"/>
      <c r="T48" s="127"/>
      <c r="U48" s="127"/>
      <c r="V48" s="127"/>
      <c r="W48" s="127"/>
      <c r="X48" s="127"/>
      <c r="Y48" s="127"/>
      <c r="Z48" s="127"/>
      <c r="AA48" s="127"/>
    </row>
    <row r="49" spans="1:30" ht="15" customHeight="1">
      <c r="B49" s="77"/>
      <c r="C49" s="152" t="str">
        <f t="shared" si="7"/>
        <v>COMHUMBE</v>
      </c>
      <c r="D49" s="133" t="str">
        <f t="shared" si="2"/>
        <v xml:space="preserve">Commercial Heating Urban Multi Boilers Existing buildings </v>
      </c>
      <c r="E49" s="133" t="s">
        <v>44</v>
      </c>
      <c r="F49" s="80"/>
      <c r="G49" s="189" t="s">
        <v>98</v>
      </c>
      <c r="H49" s="80"/>
      <c r="I49" s="80"/>
      <c r="J49" s="506"/>
      <c r="K49" s="127"/>
      <c r="L49" s="127" t="s">
        <v>728</v>
      </c>
      <c r="M49" s="127" t="s">
        <v>710</v>
      </c>
      <c r="N49" s="127" t="s">
        <v>704</v>
      </c>
      <c r="O49" s="127" t="s">
        <v>119</v>
      </c>
      <c r="P49" s="127" t="s">
        <v>736</v>
      </c>
      <c r="Q49" s="127"/>
      <c r="R49" s="127"/>
      <c r="S49" s="127"/>
      <c r="T49" s="127"/>
      <c r="U49" s="127"/>
      <c r="V49" s="127"/>
      <c r="W49" s="127"/>
      <c r="X49" s="127"/>
      <c r="Y49" s="127"/>
      <c r="Z49" s="127"/>
      <c r="AA49" s="127"/>
    </row>
    <row r="50" spans="1:30" ht="15" customHeight="1">
      <c r="B50" s="77"/>
      <c r="C50" s="152" t="str">
        <f t="shared" si="7"/>
        <v>COMHRMBE</v>
      </c>
      <c r="D50" s="133" t="str">
        <f t="shared" si="2"/>
        <v xml:space="preserve">Commercial Heating Rural Multi Boilers Existing buildings </v>
      </c>
      <c r="E50" s="133" t="s">
        <v>44</v>
      </c>
      <c r="F50" s="80"/>
      <c r="G50" s="189" t="s">
        <v>98</v>
      </c>
      <c r="H50" s="80"/>
      <c r="I50" s="80"/>
      <c r="J50" s="506"/>
      <c r="K50" s="127"/>
      <c r="L50" s="127" t="s">
        <v>728</v>
      </c>
      <c r="M50" s="127" t="s">
        <v>710</v>
      </c>
      <c r="N50" s="127" t="s">
        <v>705</v>
      </c>
      <c r="O50" s="127" t="s">
        <v>119</v>
      </c>
      <c r="P50" s="127" t="s">
        <v>736</v>
      </c>
      <c r="Q50" s="127"/>
      <c r="R50" s="127"/>
      <c r="S50" s="127"/>
      <c r="T50" s="127"/>
      <c r="U50" s="127"/>
      <c r="V50" s="127"/>
      <c r="W50" s="127"/>
      <c r="X50" s="127"/>
      <c r="Y50" s="127"/>
      <c r="Z50" s="127"/>
      <c r="AA50" s="127"/>
    </row>
    <row r="51" spans="1:30" ht="15" customHeight="1">
      <c r="B51" s="77"/>
      <c r="C51" s="152" t="str">
        <f t="shared" si="7"/>
        <v>COMHUDBN</v>
      </c>
      <c r="D51" s="133" t="str">
        <f t="shared" si="2"/>
        <v xml:space="preserve">Commercial Heating Urban Detached Boilers New buildings </v>
      </c>
      <c r="E51" s="133" t="s">
        <v>44</v>
      </c>
      <c r="F51" s="80"/>
      <c r="G51" s="189" t="s">
        <v>98</v>
      </c>
      <c r="H51" s="80"/>
      <c r="I51" s="80"/>
      <c r="J51" s="506"/>
      <c r="K51" s="127"/>
      <c r="L51" s="127" t="s">
        <v>728</v>
      </c>
      <c r="M51" s="127" t="s">
        <v>102</v>
      </c>
      <c r="N51" s="127" t="s">
        <v>704</v>
      </c>
      <c r="O51" s="127" t="s">
        <v>119</v>
      </c>
      <c r="P51" s="127" t="s">
        <v>737</v>
      </c>
      <c r="Q51" s="127"/>
      <c r="R51" s="127"/>
      <c r="S51" s="127"/>
      <c r="T51" s="127"/>
      <c r="U51" s="127"/>
      <c r="V51" s="127"/>
      <c r="W51" s="127"/>
      <c r="X51" s="127"/>
      <c r="Y51" s="127"/>
      <c r="Z51" s="127"/>
      <c r="AA51" s="127"/>
    </row>
    <row r="52" spans="1:30" ht="15" customHeight="1">
      <c r="B52" s="77"/>
      <c r="C52" s="152" t="str">
        <f t="shared" si="7"/>
        <v>COMHRDBN</v>
      </c>
      <c r="D52" s="133" t="str">
        <f t="shared" si="2"/>
        <v xml:space="preserve">Commercial Heating Rural Detached Boilers New buildings </v>
      </c>
      <c r="E52" s="133" t="s">
        <v>44</v>
      </c>
      <c r="F52" s="80"/>
      <c r="G52" s="189" t="s">
        <v>98</v>
      </c>
      <c r="H52" s="80"/>
      <c r="I52" s="80"/>
      <c r="J52" s="506"/>
      <c r="K52" s="127"/>
      <c r="L52" s="127" t="s">
        <v>728</v>
      </c>
      <c r="M52" s="127" t="s">
        <v>102</v>
      </c>
      <c r="N52" s="127" t="s">
        <v>705</v>
      </c>
      <c r="O52" s="127" t="s">
        <v>119</v>
      </c>
      <c r="P52" s="127" t="s">
        <v>737</v>
      </c>
      <c r="Q52" s="127"/>
      <c r="R52" s="127"/>
      <c r="S52" s="127"/>
      <c r="T52" s="127"/>
      <c r="U52" s="127"/>
      <c r="V52" s="127"/>
      <c r="W52" s="127"/>
      <c r="X52" s="127"/>
      <c r="Y52" s="127"/>
      <c r="Z52" s="127"/>
      <c r="AA52" s="127"/>
    </row>
    <row r="53" spans="1:30" ht="15" customHeight="1">
      <c r="B53" s="133"/>
      <c r="C53" s="152" t="str">
        <f t="shared" si="7"/>
        <v>COMHUMBN</v>
      </c>
      <c r="D53" s="133" t="str">
        <f t="shared" si="2"/>
        <v xml:space="preserve">Commercial Heating Urban Multi Boilers New buildings </v>
      </c>
      <c r="E53" s="133" t="s">
        <v>44</v>
      </c>
      <c r="F53" s="80"/>
      <c r="G53" s="189" t="s">
        <v>98</v>
      </c>
      <c r="H53" s="80"/>
      <c r="I53" s="80"/>
      <c r="J53" s="506"/>
      <c r="K53" s="127"/>
      <c r="L53" s="127" t="s">
        <v>728</v>
      </c>
      <c r="M53" s="127" t="s">
        <v>710</v>
      </c>
      <c r="N53" s="127" t="s">
        <v>704</v>
      </c>
      <c r="O53" s="127" t="s">
        <v>119</v>
      </c>
      <c r="P53" s="127" t="s">
        <v>737</v>
      </c>
      <c r="Q53" s="127"/>
      <c r="R53" s="127"/>
      <c r="S53" s="127"/>
      <c r="T53" s="127"/>
      <c r="U53" s="127"/>
      <c r="V53" s="127"/>
      <c r="W53" s="127"/>
      <c r="X53" s="127"/>
      <c r="Y53" s="127"/>
      <c r="Z53" s="127"/>
      <c r="AA53" s="127"/>
    </row>
    <row r="54" spans="1:30" ht="15" customHeight="1">
      <c r="B54" s="483"/>
      <c r="C54" s="489" t="str">
        <f t="shared" si="7"/>
        <v>COMHRMBN</v>
      </c>
      <c r="D54" s="483" t="str">
        <f t="shared" si="2"/>
        <v xml:space="preserve">Commercial Heating Rural Multi Boilers New buildings </v>
      </c>
      <c r="E54" s="483" t="s">
        <v>44</v>
      </c>
      <c r="F54" s="534"/>
      <c r="G54" s="535" t="s">
        <v>98</v>
      </c>
      <c r="H54" s="534"/>
      <c r="I54" s="534"/>
      <c r="J54" s="505"/>
      <c r="K54" s="127"/>
      <c r="L54" s="127" t="s">
        <v>728</v>
      </c>
      <c r="M54" s="127" t="s">
        <v>710</v>
      </c>
      <c r="N54" s="127" t="s">
        <v>705</v>
      </c>
      <c r="O54" s="127" t="s">
        <v>119</v>
      </c>
      <c r="P54" s="127" t="s">
        <v>737</v>
      </c>
      <c r="Q54" s="127"/>
      <c r="R54" s="127"/>
      <c r="S54" s="127"/>
      <c r="T54" s="127"/>
      <c r="U54" s="127"/>
      <c r="V54" s="127"/>
      <c r="W54" s="127"/>
      <c r="X54" s="127"/>
      <c r="Y54" s="127"/>
      <c r="Z54" s="127"/>
      <c r="AA54" s="127"/>
    </row>
    <row r="55" spans="1:30" s="1" customFormat="1" ht="15" customHeight="1">
      <c r="B55" s="77"/>
      <c r="C55" s="152" t="str">
        <f t="shared" si="7"/>
        <v>COMCUDB</v>
      </c>
      <c r="D55" s="135" t="str">
        <f t="shared" si="2"/>
        <v xml:space="preserve">Commercial Cooling Urban Detached Boilers  </v>
      </c>
      <c r="E55" s="68" t="s">
        <v>44</v>
      </c>
      <c r="F55" s="78"/>
      <c r="G55" s="74" t="s">
        <v>98</v>
      </c>
      <c r="H55" s="77"/>
      <c r="I55" s="77"/>
      <c r="J55" s="506"/>
      <c r="K55" s="127"/>
      <c r="L55" s="127" t="s">
        <v>266</v>
      </c>
      <c r="M55" s="127" t="s">
        <v>102</v>
      </c>
      <c r="N55" s="127" t="s">
        <v>704</v>
      </c>
      <c r="O55" s="127" t="s">
        <v>119</v>
      </c>
      <c r="P55" s="127"/>
      <c r="Q55" s="127"/>
      <c r="R55" s="127"/>
      <c r="S55" s="127"/>
      <c r="T55" s="127"/>
      <c r="U55" s="127"/>
      <c r="V55" s="127"/>
      <c r="W55" s="127"/>
      <c r="X55" s="127"/>
      <c r="Y55" s="127"/>
      <c r="Z55" s="127"/>
      <c r="AA55" s="127"/>
      <c r="AD55"/>
    </row>
    <row r="56" spans="1:30" s="1" customFormat="1" ht="15" customHeight="1">
      <c r="B56" s="77"/>
      <c r="C56" s="152" t="str">
        <f t="shared" si="7"/>
        <v>COMCRDB</v>
      </c>
      <c r="D56" s="135" t="str">
        <f t="shared" si="2"/>
        <v xml:space="preserve">Commercial Cooling Rural Detached Boilers  </v>
      </c>
      <c r="E56" s="68" t="s">
        <v>44</v>
      </c>
      <c r="F56" s="78"/>
      <c r="G56" s="74" t="s">
        <v>98</v>
      </c>
      <c r="H56" s="77"/>
      <c r="I56" s="77"/>
      <c r="J56" s="506"/>
      <c r="K56" s="127"/>
      <c r="L56" s="127" t="s">
        <v>266</v>
      </c>
      <c r="M56" s="127" t="s">
        <v>102</v>
      </c>
      <c r="N56" s="127" t="s">
        <v>705</v>
      </c>
      <c r="O56" s="127" t="s">
        <v>119</v>
      </c>
      <c r="P56" s="127"/>
      <c r="Q56" s="127"/>
      <c r="R56" s="127"/>
      <c r="S56" s="127"/>
      <c r="T56" s="127"/>
      <c r="U56" s="127"/>
      <c r="V56" s="127"/>
      <c r="W56" s="127"/>
      <c r="X56" s="127"/>
      <c r="Y56" s="127"/>
      <c r="Z56" s="127"/>
      <c r="AA56" s="127"/>
      <c r="AD56"/>
    </row>
    <row r="57" spans="1:30" ht="15" customHeight="1">
      <c r="B57" s="77"/>
      <c r="C57" s="152" t="str">
        <f t="shared" si="7"/>
        <v>COMCUMB</v>
      </c>
      <c r="D57" s="135" t="str">
        <f t="shared" si="2"/>
        <v xml:space="preserve">Commercial Cooling Urban Multi Boilers  </v>
      </c>
      <c r="E57" s="68" t="s">
        <v>44</v>
      </c>
      <c r="F57" s="77"/>
      <c r="G57" s="74" t="s">
        <v>98</v>
      </c>
      <c r="H57" s="77"/>
      <c r="I57" s="77"/>
      <c r="J57" s="506"/>
      <c r="K57" s="127"/>
      <c r="L57" s="127" t="s">
        <v>266</v>
      </c>
      <c r="M57" s="127" t="s">
        <v>710</v>
      </c>
      <c r="N57" s="127" t="s">
        <v>704</v>
      </c>
      <c r="O57" s="127" t="s">
        <v>119</v>
      </c>
      <c r="P57" s="127"/>
      <c r="Q57" s="127"/>
      <c r="R57" s="127"/>
      <c r="S57" s="127"/>
      <c r="T57" s="127"/>
      <c r="U57" s="127"/>
      <c r="V57" s="127"/>
      <c r="W57" s="127"/>
      <c r="X57" s="127"/>
      <c r="Y57" s="127"/>
      <c r="Z57" s="127"/>
      <c r="AA57" s="127"/>
    </row>
    <row r="58" spans="1:30" ht="15" customHeight="1" thickBot="1">
      <c r="B58" s="77"/>
      <c r="C58" s="152" t="str">
        <f t="shared" si="7"/>
        <v>COMCRMB</v>
      </c>
      <c r="D58" s="135" t="str">
        <f t="shared" si="2"/>
        <v xml:space="preserve">Commercial Cooling Rural Multi Boilers  </v>
      </c>
      <c r="E58" s="68" t="s">
        <v>44</v>
      </c>
      <c r="F58" s="77"/>
      <c r="G58" s="74" t="s">
        <v>98</v>
      </c>
      <c r="H58" s="77"/>
      <c r="I58" s="77"/>
      <c r="J58" s="506"/>
      <c r="K58" s="127"/>
      <c r="L58" s="127" t="s">
        <v>266</v>
      </c>
      <c r="M58" s="127" t="s">
        <v>710</v>
      </c>
      <c r="N58" s="127" t="s">
        <v>705</v>
      </c>
      <c r="O58" s="127" t="s">
        <v>119</v>
      </c>
      <c r="P58" s="127"/>
      <c r="Q58" s="127"/>
      <c r="R58" s="127"/>
      <c r="S58" s="127"/>
      <c r="T58" s="127"/>
      <c r="U58" s="127"/>
      <c r="V58" s="127"/>
      <c r="W58" s="127"/>
      <c r="X58" s="127"/>
      <c r="Y58" s="127"/>
      <c r="Z58" s="127"/>
      <c r="AA58" s="127"/>
    </row>
    <row r="59" spans="1:30" ht="15" customHeight="1">
      <c r="A59" s="106"/>
      <c r="B59" s="128"/>
      <c r="C59" s="152" t="str">
        <f t="shared" si="7"/>
        <v>COMHUDSL</v>
      </c>
      <c r="D59" s="537" t="str">
        <f t="shared" si="2"/>
        <v xml:space="preserve">Commercial Heating Urban Detached Savings Low </v>
      </c>
      <c r="E59" s="537" t="s">
        <v>44</v>
      </c>
      <c r="F59" s="537" t="s">
        <v>101</v>
      </c>
      <c r="G59" s="128" t="s">
        <v>98</v>
      </c>
      <c r="H59" s="128"/>
      <c r="I59" s="128"/>
      <c r="J59" s="538"/>
      <c r="K59" s="502"/>
      <c r="L59" s="127" t="s">
        <v>728</v>
      </c>
      <c r="M59" s="127" t="s">
        <v>102</v>
      </c>
      <c r="N59" s="127" t="s">
        <v>704</v>
      </c>
      <c r="O59" s="127" t="s">
        <v>773</v>
      </c>
      <c r="P59" s="127" t="s">
        <v>715</v>
      </c>
      <c r="Q59" s="502"/>
      <c r="R59" s="502"/>
      <c r="S59" s="502"/>
      <c r="T59" s="502"/>
      <c r="V59" s="502"/>
      <c r="W59" s="502"/>
      <c r="X59" s="502"/>
      <c r="Y59" s="502"/>
      <c r="Z59" s="502"/>
      <c r="AA59" s="502"/>
      <c r="AB59" s="106"/>
    </row>
    <row r="60" spans="1:30" ht="15" customHeight="1">
      <c r="B60" s="77"/>
      <c r="C60" s="152" t="str">
        <f t="shared" ref="C60:C82" si="8">$C$2&amp;LEFT(L60,1)&amp;LEFT(N60,1)&amp;LEFT(M60,1)&amp;LEFT(O60,1)&amp;LEFT(P60,1)&amp;Q60</f>
        <v>COMHUDSM</v>
      </c>
      <c r="D60" s="133" t="str">
        <f t="shared" si="2"/>
        <v xml:space="preserve">Commercial Heating Urban Detached Savings Medium </v>
      </c>
      <c r="E60" s="133" t="s">
        <v>44</v>
      </c>
      <c r="F60" s="133" t="s">
        <v>101</v>
      </c>
      <c r="G60" s="135" t="s">
        <v>98</v>
      </c>
      <c r="H60" s="135"/>
      <c r="I60" s="135"/>
      <c r="J60" s="506"/>
      <c r="K60" s="502"/>
      <c r="L60" s="127" t="s">
        <v>728</v>
      </c>
      <c r="M60" s="127" t="s">
        <v>102</v>
      </c>
      <c r="N60" s="127" t="s">
        <v>704</v>
      </c>
      <c r="O60" s="127" t="s">
        <v>773</v>
      </c>
      <c r="P60" s="127" t="s">
        <v>716</v>
      </c>
      <c r="Q60" s="502"/>
      <c r="R60" s="502"/>
      <c r="S60" s="502"/>
      <c r="T60" s="502"/>
      <c r="V60" s="502"/>
      <c r="W60" s="502"/>
      <c r="X60" s="502"/>
      <c r="Y60" s="502"/>
      <c r="Z60" s="502"/>
      <c r="AA60" s="502"/>
    </row>
    <row r="61" spans="1:30" ht="15" customHeight="1">
      <c r="B61" s="77"/>
      <c r="C61" s="152" t="str">
        <f t="shared" si="8"/>
        <v>COMHUDSH</v>
      </c>
      <c r="D61" s="133" t="str">
        <f t="shared" si="2"/>
        <v xml:space="preserve">Commercial Heating Urban Detached Savings High </v>
      </c>
      <c r="E61" s="133" t="s">
        <v>44</v>
      </c>
      <c r="F61" s="133" t="s">
        <v>101</v>
      </c>
      <c r="G61" s="135" t="s">
        <v>98</v>
      </c>
      <c r="H61" s="135"/>
      <c r="I61" s="135"/>
      <c r="J61" s="506"/>
      <c r="K61" s="502"/>
      <c r="L61" s="127" t="s">
        <v>728</v>
      </c>
      <c r="M61" s="127" t="s">
        <v>102</v>
      </c>
      <c r="N61" s="127" t="s">
        <v>704</v>
      </c>
      <c r="O61" s="127" t="s">
        <v>773</v>
      </c>
      <c r="P61" s="127" t="s">
        <v>717</v>
      </c>
      <c r="Q61" s="502"/>
      <c r="R61" s="502"/>
      <c r="S61" s="502"/>
      <c r="T61" s="502"/>
      <c r="V61" s="502"/>
      <c r="W61" s="502"/>
      <c r="X61" s="502"/>
      <c r="Y61" s="502"/>
      <c r="Z61" s="502"/>
      <c r="AA61" s="502"/>
    </row>
    <row r="62" spans="1:30" ht="15" customHeight="1">
      <c r="B62" s="77"/>
      <c r="C62" s="152" t="str">
        <f t="shared" si="8"/>
        <v>COMHRDSL</v>
      </c>
      <c r="D62" s="133" t="str">
        <f t="shared" si="2"/>
        <v xml:space="preserve">Commercial Heating Rural Detached Savings Low </v>
      </c>
      <c r="E62" s="133" t="s">
        <v>44</v>
      </c>
      <c r="F62" s="133" t="s">
        <v>101</v>
      </c>
      <c r="G62" s="135" t="s">
        <v>98</v>
      </c>
      <c r="H62" s="135"/>
      <c r="I62" s="135"/>
      <c r="J62" s="506"/>
      <c r="K62" s="502"/>
      <c r="L62" s="127" t="s">
        <v>728</v>
      </c>
      <c r="M62" s="127" t="s">
        <v>102</v>
      </c>
      <c r="N62" s="127" t="s">
        <v>705</v>
      </c>
      <c r="O62" s="127" t="s">
        <v>773</v>
      </c>
      <c r="P62" s="127" t="s">
        <v>715</v>
      </c>
      <c r="Q62" s="502"/>
      <c r="R62" s="502"/>
      <c r="S62" s="502"/>
      <c r="T62" s="502"/>
      <c r="V62" s="502"/>
      <c r="W62" s="502"/>
      <c r="X62" s="502"/>
      <c r="Y62" s="502"/>
      <c r="Z62" s="502"/>
      <c r="AA62" s="502"/>
    </row>
    <row r="63" spans="1:30" ht="15" customHeight="1">
      <c r="B63" s="77"/>
      <c r="C63" s="152" t="str">
        <f t="shared" si="8"/>
        <v>COMHRDSM</v>
      </c>
      <c r="D63" s="133" t="str">
        <f t="shared" si="2"/>
        <v xml:space="preserve">Commercial Heating Rural Detached Savings Medium </v>
      </c>
      <c r="E63" s="133" t="s">
        <v>44</v>
      </c>
      <c r="F63" s="133" t="s">
        <v>101</v>
      </c>
      <c r="G63" s="135" t="s">
        <v>98</v>
      </c>
      <c r="H63" s="135"/>
      <c r="I63" s="135"/>
      <c r="J63" s="506"/>
      <c r="K63" s="502"/>
      <c r="L63" s="127" t="s">
        <v>728</v>
      </c>
      <c r="M63" s="127" t="s">
        <v>102</v>
      </c>
      <c r="N63" s="127" t="s">
        <v>705</v>
      </c>
      <c r="O63" s="127" t="s">
        <v>773</v>
      </c>
      <c r="P63" s="127" t="s">
        <v>716</v>
      </c>
      <c r="Q63" s="502"/>
      <c r="R63" s="502"/>
      <c r="S63" s="502"/>
      <c r="T63" s="502"/>
      <c r="V63" s="502"/>
      <c r="W63" s="502"/>
      <c r="X63" s="502"/>
      <c r="Y63" s="502"/>
      <c r="Z63" s="502"/>
      <c r="AA63" s="502"/>
    </row>
    <row r="64" spans="1:30" ht="15" customHeight="1">
      <c r="B64" s="77"/>
      <c r="C64" s="152" t="str">
        <f t="shared" si="8"/>
        <v>COMHRDSH</v>
      </c>
      <c r="D64" s="133" t="str">
        <f t="shared" si="2"/>
        <v xml:space="preserve">Commercial Heating Rural Detached Savings High </v>
      </c>
      <c r="E64" s="133" t="s">
        <v>44</v>
      </c>
      <c r="F64" s="133" t="s">
        <v>101</v>
      </c>
      <c r="G64" s="135" t="s">
        <v>98</v>
      </c>
      <c r="H64" s="135"/>
      <c r="I64" s="135"/>
      <c r="J64" s="506"/>
      <c r="K64" s="502"/>
      <c r="L64" s="127" t="s">
        <v>728</v>
      </c>
      <c r="M64" s="127" t="s">
        <v>102</v>
      </c>
      <c r="N64" s="127" t="s">
        <v>705</v>
      </c>
      <c r="O64" s="127" t="s">
        <v>773</v>
      </c>
      <c r="P64" s="127" t="s">
        <v>717</v>
      </c>
      <c r="Q64" s="502"/>
      <c r="R64" s="502"/>
      <c r="S64" s="502"/>
      <c r="T64" s="502"/>
      <c r="V64" s="502"/>
      <c r="W64" s="502"/>
      <c r="X64" s="502"/>
      <c r="Y64" s="502"/>
      <c r="Z64" s="502"/>
      <c r="AA64" s="502"/>
    </row>
    <row r="65" spans="2:27" ht="15" customHeight="1">
      <c r="B65" s="77"/>
      <c r="C65" s="152" t="str">
        <f>$C$2&amp;LEFT(L65,1)&amp;LEFT(N65,1)&amp;LEFT(M65,1)&amp;LEFT(O65,1)&amp;LEFT(P65,1)&amp;Q65</f>
        <v>COMHUMSL</v>
      </c>
      <c r="D65" s="133" t="str">
        <f t="shared" si="2"/>
        <v xml:space="preserve">Commercial Heating Urban Multi Savings Low </v>
      </c>
      <c r="E65" s="133" t="s">
        <v>44</v>
      </c>
      <c r="F65" s="133" t="s">
        <v>101</v>
      </c>
      <c r="G65" s="135" t="s">
        <v>98</v>
      </c>
      <c r="H65" s="135"/>
      <c r="I65" s="135"/>
      <c r="J65" s="506"/>
      <c r="L65" s="127" t="s">
        <v>728</v>
      </c>
      <c r="M65" s="127" t="s">
        <v>710</v>
      </c>
      <c r="N65" s="127" t="s">
        <v>704</v>
      </c>
      <c r="O65" s="127" t="s">
        <v>773</v>
      </c>
      <c r="P65" s="127" t="s">
        <v>715</v>
      </c>
      <c r="Q65" s="502"/>
      <c r="R65" s="502"/>
      <c r="S65" s="502"/>
      <c r="T65" s="502"/>
      <c r="V65" s="502"/>
      <c r="W65" s="502"/>
      <c r="X65" s="502"/>
      <c r="Y65" s="502"/>
      <c r="Z65" s="502"/>
      <c r="AA65" s="502"/>
    </row>
    <row r="66" spans="2:27" ht="15" customHeight="1">
      <c r="B66" s="77"/>
      <c r="C66" s="152" t="str">
        <f t="shared" si="8"/>
        <v>COMHUMSM</v>
      </c>
      <c r="D66" s="133" t="str">
        <f t="shared" si="2"/>
        <v xml:space="preserve">Commercial Heating Urban Multi Savings Medium </v>
      </c>
      <c r="E66" s="133" t="s">
        <v>44</v>
      </c>
      <c r="F66" s="133" t="s">
        <v>101</v>
      </c>
      <c r="G66" s="135" t="s">
        <v>98</v>
      </c>
      <c r="H66" s="135"/>
      <c r="I66" s="135"/>
      <c r="J66" s="506"/>
      <c r="K66" s="502"/>
      <c r="L66" s="127" t="s">
        <v>728</v>
      </c>
      <c r="M66" s="127" t="s">
        <v>710</v>
      </c>
      <c r="N66" s="127" t="s">
        <v>704</v>
      </c>
      <c r="O66" s="127" t="s">
        <v>773</v>
      </c>
      <c r="P66" s="127" t="s">
        <v>716</v>
      </c>
      <c r="Q66" s="502"/>
      <c r="R66" s="502"/>
      <c r="S66" s="502"/>
      <c r="T66" s="502"/>
      <c r="V66" s="502"/>
      <c r="W66" s="502"/>
      <c r="X66" s="502"/>
      <c r="Y66" s="502"/>
      <c r="Z66" s="502"/>
      <c r="AA66" s="502"/>
    </row>
    <row r="67" spans="2:27" ht="15" customHeight="1">
      <c r="B67" s="77"/>
      <c r="C67" s="152" t="str">
        <f t="shared" si="8"/>
        <v>COMHUMSH</v>
      </c>
      <c r="D67" s="133" t="str">
        <f t="shared" si="2"/>
        <v xml:space="preserve">Commercial Heating Urban Multi Savings High </v>
      </c>
      <c r="E67" s="133" t="s">
        <v>44</v>
      </c>
      <c r="F67" s="133" t="s">
        <v>101</v>
      </c>
      <c r="G67" s="135" t="s">
        <v>98</v>
      </c>
      <c r="H67" s="135"/>
      <c r="I67" s="135"/>
      <c r="J67" s="506"/>
      <c r="K67" s="502"/>
      <c r="L67" s="127" t="s">
        <v>728</v>
      </c>
      <c r="M67" s="127" t="s">
        <v>710</v>
      </c>
      <c r="N67" s="127" t="s">
        <v>704</v>
      </c>
      <c r="O67" s="127" t="s">
        <v>773</v>
      </c>
      <c r="P67" s="127" t="s">
        <v>717</v>
      </c>
      <c r="Q67" s="502"/>
      <c r="R67" s="502"/>
      <c r="S67" s="502"/>
      <c r="T67" s="502"/>
      <c r="V67" s="502"/>
      <c r="W67" s="502"/>
      <c r="X67" s="502"/>
      <c r="Y67" s="502"/>
      <c r="Z67" s="502"/>
      <c r="AA67" s="502"/>
    </row>
    <row r="68" spans="2:27" ht="15" customHeight="1">
      <c r="B68" s="77"/>
      <c r="C68" s="152" t="str">
        <f t="shared" si="8"/>
        <v>COMHRMSL</v>
      </c>
      <c r="D68" s="133" t="str">
        <f t="shared" si="2"/>
        <v xml:space="preserve">Commercial Heating Rural Multi Savings Low </v>
      </c>
      <c r="E68" s="133" t="s">
        <v>44</v>
      </c>
      <c r="F68" s="133" t="s">
        <v>101</v>
      </c>
      <c r="G68" s="135" t="s">
        <v>98</v>
      </c>
      <c r="H68" s="135"/>
      <c r="I68" s="135"/>
      <c r="J68" s="506"/>
      <c r="K68" s="502"/>
      <c r="L68" s="127" t="s">
        <v>728</v>
      </c>
      <c r="M68" s="127" t="s">
        <v>710</v>
      </c>
      <c r="N68" s="127" t="s">
        <v>705</v>
      </c>
      <c r="O68" s="127" t="s">
        <v>773</v>
      </c>
      <c r="P68" s="127" t="s">
        <v>715</v>
      </c>
      <c r="Q68" s="502"/>
      <c r="R68" s="502"/>
      <c r="S68" s="502"/>
      <c r="T68" s="502"/>
      <c r="V68" s="502"/>
      <c r="W68" s="502"/>
      <c r="X68" s="502"/>
      <c r="Y68" s="502"/>
      <c r="Z68" s="502"/>
      <c r="AA68" s="502"/>
    </row>
    <row r="69" spans="2:27" ht="15" customHeight="1">
      <c r="B69" s="77"/>
      <c r="C69" s="152" t="str">
        <f t="shared" si="8"/>
        <v>COMHRMSM</v>
      </c>
      <c r="D69" s="133" t="str">
        <f t="shared" si="2"/>
        <v xml:space="preserve">Commercial Heating Rural Multi Savings Medium </v>
      </c>
      <c r="E69" s="133" t="s">
        <v>44</v>
      </c>
      <c r="F69" s="133" t="s">
        <v>101</v>
      </c>
      <c r="G69" s="135" t="s">
        <v>98</v>
      </c>
      <c r="H69" s="135"/>
      <c r="I69" s="135"/>
      <c r="J69" s="506"/>
      <c r="K69" s="502"/>
      <c r="L69" s="127" t="s">
        <v>728</v>
      </c>
      <c r="M69" s="127" t="s">
        <v>710</v>
      </c>
      <c r="N69" s="127" t="s">
        <v>705</v>
      </c>
      <c r="O69" s="127" t="s">
        <v>773</v>
      </c>
      <c r="P69" s="127" t="s">
        <v>716</v>
      </c>
      <c r="Q69" s="502"/>
      <c r="R69" s="502"/>
      <c r="S69" s="502"/>
      <c r="T69" s="502"/>
      <c r="V69" s="502"/>
      <c r="W69" s="502"/>
      <c r="X69" s="502"/>
      <c r="Y69" s="502"/>
      <c r="Z69" s="502"/>
      <c r="AA69" s="502"/>
    </row>
    <row r="70" spans="2:27" ht="15" customHeight="1" thickBot="1">
      <c r="B70" s="129"/>
      <c r="C70" s="152" t="str">
        <f t="shared" si="8"/>
        <v>COMHRMSH</v>
      </c>
      <c r="D70" s="540" t="str">
        <f t="shared" si="2"/>
        <v xml:space="preserve">Commercial Heating Rural Multi Savings High </v>
      </c>
      <c r="E70" s="540" t="s">
        <v>44</v>
      </c>
      <c r="F70" s="540" t="s">
        <v>101</v>
      </c>
      <c r="G70" s="541" t="s">
        <v>98</v>
      </c>
      <c r="H70" s="541"/>
      <c r="I70" s="541"/>
      <c r="J70" s="542"/>
      <c r="K70" s="502"/>
      <c r="L70" s="127" t="s">
        <v>728</v>
      </c>
      <c r="M70" s="127" t="s">
        <v>710</v>
      </c>
      <c r="N70" s="127" t="s">
        <v>705</v>
      </c>
      <c r="O70" s="127" t="s">
        <v>773</v>
      </c>
      <c r="P70" s="127" t="s">
        <v>717</v>
      </c>
      <c r="Q70" s="502"/>
      <c r="R70" s="502"/>
      <c r="S70" s="502"/>
      <c r="T70" s="502"/>
      <c r="V70" s="502"/>
      <c r="W70" s="502"/>
      <c r="X70" s="502"/>
      <c r="Y70" s="502"/>
      <c r="Z70" s="502"/>
      <c r="AA70" s="502"/>
    </row>
    <row r="71" spans="2:27" ht="16.25" customHeight="1" thickBot="1">
      <c r="C71" s="152" t="str">
        <f t="shared" si="8"/>
        <v>COMCUDSL</v>
      </c>
      <c r="D71" s="106" t="str">
        <f t="shared" si="2"/>
        <v xml:space="preserve">Commercial Cooling Urban Detached Savings Low </v>
      </c>
      <c r="E71" s="540" t="s">
        <v>44</v>
      </c>
      <c r="F71" s="540" t="s">
        <v>101</v>
      </c>
      <c r="G71" s="541" t="s">
        <v>98</v>
      </c>
      <c r="H71" s="541"/>
      <c r="I71" s="541"/>
      <c r="J71" s="542"/>
      <c r="K71" s="127"/>
      <c r="L71" s="127" t="s">
        <v>266</v>
      </c>
      <c r="M71" s="127" t="s">
        <v>102</v>
      </c>
      <c r="N71" s="127" t="s">
        <v>704</v>
      </c>
      <c r="O71" s="127" t="s">
        <v>773</v>
      </c>
      <c r="P71" s="127" t="s">
        <v>715</v>
      </c>
      <c r="Q71" s="127"/>
      <c r="R71" s="127"/>
      <c r="S71" s="127"/>
      <c r="T71" s="127"/>
      <c r="V71" s="127"/>
      <c r="W71" s="127"/>
      <c r="X71" s="127"/>
      <c r="Y71" s="127"/>
      <c r="Z71" s="127"/>
      <c r="AA71" s="127"/>
    </row>
    <row r="72" spans="2:27" ht="16.25" customHeight="1" thickBot="1">
      <c r="C72" s="152" t="str">
        <f t="shared" si="8"/>
        <v>COMCUDSM</v>
      </c>
      <c r="D72" s="106" t="str">
        <f t="shared" si="2"/>
        <v xml:space="preserve">Commercial Cooling Urban Detached Savings Medium </v>
      </c>
      <c r="E72" s="540" t="s">
        <v>44</v>
      </c>
      <c r="F72" s="540" t="s">
        <v>101</v>
      </c>
      <c r="G72" s="541" t="s">
        <v>98</v>
      </c>
      <c r="H72" s="541"/>
      <c r="I72" s="541"/>
      <c r="J72" s="542"/>
      <c r="L72" s="127" t="s">
        <v>266</v>
      </c>
      <c r="M72" s="127" t="s">
        <v>102</v>
      </c>
      <c r="N72" s="127" t="s">
        <v>704</v>
      </c>
      <c r="O72" s="127" t="s">
        <v>773</v>
      </c>
      <c r="P72" s="127" t="s">
        <v>716</v>
      </c>
    </row>
    <row r="73" spans="2:27" ht="16.25" customHeight="1" thickBot="1">
      <c r="B73" s="73"/>
      <c r="C73" s="152" t="str">
        <f t="shared" si="8"/>
        <v>COMCUDSH</v>
      </c>
      <c r="D73" s="106" t="str">
        <f t="shared" si="2"/>
        <v xml:space="preserve">Commercial Cooling Urban Detached Savings High </v>
      </c>
      <c r="E73" s="540" t="s">
        <v>44</v>
      </c>
      <c r="F73" s="540" t="s">
        <v>101</v>
      </c>
      <c r="G73" s="541" t="s">
        <v>98</v>
      </c>
      <c r="H73" s="541"/>
      <c r="I73" s="541"/>
      <c r="J73" s="542"/>
      <c r="L73" s="127" t="s">
        <v>266</v>
      </c>
      <c r="M73" s="127" t="s">
        <v>102</v>
      </c>
      <c r="N73" s="127" t="s">
        <v>704</v>
      </c>
      <c r="O73" s="127" t="s">
        <v>773</v>
      </c>
      <c r="P73" s="127" t="s">
        <v>717</v>
      </c>
    </row>
    <row r="74" spans="2:27" ht="16.25" customHeight="1" thickBot="1">
      <c r="B74" s="64"/>
      <c r="C74" s="152" t="str">
        <f t="shared" si="8"/>
        <v>COMCRDSL</v>
      </c>
      <c r="D74" s="106" t="str">
        <f t="shared" si="2"/>
        <v xml:space="preserve">Commercial Cooling Rural Detached Savings Low </v>
      </c>
      <c r="E74" s="540" t="s">
        <v>44</v>
      </c>
      <c r="F74" s="540" t="s">
        <v>101</v>
      </c>
      <c r="G74" s="541" t="s">
        <v>98</v>
      </c>
      <c r="H74" s="541"/>
      <c r="I74" s="541"/>
      <c r="J74" s="542"/>
      <c r="L74" s="127" t="s">
        <v>266</v>
      </c>
      <c r="M74" s="127" t="s">
        <v>102</v>
      </c>
      <c r="N74" s="127" t="s">
        <v>705</v>
      </c>
      <c r="O74" s="127" t="s">
        <v>773</v>
      </c>
      <c r="P74" s="127" t="s">
        <v>715</v>
      </c>
    </row>
    <row r="75" spans="2:27" ht="16.25" customHeight="1" thickBot="1">
      <c r="C75" s="152" t="str">
        <f t="shared" si="8"/>
        <v>COMCRDSM</v>
      </c>
      <c r="D75" s="106" t="str">
        <f t="shared" si="2"/>
        <v xml:space="preserve">Commercial Cooling Rural Detached Savings Medium </v>
      </c>
      <c r="E75" s="540" t="s">
        <v>44</v>
      </c>
      <c r="F75" s="540" t="s">
        <v>101</v>
      </c>
      <c r="G75" s="541" t="s">
        <v>98</v>
      </c>
      <c r="H75" s="541"/>
      <c r="I75" s="541"/>
      <c r="J75" s="542"/>
      <c r="L75" s="127" t="s">
        <v>266</v>
      </c>
      <c r="M75" s="127" t="s">
        <v>102</v>
      </c>
      <c r="N75" s="127" t="s">
        <v>705</v>
      </c>
      <c r="O75" s="127" t="s">
        <v>773</v>
      </c>
      <c r="P75" s="127" t="s">
        <v>716</v>
      </c>
    </row>
    <row r="76" spans="2:27" ht="16.25" customHeight="1" thickBot="1">
      <c r="C76" s="152" t="str">
        <f t="shared" si="8"/>
        <v>COMCRDSH</v>
      </c>
      <c r="D76" s="106" t="str">
        <f t="shared" si="2"/>
        <v xml:space="preserve">Commercial Cooling Rural Detached Savings High </v>
      </c>
      <c r="E76" s="540" t="s">
        <v>44</v>
      </c>
      <c r="F76" s="540" t="s">
        <v>101</v>
      </c>
      <c r="G76" s="541" t="s">
        <v>98</v>
      </c>
      <c r="H76" s="541"/>
      <c r="I76" s="541"/>
      <c r="J76" s="542"/>
      <c r="L76" s="127" t="s">
        <v>266</v>
      </c>
      <c r="M76" s="127" t="s">
        <v>102</v>
      </c>
      <c r="N76" s="127" t="s">
        <v>705</v>
      </c>
      <c r="O76" s="127" t="s">
        <v>773</v>
      </c>
      <c r="P76" s="127" t="s">
        <v>717</v>
      </c>
    </row>
    <row r="77" spans="2:27" ht="16.25" customHeight="1" thickBot="1">
      <c r="C77" s="152" t="str">
        <f t="shared" si="8"/>
        <v>COMCUMSL</v>
      </c>
      <c r="D77" s="106" t="str">
        <f t="shared" si="2"/>
        <v xml:space="preserve">Commercial Cooling Urban Multi Savings Low </v>
      </c>
      <c r="E77" s="540" t="s">
        <v>44</v>
      </c>
      <c r="F77" s="540" t="s">
        <v>101</v>
      </c>
      <c r="G77" s="541" t="s">
        <v>98</v>
      </c>
      <c r="H77" s="541"/>
      <c r="I77" s="541"/>
      <c r="J77" s="542"/>
      <c r="L77" s="127" t="s">
        <v>266</v>
      </c>
      <c r="M77" s="127" t="s">
        <v>710</v>
      </c>
      <c r="N77" s="127" t="s">
        <v>704</v>
      </c>
      <c r="O77" s="127" t="s">
        <v>773</v>
      </c>
      <c r="P77" s="127" t="s">
        <v>715</v>
      </c>
    </row>
    <row r="78" spans="2:27" ht="16.25" customHeight="1" thickBot="1">
      <c r="C78" s="152" t="str">
        <f t="shared" si="8"/>
        <v>COMCUMSM</v>
      </c>
      <c r="D78" s="106" t="str">
        <f t="shared" si="2"/>
        <v xml:space="preserve">Commercial Cooling Urban Multi Savings Medium </v>
      </c>
      <c r="E78" s="540" t="s">
        <v>44</v>
      </c>
      <c r="F78" s="540" t="s">
        <v>101</v>
      </c>
      <c r="G78" s="541" t="s">
        <v>98</v>
      </c>
      <c r="H78" s="541"/>
      <c r="I78" s="541"/>
      <c r="J78" s="542"/>
      <c r="L78" s="127" t="s">
        <v>266</v>
      </c>
      <c r="M78" s="127" t="s">
        <v>710</v>
      </c>
      <c r="N78" s="127" t="s">
        <v>704</v>
      </c>
      <c r="O78" s="127" t="s">
        <v>773</v>
      </c>
      <c r="P78" s="127" t="s">
        <v>716</v>
      </c>
    </row>
    <row r="79" spans="2:27" ht="16.25" customHeight="1" thickBot="1">
      <c r="C79" s="152" t="str">
        <f t="shared" si="8"/>
        <v>COMCUMSH</v>
      </c>
      <c r="D79" s="106" t="str">
        <f t="shared" si="2"/>
        <v xml:space="preserve">Commercial Cooling Urban Multi Savings High </v>
      </c>
      <c r="E79" s="540" t="s">
        <v>44</v>
      </c>
      <c r="F79" s="540" t="s">
        <v>101</v>
      </c>
      <c r="G79" s="541" t="s">
        <v>98</v>
      </c>
      <c r="H79" s="541"/>
      <c r="I79" s="541"/>
      <c r="J79" s="542"/>
      <c r="L79" s="127" t="s">
        <v>266</v>
      </c>
      <c r="M79" s="127" t="s">
        <v>710</v>
      </c>
      <c r="N79" s="127" t="s">
        <v>704</v>
      </c>
      <c r="O79" s="127" t="s">
        <v>773</v>
      </c>
      <c r="P79" s="127" t="s">
        <v>717</v>
      </c>
    </row>
    <row r="80" spans="2:27" ht="16.25" customHeight="1" thickBot="1">
      <c r="C80" s="152" t="str">
        <f t="shared" si="8"/>
        <v>COMCRMSL</v>
      </c>
      <c r="D80" s="106" t="str">
        <f t="shared" si="2"/>
        <v xml:space="preserve">Commercial Cooling Rural Multi Savings Low </v>
      </c>
      <c r="E80" s="540" t="s">
        <v>44</v>
      </c>
      <c r="F80" s="540" t="s">
        <v>101</v>
      </c>
      <c r="G80" s="541" t="s">
        <v>98</v>
      </c>
      <c r="H80" s="541"/>
      <c r="I80" s="541"/>
      <c r="J80" s="542"/>
      <c r="L80" s="127" t="s">
        <v>266</v>
      </c>
      <c r="M80" s="127" t="s">
        <v>710</v>
      </c>
      <c r="N80" s="127" t="s">
        <v>705</v>
      </c>
      <c r="O80" s="127" t="s">
        <v>773</v>
      </c>
      <c r="P80" s="127" t="s">
        <v>715</v>
      </c>
    </row>
    <row r="81" spans="2:16" ht="16.25" customHeight="1" thickBot="1">
      <c r="C81" s="152" t="str">
        <f t="shared" si="8"/>
        <v>COMCRMSM</v>
      </c>
      <c r="D81" s="106" t="str">
        <f t="shared" si="2"/>
        <v xml:space="preserve">Commercial Cooling Rural Multi Savings Medium </v>
      </c>
      <c r="E81" s="540" t="s">
        <v>44</v>
      </c>
      <c r="F81" s="540" t="s">
        <v>101</v>
      </c>
      <c r="G81" s="541" t="s">
        <v>98</v>
      </c>
      <c r="H81" s="541"/>
      <c r="I81" s="541"/>
      <c r="J81" s="542"/>
      <c r="L81" s="127" t="s">
        <v>266</v>
      </c>
      <c r="M81" s="127" t="s">
        <v>710</v>
      </c>
      <c r="N81" s="127" t="s">
        <v>705</v>
      </c>
      <c r="O81" s="127" t="s">
        <v>773</v>
      </c>
      <c r="P81" s="127" t="s">
        <v>716</v>
      </c>
    </row>
    <row r="82" spans="2:16" ht="16.25" customHeight="1" thickBot="1">
      <c r="C82" s="152" t="str">
        <f t="shared" si="8"/>
        <v>COMCRMSH</v>
      </c>
      <c r="D82" s="106" t="str">
        <f t="shared" si="2"/>
        <v xml:space="preserve">Commercial Cooling Rural Multi Savings High </v>
      </c>
      <c r="E82" s="540" t="s">
        <v>44</v>
      </c>
      <c r="F82" s="540" t="s">
        <v>101</v>
      </c>
      <c r="G82" s="541" t="s">
        <v>98</v>
      </c>
      <c r="H82" s="541"/>
      <c r="I82" s="541"/>
      <c r="J82" s="542"/>
      <c r="L82" s="127" t="s">
        <v>266</v>
      </c>
      <c r="M82" s="127" t="s">
        <v>710</v>
      </c>
      <c r="N82" s="127" t="s">
        <v>705</v>
      </c>
      <c r="O82" s="127" t="s">
        <v>773</v>
      </c>
      <c r="P82" s="127" t="s">
        <v>717</v>
      </c>
    </row>
    <row r="83" spans="2:16" ht="16.25" customHeight="1">
      <c r="B83" s="70" t="s">
        <v>104</v>
      </c>
      <c r="C83" s="105" t="s">
        <v>862</v>
      </c>
      <c r="D83" s="543" t="s">
        <v>973</v>
      </c>
      <c r="E83" s="543" t="s">
        <v>105</v>
      </c>
      <c r="F83" s="544"/>
      <c r="G83" s="544"/>
      <c r="H83" s="544"/>
      <c r="I83" s="544"/>
      <c r="J83" s="509"/>
    </row>
    <row r="84" spans="2:16">
      <c r="B84" t="s">
        <v>47</v>
      </c>
      <c r="C84" t="s">
        <v>863</v>
      </c>
      <c r="D84" t="s">
        <v>807</v>
      </c>
      <c r="E84" s="133" t="s">
        <v>44</v>
      </c>
      <c r="G84" s="133" t="s">
        <v>98</v>
      </c>
    </row>
  </sheetData>
  <phoneticPr fontId="29"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6" tint="-0.249977111117893"/>
  </sheetPr>
  <dimension ref="B2:T123"/>
  <sheetViews>
    <sheetView zoomScale="55" zoomScaleNormal="55" workbookViewId="0">
      <selection activeCell="A81" sqref="A81:XFD81"/>
    </sheetView>
  </sheetViews>
  <sheetFormatPr defaultColWidth="8.81640625" defaultRowHeight="12.5"/>
  <cols>
    <col min="1" max="1" width="5.81640625" customWidth="1"/>
    <col min="2" max="2" width="11.6328125" bestFit="1" customWidth="1"/>
    <col min="3" max="3" width="11.1796875" customWidth="1"/>
    <col min="4" max="4" width="16.6328125" customWidth="1"/>
    <col min="5" max="5" width="68.81640625" bestFit="1" customWidth="1"/>
    <col min="7" max="7" width="12" customWidth="1"/>
    <col min="8" max="8" width="12.81640625" customWidth="1"/>
    <col min="9" max="9" width="14" customWidth="1"/>
    <col min="12" max="12" width="13.81640625" bestFit="1" customWidth="1"/>
    <col min="13" max="13" width="10.36328125" bestFit="1" customWidth="1"/>
    <col min="14" max="14" width="8.81640625" bestFit="1" customWidth="1"/>
    <col min="15" max="15" width="9.81640625" bestFit="1" customWidth="1"/>
    <col min="16" max="16" width="7.6328125" bestFit="1" customWidth="1"/>
    <col min="17" max="17" width="19.36328125" customWidth="1"/>
    <col min="18" max="18" width="6.1796875" bestFit="1" customWidth="1"/>
  </cols>
  <sheetData>
    <row r="2" spans="2:19" ht="18">
      <c r="B2" s="536" t="s">
        <v>757</v>
      </c>
      <c r="D2" s="536" t="s">
        <v>859</v>
      </c>
      <c r="E2" s="106" t="s">
        <v>972</v>
      </c>
    </row>
    <row r="3" spans="2:19" ht="18">
      <c r="C3" s="536"/>
      <c r="D3" s="536"/>
      <c r="E3" s="106"/>
    </row>
    <row r="4" spans="2:19" ht="13">
      <c r="B4" s="63" t="s">
        <v>18</v>
      </c>
      <c r="C4" s="63"/>
      <c r="D4" s="64"/>
      <c r="E4" s="64"/>
      <c r="F4" s="64"/>
      <c r="G4" s="64"/>
      <c r="H4" s="64"/>
      <c r="I4" s="64"/>
      <c r="J4" s="64"/>
      <c r="K4" s="64"/>
      <c r="L4" s="652"/>
      <c r="M4" s="653"/>
      <c r="N4" s="653"/>
      <c r="O4" s="653"/>
      <c r="P4" s="653"/>
      <c r="Q4" s="653"/>
      <c r="R4" s="653"/>
      <c r="S4" s="653"/>
    </row>
    <row r="5" spans="2:19" ht="39">
      <c r="B5" s="65" t="s">
        <v>19</v>
      </c>
      <c r="C5" s="65" t="s">
        <v>1</v>
      </c>
      <c r="D5" s="65" t="s">
        <v>2</v>
      </c>
      <c r="E5" s="65" t="s">
        <v>3</v>
      </c>
      <c r="F5" s="65" t="s">
        <v>20</v>
      </c>
      <c r="G5" s="65" t="s">
        <v>21</v>
      </c>
      <c r="H5" s="65" t="s">
        <v>22</v>
      </c>
      <c r="I5" s="65" t="s">
        <v>23</v>
      </c>
      <c r="J5" s="65" t="s">
        <v>24</v>
      </c>
      <c r="K5" s="546"/>
      <c r="L5" s="296" t="s">
        <v>791</v>
      </c>
      <c r="M5" s="296" t="s">
        <v>735</v>
      </c>
      <c r="N5" s="296" t="s">
        <v>733</v>
      </c>
      <c r="O5" s="296" t="s">
        <v>734</v>
      </c>
      <c r="P5" s="296" t="s">
        <v>75</v>
      </c>
      <c r="Q5" s="296" t="s">
        <v>756</v>
      </c>
      <c r="R5" s="296" t="s">
        <v>771</v>
      </c>
      <c r="S5" s="296" t="s">
        <v>774</v>
      </c>
    </row>
    <row r="6" spans="2:19" ht="21.5" thickBot="1">
      <c r="B6" s="66" t="s">
        <v>28</v>
      </c>
      <c r="C6" s="66" t="s">
        <v>29</v>
      </c>
      <c r="D6" s="66" t="s">
        <v>30</v>
      </c>
      <c r="E6" s="66" t="s">
        <v>31</v>
      </c>
      <c r="F6" s="66" t="s">
        <v>32</v>
      </c>
      <c r="G6" s="66" t="s">
        <v>33</v>
      </c>
      <c r="H6" s="66" t="s">
        <v>34</v>
      </c>
      <c r="I6" s="66" t="s">
        <v>35</v>
      </c>
      <c r="J6" s="66" t="s">
        <v>36</v>
      </c>
      <c r="K6" s="547"/>
      <c r="L6" s="545" t="s">
        <v>794</v>
      </c>
      <c r="M6" s="545" t="s">
        <v>794</v>
      </c>
      <c r="N6" s="545" t="s">
        <v>794</v>
      </c>
      <c r="O6" s="545" t="s">
        <v>794</v>
      </c>
      <c r="P6" s="545" t="s">
        <v>794</v>
      </c>
      <c r="Q6" s="545" t="s">
        <v>794</v>
      </c>
      <c r="R6" s="545" t="s">
        <v>794</v>
      </c>
      <c r="S6" s="545" t="s">
        <v>794</v>
      </c>
    </row>
    <row r="7" spans="2:19">
      <c r="B7" s="135" t="s">
        <v>25</v>
      </c>
      <c r="C7" s="77"/>
      <c r="D7" s="133" t="str">
        <f>LEFT($D$2,1)&amp;LEFT(L7,1)&amp;LEFT(M7,1)&amp;LEFT(O7,1)&amp;LEFT(N7,1)&amp;P7&amp;LEFT(Q7,1)&amp;R7</f>
        <v>CDHUDL</v>
      </c>
      <c r="E7" s="133" t="str">
        <f>$E$2&amp;" "&amp;L7&amp;" "&amp;M7&amp;" "&amp;O7&amp;" "&amp;N7&amp;" - "&amp;T7&amp;" - "&amp;Q7&amp;" "&amp;R7</f>
        <v xml:space="preserve">Commercial Demand Heating Urban Detached -  - Low </v>
      </c>
      <c r="F7" s="78" t="s">
        <v>46</v>
      </c>
      <c r="G7" s="78" t="s">
        <v>46</v>
      </c>
      <c r="H7" s="77"/>
      <c r="I7" s="83"/>
      <c r="J7" s="77"/>
      <c r="K7" s="77"/>
      <c r="L7" s="106" t="s">
        <v>775</v>
      </c>
      <c r="M7" s="127" t="s">
        <v>728</v>
      </c>
      <c r="N7" s="127" t="s">
        <v>102</v>
      </c>
      <c r="O7" s="127" t="s">
        <v>704</v>
      </c>
      <c r="Q7" s="106" t="s">
        <v>715</v>
      </c>
      <c r="R7" s="106"/>
    </row>
    <row r="8" spans="2:19">
      <c r="B8" s="77"/>
      <c r="C8" s="77"/>
      <c r="D8" s="133" t="str">
        <f>LEFT($D$2,1)&amp;LEFT(L8,1)&amp;LEFT(M8,1)&amp;LEFT(O8,1)&amp;LEFT(N8,1)&amp;P8&amp;LEFT(Q8,1)&amp;R8</f>
        <v>CDHUDM</v>
      </c>
      <c r="E8" s="133" t="str">
        <f t="shared" ref="E8:E82" si="0">$E$2&amp;" "&amp;L8&amp;" "&amp;M8&amp;" "&amp;O8&amp;" "&amp;N8&amp;" - "&amp;T8&amp;" - "&amp;Q8&amp;" "&amp;R8</f>
        <v xml:space="preserve">Commercial Demand Heating Urban Detached -  - Medium </v>
      </c>
      <c r="F8" s="78" t="s">
        <v>46</v>
      </c>
      <c r="G8" s="78" t="s">
        <v>46</v>
      </c>
      <c r="H8" s="77"/>
      <c r="I8" s="83"/>
      <c r="J8" s="77"/>
      <c r="K8" s="77"/>
      <c r="L8" s="106" t="s">
        <v>775</v>
      </c>
      <c r="M8" s="127" t="s">
        <v>728</v>
      </c>
      <c r="N8" s="127" t="s">
        <v>102</v>
      </c>
      <c r="O8" s="127" t="s">
        <v>704</v>
      </c>
      <c r="Q8" s="106" t="s">
        <v>716</v>
      </c>
    </row>
    <row r="9" spans="2:19">
      <c r="B9" s="77"/>
      <c r="C9" s="77"/>
      <c r="D9" s="133" t="str">
        <f t="shared" ref="D9:D83" si="1">LEFT($D$2,1)&amp;LEFT(L9,1)&amp;LEFT(M9,1)&amp;LEFT(O9,1)&amp;LEFT(N9,1)&amp;P9&amp;LEFT(Q9,1)&amp;R9</f>
        <v>CDHUDH</v>
      </c>
      <c r="E9" s="133" t="str">
        <f t="shared" si="0"/>
        <v xml:space="preserve">Commercial Demand Heating Urban Detached -  - High </v>
      </c>
      <c r="F9" s="78" t="s">
        <v>46</v>
      </c>
      <c r="G9" s="68" t="s">
        <v>46</v>
      </c>
      <c r="H9" s="77"/>
      <c r="I9" s="83"/>
      <c r="J9" s="78"/>
      <c r="K9" s="78"/>
      <c r="L9" s="106" t="s">
        <v>775</v>
      </c>
      <c r="M9" s="127" t="s">
        <v>728</v>
      </c>
      <c r="N9" s="127" t="s">
        <v>102</v>
      </c>
      <c r="O9" s="127" t="s">
        <v>704</v>
      </c>
      <c r="Q9" s="106" t="s">
        <v>717</v>
      </c>
    </row>
    <row r="10" spans="2:19">
      <c r="B10" s="77"/>
      <c r="C10" s="77"/>
      <c r="D10" s="133" t="str">
        <f t="shared" si="1"/>
        <v>CDHUDN</v>
      </c>
      <c r="E10" s="133" t="str">
        <f t="shared" si="0"/>
        <v xml:space="preserve">Commercial Demand Heating Urban Detached -  - New </v>
      </c>
      <c r="F10" s="78" t="s">
        <v>46</v>
      </c>
      <c r="G10" s="78" t="s">
        <v>46</v>
      </c>
      <c r="H10" s="77"/>
      <c r="I10" s="83"/>
      <c r="J10" s="77"/>
      <c r="K10" s="77"/>
      <c r="L10" s="106" t="s">
        <v>775</v>
      </c>
      <c r="M10" s="127" t="s">
        <v>728</v>
      </c>
      <c r="N10" s="127" t="s">
        <v>102</v>
      </c>
      <c r="O10" s="127" t="s">
        <v>704</v>
      </c>
      <c r="Q10" s="106" t="s">
        <v>51</v>
      </c>
    </row>
    <row r="11" spans="2:19">
      <c r="B11" s="77"/>
      <c r="C11" s="77"/>
      <c r="D11" s="133" t="str">
        <f t="shared" si="1"/>
        <v>CDHRDL</v>
      </c>
      <c r="E11" s="133" t="str">
        <f t="shared" si="0"/>
        <v xml:space="preserve">Commercial Demand Heating Rural Detached -  - Low </v>
      </c>
      <c r="F11" s="78" t="s">
        <v>46</v>
      </c>
      <c r="G11" s="78" t="s">
        <v>46</v>
      </c>
      <c r="H11" s="77"/>
      <c r="I11" s="83"/>
      <c r="J11" s="77"/>
      <c r="K11" s="77"/>
      <c r="L11" s="106" t="s">
        <v>775</v>
      </c>
      <c r="M11" s="127" t="s">
        <v>728</v>
      </c>
      <c r="N11" s="127" t="s">
        <v>102</v>
      </c>
      <c r="O11" s="127" t="s">
        <v>705</v>
      </c>
      <c r="Q11" s="106" t="s">
        <v>715</v>
      </c>
    </row>
    <row r="12" spans="2:19">
      <c r="B12" s="77"/>
      <c r="C12" s="77"/>
      <c r="D12" s="133" t="str">
        <f t="shared" si="1"/>
        <v>CDHRDM</v>
      </c>
      <c r="E12" s="133" t="str">
        <f t="shared" si="0"/>
        <v xml:space="preserve">Commercial Demand Heating Rural Detached -  - Medium </v>
      </c>
      <c r="F12" s="78" t="s">
        <v>46</v>
      </c>
      <c r="G12" s="78" t="s">
        <v>46</v>
      </c>
      <c r="H12" s="77"/>
      <c r="I12" s="83"/>
      <c r="J12" s="78"/>
      <c r="K12" s="78"/>
      <c r="L12" s="106" t="s">
        <v>775</v>
      </c>
      <c r="M12" s="127" t="s">
        <v>728</v>
      </c>
      <c r="N12" s="127" t="s">
        <v>102</v>
      </c>
      <c r="O12" s="127" t="s">
        <v>705</v>
      </c>
      <c r="Q12" s="106" t="s">
        <v>716</v>
      </c>
    </row>
    <row r="13" spans="2:19">
      <c r="B13" s="77"/>
      <c r="C13" s="77"/>
      <c r="D13" s="133" t="str">
        <f t="shared" si="1"/>
        <v>CDHRDH</v>
      </c>
      <c r="E13" s="133" t="str">
        <f t="shared" si="0"/>
        <v xml:space="preserve">Commercial Demand Heating Rural Detached -  - High </v>
      </c>
      <c r="F13" s="78" t="s">
        <v>46</v>
      </c>
      <c r="G13" s="78" t="s">
        <v>46</v>
      </c>
      <c r="H13" s="77"/>
      <c r="I13" s="83"/>
      <c r="J13" s="77"/>
      <c r="K13" s="77"/>
      <c r="L13" s="106" t="s">
        <v>775</v>
      </c>
      <c r="M13" s="127" t="s">
        <v>728</v>
      </c>
      <c r="N13" s="127" t="s">
        <v>102</v>
      </c>
      <c r="O13" s="127" t="s">
        <v>705</v>
      </c>
      <c r="Q13" s="106" t="s">
        <v>717</v>
      </c>
    </row>
    <row r="14" spans="2:19">
      <c r="B14" s="77"/>
      <c r="C14" s="77"/>
      <c r="D14" s="133" t="str">
        <f t="shared" si="1"/>
        <v>CDHRDN</v>
      </c>
      <c r="E14" s="133" t="str">
        <f t="shared" si="0"/>
        <v xml:space="preserve">Commercial Demand Heating Rural Detached -  - New </v>
      </c>
      <c r="F14" s="78" t="s">
        <v>46</v>
      </c>
      <c r="G14" s="78" t="s">
        <v>46</v>
      </c>
      <c r="H14" s="77"/>
      <c r="I14" s="83"/>
      <c r="J14" s="77"/>
      <c r="K14" s="77"/>
      <c r="L14" s="106" t="s">
        <v>775</v>
      </c>
      <c r="M14" s="127" t="s">
        <v>728</v>
      </c>
      <c r="N14" s="127" t="s">
        <v>102</v>
      </c>
      <c r="O14" s="127" t="s">
        <v>705</v>
      </c>
      <c r="Q14" s="106" t="s">
        <v>51</v>
      </c>
    </row>
    <row r="15" spans="2:19">
      <c r="B15" s="77"/>
      <c r="C15" s="77"/>
      <c r="D15" s="133" t="str">
        <f t="shared" si="1"/>
        <v>CDHUML</v>
      </c>
      <c r="E15" s="133" t="str">
        <f t="shared" si="0"/>
        <v xml:space="preserve">Commercial Demand Heating Urban Multi -  - Low </v>
      </c>
      <c r="F15" s="78" t="s">
        <v>46</v>
      </c>
      <c r="G15" s="78" t="s">
        <v>46</v>
      </c>
      <c r="H15" s="77"/>
      <c r="I15" s="83"/>
      <c r="J15" s="78"/>
      <c r="K15" s="78"/>
      <c r="L15" s="106" t="s">
        <v>775</v>
      </c>
      <c r="M15" s="127" t="s">
        <v>728</v>
      </c>
      <c r="N15" s="127" t="s">
        <v>710</v>
      </c>
      <c r="O15" s="127" t="s">
        <v>704</v>
      </c>
      <c r="Q15" s="106" t="s">
        <v>715</v>
      </c>
    </row>
    <row r="16" spans="2:19">
      <c r="B16" s="77"/>
      <c r="C16" s="77"/>
      <c r="D16" s="133" t="str">
        <f t="shared" si="1"/>
        <v>CDHUMM</v>
      </c>
      <c r="E16" s="133" t="str">
        <f t="shared" si="0"/>
        <v xml:space="preserve">Commercial Demand Heating Urban Multi -  - Medium </v>
      </c>
      <c r="F16" s="78" t="s">
        <v>46</v>
      </c>
      <c r="G16" s="78" t="s">
        <v>46</v>
      </c>
      <c r="H16" s="77"/>
      <c r="I16" s="83"/>
      <c r="J16" s="77"/>
      <c r="K16" s="64"/>
      <c r="L16" s="106" t="s">
        <v>775</v>
      </c>
      <c r="M16" s="127" t="s">
        <v>728</v>
      </c>
      <c r="N16" s="127" t="s">
        <v>710</v>
      </c>
      <c r="O16" s="127" t="s">
        <v>704</v>
      </c>
      <c r="Q16" s="106" t="s">
        <v>716</v>
      </c>
    </row>
    <row r="17" spans="2:17">
      <c r="B17" s="77"/>
      <c r="C17" s="77"/>
      <c r="D17" s="133" t="str">
        <f t="shared" si="1"/>
        <v>CDHUMH</v>
      </c>
      <c r="E17" s="133" t="str">
        <f t="shared" si="0"/>
        <v xml:space="preserve">Commercial Demand Heating Urban Multi -  - High </v>
      </c>
      <c r="F17" s="78" t="s">
        <v>46</v>
      </c>
      <c r="G17" s="78" t="s">
        <v>46</v>
      </c>
      <c r="H17" s="77"/>
      <c r="I17" s="83"/>
      <c r="J17" s="77"/>
      <c r="K17" s="64"/>
      <c r="L17" s="106" t="s">
        <v>775</v>
      </c>
      <c r="M17" s="127" t="s">
        <v>728</v>
      </c>
      <c r="N17" s="127" t="s">
        <v>710</v>
      </c>
      <c r="O17" s="127" t="s">
        <v>704</v>
      </c>
      <c r="Q17" s="106" t="s">
        <v>717</v>
      </c>
    </row>
    <row r="18" spans="2:17">
      <c r="B18" s="77"/>
      <c r="C18" s="77"/>
      <c r="D18" s="133" t="str">
        <f t="shared" si="1"/>
        <v>CDHUMN</v>
      </c>
      <c r="E18" s="133" t="str">
        <f t="shared" si="0"/>
        <v xml:space="preserve">Commercial Demand Heating Urban Multi -  - New </v>
      </c>
      <c r="F18" s="78" t="s">
        <v>46</v>
      </c>
      <c r="G18" s="78" t="s">
        <v>46</v>
      </c>
      <c r="H18" s="77"/>
      <c r="I18" s="83"/>
      <c r="J18" s="77"/>
      <c r="K18" s="77"/>
      <c r="L18" s="106" t="s">
        <v>775</v>
      </c>
      <c r="M18" s="127" t="s">
        <v>728</v>
      </c>
      <c r="N18" s="127" t="s">
        <v>710</v>
      </c>
      <c r="O18" s="127" t="s">
        <v>704</v>
      </c>
      <c r="Q18" s="106" t="s">
        <v>51</v>
      </c>
    </row>
    <row r="19" spans="2:17">
      <c r="B19" s="77"/>
      <c r="C19" s="77"/>
      <c r="D19" s="133" t="str">
        <f t="shared" si="1"/>
        <v>CDHRML</v>
      </c>
      <c r="E19" s="133" t="str">
        <f t="shared" si="0"/>
        <v xml:space="preserve">Commercial Demand Heating Rural Multi -  - Low </v>
      </c>
      <c r="F19" s="78" t="s">
        <v>46</v>
      </c>
      <c r="G19" s="78" t="s">
        <v>46</v>
      </c>
      <c r="H19" s="77"/>
      <c r="I19" s="83"/>
      <c r="J19" s="77"/>
      <c r="K19" s="77"/>
      <c r="L19" s="106" t="s">
        <v>775</v>
      </c>
      <c r="M19" s="127" t="s">
        <v>728</v>
      </c>
      <c r="N19" s="127" t="s">
        <v>710</v>
      </c>
      <c r="O19" s="127" t="s">
        <v>705</v>
      </c>
      <c r="Q19" s="106" t="s">
        <v>715</v>
      </c>
    </row>
    <row r="20" spans="2:17">
      <c r="B20" s="77"/>
      <c r="C20" s="77"/>
      <c r="D20" s="133" t="str">
        <f t="shared" si="1"/>
        <v>CDHRMM</v>
      </c>
      <c r="E20" s="133" t="str">
        <f t="shared" si="0"/>
        <v xml:space="preserve">Commercial Demand Heating Rural Multi -  - Medium </v>
      </c>
      <c r="F20" s="78" t="s">
        <v>46</v>
      </c>
      <c r="G20" s="78" t="s">
        <v>46</v>
      </c>
      <c r="H20" s="77"/>
      <c r="I20" s="83"/>
      <c r="J20" s="77"/>
      <c r="K20" s="77"/>
      <c r="L20" s="106" t="s">
        <v>775</v>
      </c>
      <c r="M20" s="127" t="s">
        <v>728</v>
      </c>
      <c r="N20" s="127" t="s">
        <v>710</v>
      </c>
      <c r="O20" s="127" t="s">
        <v>705</v>
      </c>
      <c r="Q20" s="106" t="s">
        <v>716</v>
      </c>
    </row>
    <row r="21" spans="2:17">
      <c r="B21" s="77"/>
      <c r="C21" s="77"/>
      <c r="D21" s="133" t="str">
        <f t="shared" si="1"/>
        <v>CDHRMH</v>
      </c>
      <c r="E21" s="133" t="str">
        <f t="shared" si="0"/>
        <v xml:space="preserve">Commercial Demand Heating Rural Multi -  - High </v>
      </c>
      <c r="F21" s="78" t="s">
        <v>46</v>
      </c>
      <c r="G21" s="78" t="s">
        <v>46</v>
      </c>
      <c r="H21" s="77"/>
      <c r="I21" s="83"/>
      <c r="J21" s="77"/>
      <c r="K21" s="77"/>
      <c r="L21" s="106" t="s">
        <v>775</v>
      </c>
      <c r="M21" s="127" t="s">
        <v>728</v>
      </c>
      <c r="N21" s="127" t="s">
        <v>710</v>
      </c>
      <c r="O21" s="127" t="s">
        <v>705</v>
      </c>
      <c r="Q21" s="106" t="s">
        <v>717</v>
      </c>
    </row>
    <row r="22" spans="2:17">
      <c r="B22" s="488"/>
      <c r="C22" s="488"/>
      <c r="D22" s="483" t="str">
        <f t="shared" si="1"/>
        <v>CDHRMN</v>
      </c>
      <c r="E22" s="133" t="str">
        <f t="shared" si="0"/>
        <v xml:space="preserve">Commercial Demand Heating Rural Multi -  - New </v>
      </c>
      <c r="F22" s="482" t="s">
        <v>46</v>
      </c>
      <c r="G22" s="482" t="s">
        <v>46</v>
      </c>
      <c r="H22" s="488"/>
      <c r="I22" s="491"/>
      <c r="J22" s="488"/>
      <c r="K22" s="77"/>
      <c r="L22" s="106" t="s">
        <v>775</v>
      </c>
      <c r="M22" s="127" t="s">
        <v>728</v>
      </c>
      <c r="N22" s="127" t="s">
        <v>710</v>
      </c>
      <c r="O22" s="127" t="s">
        <v>705</v>
      </c>
      <c r="Q22" s="106" t="s">
        <v>51</v>
      </c>
    </row>
    <row r="23" spans="2:17">
      <c r="B23" s="77"/>
      <c r="C23" s="77"/>
      <c r="D23" s="133" t="str">
        <f t="shared" si="1"/>
        <v>CDCUDL</v>
      </c>
      <c r="E23" s="133" t="str">
        <f t="shared" si="0"/>
        <v xml:space="preserve">Commercial Demand Cooling Urban Detached -  - Low </v>
      </c>
      <c r="F23" s="78" t="s">
        <v>46</v>
      </c>
      <c r="G23" s="78" t="s">
        <v>46</v>
      </c>
      <c r="H23" s="77"/>
      <c r="I23" s="83"/>
      <c r="J23" s="77"/>
      <c r="K23" s="77"/>
      <c r="L23" s="106" t="s">
        <v>775</v>
      </c>
      <c r="M23" s="127" t="s">
        <v>266</v>
      </c>
      <c r="N23" s="127" t="s">
        <v>102</v>
      </c>
      <c r="O23" s="127" t="s">
        <v>704</v>
      </c>
      <c r="Q23" s="106" t="s">
        <v>715</v>
      </c>
    </row>
    <row r="24" spans="2:17">
      <c r="B24" s="77"/>
      <c r="C24" s="77"/>
      <c r="D24" s="133" t="str">
        <f t="shared" si="1"/>
        <v>CDCUDM</v>
      </c>
      <c r="E24" s="133" t="str">
        <f t="shared" si="0"/>
        <v xml:space="preserve">Commercial Demand Cooling Urban Detached -  - Medium </v>
      </c>
      <c r="F24" s="78" t="s">
        <v>46</v>
      </c>
      <c r="G24" s="78" t="s">
        <v>46</v>
      </c>
      <c r="H24" s="77"/>
      <c r="I24" s="83"/>
      <c r="J24" s="77"/>
      <c r="K24" s="77"/>
      <c r="L24" s="106" t="s">
        <v>775</v>
      </c>
      <c r="M24" s="127" t="s">
        <v>266</v>
      </c>
      <c r="N24" s="127" t="s">
        <v>102</v>
      </c>
      <c r="O24" s="127" t="s">
        <v>704</v>
      </c>
      <c r="Q24" s="106" t="s">
        <v>716</v>
      </c>
    </row>
    <row r="25" spans="2:17">
      <c r="B25" s="77"/>
      <c r="C25" s="77"/>
      <c r="D25" s="133" t="str">
        <f t="shared" si="1"/>
        <v>CDCUDH</v>
      </c>
      <c r="E25" s="133" t="str">
        <f t="shared" si="0"/>
        <v xml:space="preserve">Commercial Demand Cooling Urban Detached -  - High </v>
      </c>
      <c r="F25" s="78" t="s">
        <v>46</v>
      </c>
      <c r="G25" s="78" t="s">
        <v>46</v>
      </c>
      <c r="H25" s="77"/>
      <c r="I25" s="83"/>
      <c r="J25" s="77"/>
      <c r="K25" s="77"/>
      <c r="L25" s="106" t="s">
        <v>775</v>
      </c>
      <c r="M25" s="127" t="s">
        <v>266</v>
      </c>
      <c r="N25" s="127" t="s">
        <v>102</v>
      </c>
      <c r="O25" s="127" t="s">
        <v>704</v>
      </c>
      <c r="Q25" s="106" t="s">
        <v>717</v>
      </c>
    </row>
    <row r="26" spans="2:17">
      <c r="B26" s="77"/>
      <c r="C26" s="77"/>
      <c r="D26" s="133" t="str">
        <f t="shared" si="1"/>
        <v>CDCUDN</v>
      </c>
      <c r="E26" s="133" t="str">
        <f t="shared" si="0"/>
        <v xml:space="preserve">Commercial Demand Cooling Urban Detached -  - New </v>
      </c>
      <c r="F26" s="78" t="s">
        <v>46</v>
      </c>
      <c r="G26" s="78" t="s">
        <v>46</v>
      </c>
      <c r="H26" s="77"/>
      <c r="I26" s="83"/>
      <c r="J26" s="77"/>
      <c r="K26" s="77"/>
      <c r="L26" s="106" t="s">
        <v>775</v>
      </c>
      <c r="M26" s="127" t="s">
        <v>266</v>
      </c>
      <c r="N26" s="127" t="s">
        <v>102</v>
      </c>
      <c r="O26" s="127" t="s">
        <v>704</v>
      </c>
      <c r="Q26" s="106" t="s">
        <v>51</v>
      </c>
    </row>
    <row r="27" spans="2:17">
      <c r="B27" s="77"/>
      <c r="C27" s="77"/>
      <c r="D27" s="133" t="str">
        <f t="shared" si="1"/>
        <v>CDCRDL</v>
      </c>
      <c r="E27" s="133" t="str">
        <f t="shared" si="0"/>
        <v xml:space="preserve">Commercial Demand Cooling Rural Detached -  - Low </v>
      </c>
      <c r="F27" s="78" t="s">
        <v>46</v>
      </c>
      <c r="G27" s="78" t="s">
        <v>46</v>
      </c>
      <c r="H27" s="77"/>
      <c r="I27" s="83"/>
      <c r="J27" s="77"/>
      <c r="K27" s="77"/>
      <c r="L27" s="106" t="s">
        <v>775</v>
      </c>
      <c r="M27" s="127" t="s">
        <v>266</v>
      </c>
      <c r="N27" s="127" t="s">
        <v>102</v>
      </c>
      <c r="O27" s="127" t="s">
        <v>705</v>
      </c>
      <c r="Q27" s="106" t="s">
        <v>715</v>
      </c>
    </row>
    <row r="28" spans="2:17">
      <c r="B28" s="77"/>
      <c r="C28" s="77"/>
      <c r="D28" s="133" t="str">
        <f t="shared" si="1"/>
        <v>CDCRDM</v>
      </c>
      <c r="E28" s="133" t="str">
        <f t="shared" si="0"/>
        <v xml:space="preserve">Commercial Demand Cooling Rural Detached -  - Medium </v>
      </c>
      <c r="F28" s="78" t="s">
        <v>46</v>
      </c>
      <c r="G28" s="78" t="s">
        <v>46</v>
      </c>
      <c r="H28" s="77"/>
      <c r="I28" s="83"/>
      <c r="J28" s="77"/>
      <c r="K28" s="77"/>
      <c r="L28" s="106" t="s">
        <v>775</v>
      </c>
      <c r="M28" s="127" t="s">
        <v>266</v>
      </c>
      <c r="N28" s="127" t="s">
        <v>102</v>
      </c>
      <c r="O28" s="127" t="s">
        <v>705</v>
      </c>
      <c r="Q28" s="106" t="s">
        <v>716</v>
      </c>
    </row>
    <row r="29" spans="2:17">
      <c r="B29" s="77"/>
      <c r="C29" s="77"/>
      <c r="D29" s="133" t="str">
        <f t="shared" si="1"/>
        <v>CDCRDH</v>
      </c>
      <c r="E29" s="133" t="str">
        <f t="shared" si="0"/>
        <v xml:space="preserve">Commercial Demand Cooling Rural Detached -  - High </v>
      </c>
      <c r="F29" s="78" t="s">
        <v>46</v>
      </c>
      <c r="G29" s="78" t="s">
        <v>46</v>
      </c>
      <c r="H29" s="77"/>
      <c r="I29" s="83"/>
      <c r="J29" s="77"/>
      <c r="K29" s="77"/>
      <c r="L29" s="106" t="s">
        <v>775</v>
      </c>
      <c r="M29" s="127" t="s">
        <v>266</v>
      </c>
      <c r="N29" s="127" t="s">
        <v>102</v>
      </c>
      <c r="O29" s="127" t="s">
        <v>705</v>
      </c>
      <c r="Q29" s="106" t="s">
        <v>717</v>
      </c>
    </row>
    <row r="30" spans="2:17">
      <c r="B30" s="77"/>
      <c r="C30" s="77"/>
      <c r="D30" s="133" t="str">
        <f t="shared" si="1"/>
        <v>CDCRDN</v>
      </c>
      <c r="E30" s="133" t="str">
        <f t="shared" si="0"/>
        <v xml:space="preserve">Commercial Demand Cooling Rural Detached -  - New </v>
      </c>
      <c r="F30" s="78" t="s">
        <v>46</v>
      </c>
      <c r="G30" s="78" t="s">
        <v>46</v>
      </c>
      <c r="H30" s="77"/>
      <c r="I30" s="83"/>
      <c r="J30" s="77"/>
      <c r="K30" s="77"/>
      <c r="L30" s="106" t="s">
        <v>775</v>
      </c>
      <c r="M30" s="127" t="s">
        <v>266</v>
      </c>
      <c r="N30" s="127" t="s">
        <v>102</v>
      </c>
      <c r="O30" s="127" t="s">
        <v>705</v>
      </c>
      <c r="Q30" s="106" t="s">
        <v>51</v>
      </c>
    </row>
    <row r="31" spans="2:17">
      <c r="B31" s="77"/>
      <c r="C31" s="77"/>
      <c r="D31" s="133" t="str">
        <f t="shared" si="1"/>
        <v>CDCUML</v>
      </c>
      <c r="E31" s="133" t="str">
        <f t="shared" si="0"/>
        <v xml:space="preserve">Commercial Demand Cooling Urban Multi -  - Low </v>
      </c>
      <c r="F31" s="78" t="s">
        <v>46</v>
      </c>
      <c r="G31" s="78" t="s">
        <v>46</v>
      </c>
      <c r="H31" s="77"/>
      <c r="I31" s="83"/>
      <c r="J31" s="77"/>
      <c r="K31" s="77"/>
      <c r="L31" s="106" t="s">
        <v>775</v>
      </c>
      <c r="M31" s="127" t="s">
        <v>266</v>
      </c>
      <c r="N31" s="127" t="s">
        <v>710</v>
      </c>
      <c r="O31" s="127" t="s">
        <v>704</v>
      </c>
      <c r="Q31" s="106" t="s">
        <v>715</v>
      </c>
    </row>
    <row r="32" spans="2:17">
      <c r="B32" s="77"/>
      <c r="C32" s="77"/>
      <c r="D32" s="133" t="str">
        <f t="shared" si="1"/>
        <v>CDCUMM</v>
      </c>
      <c r="E32" s="133" t="str">
        <f t="shared" si="0"/>
        <v xml:space="preserve">Commercial Demand Cooling Urban Multi -  - Medium </v>
      </c>
      <c r="F32" s="78" t="s">
        <v>46</v>
      </c>
      <c r="G32" s="78" t="s">
        <v>46</v>
      </c>
      <c r="H32" s="77"/>
      <c r="I32" s="83"/>
      <c r="J32" s="77"/>
      <c r="K32" s="77"/>
      <c r="L32" s="106" t="s">
        <v>775</v>
      </c>
      <c r="M32" s="127" t="s">
        <v>266</v>
      </c>
      <c r="N32" s="127" t="s">
        <v>710</v>
      </c>
      <c r="O32" s="127" t="s">
        <v>704</v>
      </c>
      <c r="Q32" s="106" t="s">
        <v>716</v>
      </c>
    </row>
    <row r="33" spans="2:20">
      <c r="B33" s="77"/>
      <c r="C33" s="77"/>
      <c r="D33" s="133" t="str">
        <f t="shared" si="1"/>
        <v>CDCUMH</v>
      </c>
      <c r="E33" s="133" t="str">
        <f t="shared" si="0"/>
        <v xml:space="preserve">Commercial Demand Cooling Urban Multi -  - High </v>
      </c>
      <c r="F33" s="78" t="s">
        <v>46</v>
      </c>
      <c r="G33" s="78" t="s">
        <v>46</v>
      </c>
      <c r="H33" s="77"/>
      <c r="I33" s="83"/>
      <c r="J33" s="77"/>
      <c r="K33" s="77"/>
      <c r="L33" s="106" t="s">
        <v>775</v>
      </c>
      <c r="M33" s="127" t="s">
        <v>266</v>
      </c>
      <c r="N33" s="127" t="s">
        <v>710</v>
      </c>
      <c r="O33" s="127" t="s">
        <v>704</v>
      </c>
      <c r="Q33" s="106" t="s">
        <v>717</v>
      </c>
    </row>
    <row r="34" spans="2:20">
      <c r="B34" s="77"/>
      <c r="C34" s="77"/>
      <c r="D34" s="133" t="str">
        <f t="shared" si="1"/>
        <v>CDCUMN</v>
      </c>
      <c r="E34" s="133" t="str">
        <f t="shared" si="0"/>
        <v xml:space="preserve">Commercial Demand Cooling Urban Multi -  - New </v>
      </c>
      <c r="F34" s="78" t="s">
        <v>46</v>
      </c>
      <c r="G34" s="78" t="s">
        <v>46</v>
      </c>
      <c r="H34" s="77"/>
      <c r="I34" s="83"/>
      <c r="J34" s="77"/>
      <c r="K34" s="77"/>
      <c r="L34" s="106" t="s">
        <v>775</v>
      </c>
      <c r="M34" s="127" t="s">
        <v>266</v>
      </c>
      <c r="N34" s="127" t="s">
        <v>710</v>
      </c>
      <c r="O34" s="127" t="s">
        <v>704</v>
      </c>
      <c r="Q34" s="106" t="s">
        <v>51</v>
      </c>
    </row>
    <row r="35" spans="2:20">
      <c r="B35" s="77"/>
      <c r="C35" s="77"/>
      <c r="D35" s="133" t="str">
        <f t="shared" si="1"/>
        <v>CDCRML</v>
      </c>
      <c r="E35" s="133" t="str">
        <f t="shared" si="0"/>
        <v xml:space="preserve">Commercial Demand Cooling Rural Multi -  - Low </v>
      </c>
      <c r="F35" s="78" t="s">
        <v>46</v>
      </c>
      <c r="G35" s="78" t="s">
        <v>46</v>
      </c>
      <c r="H35" s="77"/>
      <c r="I35" s="83"/>
      <c r="J35" s="77"/>
      <c r="K35" s="77"/>
      <c r="L35" s="106" t="s">
        <v>775</v>
      </c>
      <c r="M35" s="127" t="s">
        <v>266</v>
      </c>
      <c r="N35" s="127" t="s">
        <v>710</v>
      </c>
      <c r="O35" s="127" t="s">
        <v>705</v>
      </c>
      <c r="Q35" s="106" t="s">
        <v>715</v>
      </c>
    </row>
    <row r="36" spans="2:20">
      <c r="B36" s="77"/>
      <c r="C36" s="77"/>
      <c r="D36" s="133" t="str">
        <f t="shared" si="1"/>
        <v>CDCRMM</v>
      </c>
      <c r="E36" s="133" t="str">
        <f t="shared" si="0"/>
        <v xml:space="preserve">Commercial Demand Cooling Rural Multi -  - Medium </v>
      </c>
      <c r="F36" s="78" t="s">
        <v>46</v>
      </c>
      <c r="G36" s="78" t="s">
        <v>46</v>
      </c>
      <c r="H36" s="77"/>
      <c r="I36" s="83"/>
      <c r="J36" s="77"/>
      <c r="K36" s="77"/>
      <c r="L36" s="106" t="s">
        <v>775</v>
      </c>
      <c r="M36" s="127" t="s">
        <v>266</v>
      </c>
      <c r="N36" s="127" t="s">
        <v>710</v>
      </c>
      <c r="O36" s="127" t="s">
        <v>705</v>
      </c>
      <c r="Q36" s="106" t="s">
        <v>716</v>
      </c>
    </row>
    <row r="37" spans="2:20">
      <c r="B37" s="77"/>
      <c r="C37" s="77"/>
      <c r="D37" s="133" t="str">
        <f t="shared" si="1"/>
        <v>CDCRMH</v>
      </c>
      <c r="E37" s="133" t="str">
        <f t="shared" si="0"/>
        <v xml:space="preserve">Commercial Demand Cooling Rural Multi -  - High </v>
      </c>
      <c r="F37" s="78" t="s">
        <v>46</v>
      </c>
      <c r="G37" s="78" t="s">
        <v>46</v>
      </c>
      <c r="H37" s="77"/>
      <c r="I37" s="83"/>
      <c r="J37" s="77"/>
      <c r="K37" s="77"/>
      <c r="L37" s="106" t="s">
        <v>775</v>
      </c>
      <c r="M37" s="127" t="s">
        <v>266</v>
      </c>
      <c r="N37" s="127" t="s">
        <v>710</v>
      </c>
      <c r="O37" s="127" t="s">
        <v>705</v>
      </c>
      <c r="Q37" s="106" t="s">
        <v>717</v>
      </c>
    </row>
    <row r="38" spans="2:20">
      <c r="B38" s="488"/>
      <c r="C38" s="488"/>
      <c r="D38" s="483" t="str">
        <f t="shared" si="1"/>
        <v>CDCRMN</v>
      </c>
      <c r="E38" s="483" t="str">
        <f t="shared" si="0"/>
        <v xml:space="preserve">Commercial Demand Cooling Rural Multi -  - New </v>
      </c>
      <c r="F38" s="482" t="s">
        <v>46</v>
      </c>
      <c r="G38" s="482" t="s">
        <v>46</v>
      </c>
      <c r="H38" s="488"/>
      <c r="I38" s="491"/>
      <c r="J38" s="488"/>
      <c r="K38" s="77"/>
      <c r="L38" s="106" t="s">
        <v>775</v>
      </c>
      <c r="M38" s="127" t="s">
        <v>266</v>
      </c>
      <c r="N38" s="127" t="s">
        <v>710</v>
      </c>
      <c r="O38" s="127" t="s">
        <v>705</v>
      </c>
      <c r="Q38" s="106" t="s">
        <v>51</v>
      </c>
    </row>
    <row r="39" spans="2:20" ht="13">
      <c r="B39" s="77"/>
      <c r="C39" s="77"/>
      <c r="D39" s="133" t="str">
        <f t="shared" si="1"/>
        <v>CFTLPGE1</v>
      </c>
      <c r="E39" s="133" t="str">
        <f t="shared" si="0"/>
        <v>Commercial Food (Cooking) Technology   - LPG - Existing 1</v>
      </c>
      <c r="F39" s="133" t="s">
        <v>44</v>
      </c>
      <c r="G39" s="133" t="s">
        <v>65</v>
      </c>
      <c r="H39" s="79" t="s">
        <v>98</v>
      </c>
      <c r="I39" s="83"/>
      <c r="J39" s="77"/>
      <c r="K39" s="77"/>
      <c r="L39" s="133" t="s">
        <v>792</v>
      </c>
      <c r="M39" s="127" t="s">
        <v>735</v>
      </c>
      <c r="O39" s="127"/>
      <c r="P39" t="str">
        <f t="shared" ref="P39:P46" si="2">RIGHT(S39,LEN(S39)-3)</f>
        <v>LPG</v>
      </c>
      <c r="Q39" s="106" t="s">
        <v>793</v>
      </c>
      <c r="R39">
        <v>1</v>
      </c>
      <c r="S39" s="259" t="str">
        <f>Commodities!$C$20</f>
        <v>COMLPG</v>
      </c>
      <c r="T39" t="str">
        <f>VLOOKUP(S39,Commodities!$C$18:$R$38,16,FALSE)</f>
        <v>LPG</v>
      </c>
    </row>
    <row r="40" spans="2:20" ht="13">
      <c r="B40" s="77"/>
      <c r="C40" s="77"/>
      <c r="D40" s="133" t="str">
        <f t="shared" si="1"/>
        <v>CFTNGAE1</v>
      </c>
      <c r="E40" s="133" t="str">
        <f t="shared" si="0"/>
        <v>Commercial Food (Cooking) Technology   - Natural Gas - Existing 1</v>
      </c>
      <c r="F40" s="133" t="s">
        <v>44</v>
      </c>
      <c r="G40" s="133" t="s">
        <v>65</v>
      </c>
      <c r="H40" s="79" t="s">
        <v>98</v>
      </c>
      <c r="I40" s="83"/>
      <c r="J40" s="77"/>
      <c r="K40" s="77"/>
      <c r="L40" s="133" t="s">
        <v>792</v>
      </c>
      <c r="M40" s="127" t="s">
        <v>735</v>
      </c>
      <c r="O40" s="127"/>
      <c r="P40" t="str">
        <f t="shared" si="2"/>
        <v>NGA</v>
      </c>
      <c r="Q40" s="106" t="s">
        <v>793</v>
      </c>
      <c r="R40">
        <v>1</v>
      </c>
      <c r="S40" s="259" t="str">
        <f>Commodities!$C$18</f>
        <v>COMNGA</v>
      </c>
      <c r="T40" t="str">
        <f>VLOOKUP(S40,Commodities!$C$18:$R$38,16,FALSE)</f>
        <v>Natural Gas</v>
      </c>
    </row>
    <row r="41" spans="2:20" s="601" customFormat="1" ht="13">
      <c r="B41" s="608"/>
      <c r="C41" s="608"/>
      <c r="D41" s="609" t="str">
        <f t="shared" ref="D41" si="3">LEFT($D$2,1)&amp;LEFT(L41,1)&amp;LEFT(M41,1)&amp;LEFT(O41,1)&amp;LEFT(N41,1)&amp;P41&amp;LEFT(Q41,1)&amp;R41</f>
        <v>CFTELCOE1</v>
      </c>
      <c r="E41" s="609" t="str">
        <f t="shared" ref="E41" si="4">$E$2&amp;" "&amp;L41&amp;" "&amp;M41&amp;" "&amp;O41&amp;" "&amp;N41&amp;" - "&amp;T41&amp;" - "&amp;Q41&amp;" "&amp;R41</f>
        <v>Commercial Food (Cooking) Technology   - Electricity Cooking - Existing 1</v>
      </c>
      <c r="F41" s="609" t="s">
        <v>44</v>
      </c>
      <c r="G41" s="609" t="s">
        <v>65</v>
      </c>
      <c r="H41" s="600" t="s">
        <v>98</v>
      </c>
      <c r="I41" s="610"/>
      <c r="J41" s="608"/>
      <c r="K41" s="608"/>
      <c r="L41" s="609" t="s">
        <v>792</v>
      </c>
      <c r="M41" s="611" t="s">
        <v>735</v>
      </c>
      <c r="O41" s="611"/>
      <c r="P41" s="601" t="str">
        <f>RIGHT(S41,LEN(S41)-3)</f>
        <v>ELCO</v>
      </c>
      <c r="Q41" s="612" t="s">
        <v>793</v>
      </c>
      <c r="R41" s="601">
        <v>1</v>
      </c>
      <c r="S41" s="613" t="str">
        <f>Commodities!$C$32</f>
        <v>COMELCO</v>
      </c>
      <c r="T41" s="601" t="str">
        <f>VLOOKUP(S41,Commodities!$C$18:$R$38,16,FALSE)</f>
        <v>Electricity Cooking</v>
      </c>
    </row>
    <row r="42" spans="2:20" s="601" customFormat="1" ht="13">
      <c r="B42" s="608"/>
      <c r="C42" s="608"/>
      <c r="D42" s="609" t="str">
        <f t="shared" ref="D42" si="5">LEFT($D$2,1)&amp;LEFT(L42,1)&amp;LEFT(M42,1)&amp;LEFT(O42,1)&amp;LEFT(N42,1)&amp;P42&amp;LEFT(Q42,1)&amp;R42</f>
        <v>CFTFIWE1</v>
      </c>
      <c r="E42" s="609" t="str">
        <f t="shared" ref="E42" si="6">$E$2&amp;" "&amp;L42&amp;" "&amp;M42&amp;" "&amp;O42&amp;" "&amp;N42&amp;" - "&amp;T42&amp;" - "&amp;Q42&amp;" "&amp;R42</f>
        <v>Commercial Food (Cooking) Technology   - Fire wood - Existing 1</v>
      </c>
      <c r="F42" s="609" t="s">
        <v>44</v>
      </c>
      <c r="G42" s="609" t="s">
        <v>65</v>
      </c>
      <c r="H42" s="600" t="s">
        <v>98</v>
      </c>
      <c r="I42" s="610"/>
      <c r="J42" s="608"/>
      <c r="K42" s="608"/>
      <c r="L42" s="609" t="s">
        <v>792</v>
      </c>
      <c r="M42" s="611" t="s">
        <v>735</v>
      </c>
      <c r="O42" s="611"/>
      <c r="P42" s="601" t="str">
        <f>RIGHT(S42,LEN(S42)-3)</f>
        <v>FIW</v>
      </c>
      <c r="Q42" s="612" t="s">
        <v>793</v>
      </c>
      <c r="R42" s="601">
        <v>1</v>
      </c>
      <c r="S42" s="613" t="str">
        <f>Commodities!$C$24</f>
        <v>COMFIW</v>
      </c>
      <c r="T42" s="601" t="str">
        <f>VLOOKUP(S42,Commodities!$C$18:$R$38,16,FALSE)</f>
        <v>Fire wood</v>
      </c>
    </row>
    <row r="43" spans="2:20" ht="13">
      <c r="B43" s="77"/>
      <c r="C43" s="77"/>
      <c r="D43" s="133" t="str">
        <f t="shared" si="1"/>
        <v>CATELCAE1</v>
      </c>
      <c r="E43" s="133" t="str">
        <f t="shared" si="0"/>
        <v>Commercial Appliances Technology   - Electricity Appliances - Existing 1</v>
      </c>
      <c r="F43" s="133" t="s">
        <v>44</v>
      </c>
      <c r="G43" s="133" t="s">
        <v>65</v>
      </c>
      <c r="H43" s="79" t="s">
        <v>98</v>
      </c>
      <c r="I43" s="83"/>
      <c r="J43" s="77"/>
      <c r="K43" s="77"/>
      <c r="L43" s="133" t="s">
        <v>265</v>
      </c>
      <c r="M43" s="127" t="s">
        <v>735</v>
      </c>
      <c r="O43" s="127"/>
      <c r="P43" t="str">
        <f t="shared" si="2"/>
        <v>ELCA</v>
      </c>
      <c r="Q43" s="106" t="s">
        <v>793</v>
      </c>
      <c r="R43">
        <v>1</v>
      </c>
      <c r="S43" s="259" t="str">
        <f>Commodities!$C$31</f>
        <v>COMELCA</v>
      </c>
      <c r="T43" t="str">
        <f>VLOOKUP(S43,Commodities!$C$18:$R$38,16,FALSE)</f>
        <v>Electricity Appliances</v>
      </c>
    </row>
    <row r="44" spans="2:20">
      <c r="B44" s="77"/>
      <c r="C44" s="77"/>
      <c r="D44" s="133" t="str">
        <f t="shared" si="1"/>
        <v>CATGSLE1</v>
      </c>
      <c r="E44" s="133" t="str">
        <f t="shared" si="0"/>
        <v>Commercial Appliances Technology   - Gasoline - Existing 1</v>
      </c>
      <c r="F44" s="133" t="s">
        <v>44</v>
      </c>
      <c r="G44" s="133" t="s">
        <v>65</v>
      </c>
      <c r="H44" s="79" t="s">
        <v>98</v>
      </c>
      <c r="I44" s="83"/>
      <c r="J44" s="77"/>
      <c r="K44" s="77"/>
      <c r="L44" s="133" t="s">
        <v>265</v>
      </c>
      <c r="M44" s="127" t="s">
        <v>735</v>
      </c>
      <c r="O44" s="127"/>
      <c r="P44" t="str">
        <f t="shared" si="2"/>
        <v>GSL</v>
      </c>
      <c r="Q44" s="106" t="s">
        <v>793</v>
      </c>
      <c r="R44">
        <v>1</v>
      </c>
      <c r="S44" s="1" t="str">
        <f>Commodities!$C$22</f>
        <v>COMGSL</v>
      </c>
      <c r="T44" t="str">
        <f>VLOOKUP(S44,Commodities!$C$18:$R$38,16,FALSE)</f>
        <v>Gasoline</v>
      </c>
    </row>
    <row r="45" spans="2:20" ht="13">
      <c r="B45" s="77"/>
      <c r="C45" s="77"/>
      <c r="D45" s="133" t="str">
        <f t="shared" si="1"/>
        <v>CWTLPGE1</v>
      </c>
      <c r="E45" s="133" t="str">
        <f t="shared" si="0"/>
        <v>Commercial Water Hot Technology   - LPG - Existing 1</v>
      </c>
      <c r="F45" s="133" t="s">
        <v>44</v>
      </c>
      <c r="G45" s="133" t="s">
        <v>65</v>
      </c>
      <c r="H45" s="79" t="s">
        <v>98</v>
      </c>
      <c r="I45" s="83"/>
      <c r="J45" s="77"/>
      <c r="K45" s="77"/>
      <c r="L45" s="133" t="s">
        <v>776</v>
      </c>
      <c r="M45" s="127" t="s">
        <v>735</v>
      </c>
      <c r="O45" s="127"/>
      <c r="P45" t="str">
        <f t="shared" si="2"/>
        <v>LPG</v>
      </c>
      <c r="Q45" s="106" t="s">
        <v>793</v>
      </c>
      <c r="R45">
        <v>1</v>
      </c>
      <c r="S45" s="259" t="str">
        <f>Commodities!$C$20</f>
        <v>COMLPG</v>
      </c>
      <c r="T45" t="str">
        <f>VLOOKUP(S45,Commodities!$C$18:$R$38,16,FALSE)</f>
        <v>LPG</v>
      </c>
    </row>
    <row r="46" spans="2:20" ht="13">
      <c r="B46" s="488"/>
      <c r="C46" s="488"/>
      <c r="D46" s="483" t="str">
        <f t="shared" si="1"/>
        <v>CWTNGAE1</v>
      </c>
      <c r="E46" s="483" t="str">
        <f t="shared" si="0"/>
        <v>Commercial Water Hot Technology   - Natural Gas - Existing 1</v>
      </c>
      <c r="F46" s="483" t="s">
        <v>44</v>
      </c>
      <c r="G46" s="483" t="s">
        <v>65</v>
      </c>
      <c r="H46" s="486" t="s">
        <v>98</v>
      </c>
      <c r="I46" s="491"/>
      <c r="J46" s="488"/>
      <c r="K46" s="488"/>
      <c r="L46" s="483" t="s">
        <v>776</v>
      </c>
      <c r="M46" s="548" t="s">
        <v>735</v>
      </c>
      <c r="N46" s="187"/>
      <c r="O46" s="548"/>
      <c r="P46" s="187" t="str">
        <f t="shared" si="2"/>
        <v>NGA</v>
      </c>
      <c r="Q46" s="472" t="s">
        <v>793</v>
      </c>
      <c r="R46" s="187">
        <v>1</v>
      </c>
      <c r="S46" s="422" t="str">
        <f>Commodities!$C$18</f>
        <v>COMNGA</v>
      </c>
      <c r="T46" t="str">
        <f>VLOOKUP(S46,Commodities!$C$18:$R$38,16,FALSE)</f>
        <v>Natural Gas</v>
      </c>
    </row>
    <row r="47" spans="2:20" s="601" customFormat="1" ht="13">
      <c r="B47" s="618"/>
      <c r="C47" s="618"/>
      <c r="D47" s="617" t="str">
        <f t="shared" ref="D47" si="7">LEFT($D$2,1)&amp;LEFT(L47,1)&amp;LEFT(M47,1)&amp;LEFT(O47,1)&amp;LEFT(N47,1)&amp;P47&amp;LEFT(Q47,1)&amp;R47</f>
        <v>CWTDSLE1</v>
      </c>
      <c r="E47" s="617" t="str">
        <f t="shared" ref="E47" si="8">$E$2&amp;" "&amp;L47&amp;" "&amp;M47&amp;" "&amp;O47&amp;" "&amp;N47&amp;" - "&amp;T47&amp;" - "&amp;Q47&amp;" "&amp;R47</f>
        <v>Commercial Water Hot Technology   - Diesel - Existing 1</v>
      </c>
      <c r="F47" s="617" t="s">
        <v>44</v>
      </c>
      <c r="G47" s="617" t="s">
        <v>65</v>
      </c>
      <c r="H47" s="619" t="s">
        <v>98</v>
      </c>
      <c r="I47" s="620"/>
      <c r="J47" s="618"/>
      <c r="K47" s="618"/>
      <c r="L47" s="617" t="s">
        <v>776</v>
      </c>
      <c r="M47" s="621" t="s">
        <v>735</v>
      </c>
      <c r="N47" s="622"/>
      <c r="O47" s="621"/>
      <c r="P47" s="622" t="str">
        <f t="shared" ref="P47" si="9">RIGHT(S47,LEN(S47)-3)</f>
        <v>DSL</v>
      </c>
      <c r="Q47" s="621" t="s">
        <v>793</v>
      </c>
      <c r="R47" s="622">
        <v>1</v>
      </c>
      <c r="S47" s="623" t="str">
        <f>Commodities!$C$21</f>
        <v>COMDSL</v>
      </c>
      <c r="T47" s="601" t="str">
        <f>VLOOKUP(S47,Commodities!$C$18:$R$38,16,FALSE)</f>
        <v>Diesel</v>
      </c>
    </row>
    <row r="48" spans="2:20" s="601" customFormat="1" ht="13">
      <c r="B48" s="618"/>
      <c r="C48" s="618"/>
      <c r="D48" s="617" t="str">
        <f t="shared" ref="D48" si="10">LEFT($D$2,1)&amp;LEFT(L48,1)&amp;LEFT(M48,1)&amp;LEFT(O48,1)&amp;LEFT(N48,1)&amp;P48&amp;LEFT(Q48,1)&amp;R48</f>
        <v>CWTSOLE1</v>
      </c>
      <c r="E48" s="617" t="str">
        <f t="shared" ref="E48" si="11">$E$2&amp;" "&amp;L48&amp;" "&amp;M48&amp;" "&amp;O48&amp;" "&amp;N48&amp;" - "&amp;T48&amp;" - "&amp;Q48&amp;" "&amp;R48</f>
        <v>Commercial Water Hot Technology   - Solar - Existing 1</v>
      </c>
      <c r="F48" s="617" t="s">
        <v>44</v>
      </c>
      <c r="G48" s="617" t="s">
        <v>65</v>
      </c>
      <c r="H48" s="619" t="s">
        <v>98</v>
      </c>
      <c r="I48" s="620"/>
      <c r="J48" s="618"/>
      <c r="K48" s="618"/>
      <c r="L48" s="617" t="s">
        <v>776</v>
      </c>
      <c r="M48" s="621" t="s">
        <v>735</v>
      </c>
      <c r="N48" s="622"/>
      <c r="O48" s="621"/>
      <c r="P48" s="622" t="str">
        <f t="shared" ref="P48" si="12">RIGHT(S48,LEN(S48)-3)</f>
        <v>SOL</v>
      </c>
      <c r="Q48" s="621" t="s">
        <v>793</v>
      </c>
      <c r="R48" s="622">
        <v>1</v>
      </c>
      <c r="S48" s="623" t="str">
        <f>Commodities!$C$27</f>
        <v>COMSOL</v>
      </c>
      <c r="T48" s="601" t="str">
        <f>VLOOKUP(S48,Commodities!$C$18:$R$38,16,FALSE)</f>
        <v>Solar</v>
      </c>
    </row>
    <row r="49" spans="2:20" s="601" customFormat="1" ht="13">
      <c r="B49" s="618"/>
      <c r="C49" s="618"/>
      <c r="D49" s="617" t="str">
        <f t="shared" ref="D49" si="13">LEFT($D$2,1)&amp;LEFT(L49,1)&amp;LEFT(M49,1)&amp;LEFT(O49,1)&amp;LEFT(N49,1)&amp;P49&amp;LEFT(Q49,1)&amp;R49</f>
        <v>CWTELCHE1</v>
      </c>
      <c r="E49" s="617" t="str">
        <f t="shared" ref="E49" si="14">$E$2&amp;" "&amp;L49&amp;" "&amp;M49&amp;" "&amp;O49&amp;" "&amp;N49&amp;" - "&amp;T49&amp;" - "&amp;Q49&amp;" "&amp;R49</f>
        <v>Commercial Water Hot Technology   - Electricity Heating - Existing 1</v>
      </c>
      <c r="F49" s="617" t="s">
        <v>44</v>
      </c>
      <c r="G49" s="617" t="s">
        <v>65</v>
      </c>
      <c r="H49" s="619" t="s">
        <v>98</v>
      </c>
      <c r="I49" s="620"/>
      <c r="J49" s="618"/>
      <c r="K49" s="618"/>
      <c r="L49" s="617" t="s">
        <v>776</v>
      </c>
      <c r="M49" s="621" t="s">
        <v>735</v>
      </c>
      <c r="N49" s="622"/>
      <c r="O49" s="621"/>
      <c r="P49" s="622" t="str">
        <f t="shared" ref="P49" si="15">RIGHT(S49,LEN(S49)-3)</f>
        <v>ELCH</v>
      </c>
      <c r="Q49" s="621" t="s">
        <v>793</v>
      </c>
      <c r="R49" s="622">
        <v>1</v>
      </c>
      <c r="S49" s="623" t="str">
        <f>Commodities!$C$29</f>
        <v>COMELCH</v>
      </c>
      <c r="T49" s="601" t="str">
        <f>VLOOKUP(S49,Commodities!$C$18:$R$38,16,FALSE)</f>
        <v>Electricity Heating</v>
      </c>
    </row>
    <row r="50" spans="2:20" s="601" customFormat="1" ht="13">
      <c r="B50" s="618"/>
      <c r="C50" s="618"/>
      <c r="D50" s="617" t="str">
        <f t="shared" ref="D50" si="16">LEFT($D$2,1)&amp;LEFT(L50,1)&amp;LEFT(M50,1)&amp;LEFT(O50,1)&amp;LEFT(N50,1)&amp;P50&amp;LEFT(Q50,1)&amp;R50</f>
        <v>CWTFIWE1</v>
      </c>
      <c r="E50" s="617" t="str">
        <f t="shared" ref="E50" si="17">$E$2&amp;" "&amp;L50&amp;" "&amp;M50&amp;" "&amp;O50&amp;" "&amp;N50&amp;" - "&amp;T50&amp;" - "&amp;Q50&amp;" "&amp;R50</f>
        <v>Commercial Water Hot Technology   - Fire wood - Existing 1</v>
      </c>
      <c r="F50" s="617" t="s">
        <v>44</v>
      </c>
      <c r="G50" s="617" t="s">
        <v>65</v>
      </c>
      <c r="H50" s="619" t="s">
        <v>98</v>
      </c>
      <c r="I50" s="620"/>
      <c r="J50" s="618"/>
      <c r="K50" s="618"/>
      <c r="L50" s="617" t="s">
        <v>776</v>
      </c>
      <c r="M50" s="621" t="s">
        <v>735</v>
      </c>
      <c r="N50" s="622"/>
      <c r="O50" s="621"/>
      <c r="P50" s="622" t="str">
        <f t="shared" ref="P50" si="18">RIGHT(S50,LEN(S50)-3)</f>
        <v>FIW</v>
      </c>
      <c r="Q50" s="621" t="s">
        <v>793</v>
      </c>
      <c r="R50" s="622">
        <v>1</v>
      </c>
      <c r="S50" s="623" t="str">
        <f>Commodities!$C$24</f>
        <v>COMFIW</v>
      </c>
      <c r="T50" s="601" t="str">
        <f>VLOOKUP(S50,Commodities!$C$18:$R$38,16,FALSE)</f>
        <v>Fire wood</v>
      </c>
    </row>
    <row r="51" spans="2:20" s="601" customFormat="1" ht="13">
      <c r="B51" s="618"/>
      <c r="C51" s="618"/>
      <c r="D51" s="617" t="str">
        <f t="shared" ref="D51" si="19">LEFT($D$2,1)&amp;LEFT(L51,1)&amp;LEFT(M51,1)&amp;LEFT(O51,1)&amp;LEFT(N51,1)&amp;P51&amp;LEFT(Q51,1)&amp;R51</f>
        <v>CWTELCWE1</v>
      </c>
      <c r="E51" s="617" t="str">
        <f t="shared" ref="E51" si="20">$E$2&amp;" "&amp;L51&amp;" "&amp;M51&amp;" "&amp;O51&amp;" "&amp;N51&amp;" - "&amp;T51&amp;" - "&amp;Q51&amp;" "&amp;R51</f>
        <v>Commercial Water Hot Technology   - Electricity Water Heating - Existing 1</v>
      </c>
      <c r="F51" s="617" t="s">
        <v>44</v>
      </c>
      <c r="G51" s="617" t="s">
        <v>65</v>
      </c>
      <c r="H51" s="619" t="s">
        <v>98</v>
      </c>
      <c r="I51" s="620"/>
      <c r="J51" s="618"/>
      <c r="K51" s="618"/>
      <c r="L51" s="617" t="s">
        <v>776</v>
      </c>
      <c r="M51" s="621" t="s">
        <v>735</v>
      </c>
      <c r="N51" s="622"/>
      <c r="O51" s="621"/>
      <c r="P51" s="622" t="str">
        <f t="shared" ref="P51" si="21">RIGHT(S51,LEN(S51)-3)</f>
        <v>ELCW</v>
      </c>
      <c r="Q51" s="621" t="s">
        <v>793</v>
      </c>
      <c r="R51" s="622">
        <v>1</v>
      </c>
      <c r="S51" s="623" t="str">
        <f>Commodities!$C$33</f>
        <v>COMELCW</v>
      </c>
      <c r="T51" s="601" t="str">
        <f>VLOOKUP(S51,Commodities!$C$18:$R$38,16,FALSE)</f>
        <v>Electricity Water Heating</v>
      </c>
    </row>
    <row r="52" spans="2:20" s="601" customFormat="1" ht="13">
      <c r="B52" s="618"/>
      <c r="C52" s="618"/>
      <c r="D52" s="617" t="str">
        <f t="shared" ref="D52" si="22">LEFT($D$2,1)&amp;LEFT(L52,1)&amp;LEFT(M52,1)&amp;LEFT(O52,1)&amp;LEFT(N52,1)&amp;P52&amp;LEFT(Q52,1)&amp;R52</f>
        <v>CWTHCEE1</v>
      </c>
      <c r="E52" s="617" t="str">
        <f t="shared" ref="E52" si="23">$E$2&amp;" "&amp;L52&amp;" "&amp;M52&amp;" "&amp;O52&amp;" "&amp;N52&amp;" - "&amp;T52&amp;" - "&amp;Q52&amp;" "&amp;R52</f>
        <v>Commercial Water Hot Technology   - District heating Central - Existing 1</v>
      </c>
      <c r="F52" s="617" t="s">
        <v>44</v>
      </c>
      <c r="G52" s="617" t="s">
        <v>65</v>
      </c>
      <c r="H52" s="619" t="s">
        <v>98</v>
      </c>
      <c r="I52" s="620"/>
      <c r="J52" s="618"/>
      <c r="K52" s="618"/>
      <c r="L52" s="617" t="s">
        <v>776</v>
      </c>
      <c r="M52" s="621" t="s">
        <v>735</v>
      </c>
      <c r="N52" s="622"/>
      <c r="O52" s="621"/>
      <c r="P52" s="622" t="str">
        <f t="shared" ref="P52" si="24">RIGHT(S52,LEN(S52)-3)</f>
        <v>HCE</v>
      </c>
      <c r="Q52" s="621" t="s">
        <v>793</v>
      </c>
      <c r="R52" s="622">
        <v>1</v>
      </c>
      <c r="S52" s="623" t="str">
        <f>Commodities!$C$34</f>
        <v>COMHCE</v>
      </c>
      <c r="T52" s="601" t="str">
        <f>VLOOKUP(S52,Commodities!$C$18:$R$38,16,FALSE)</f>
        <v>District heating Central</v>
      </c>
    </row>
    <row r="53" spans="2:20" ht="13">
      <c r="B53" s="85" t="s">
        <v>64</v>
      </c>
      <c r="C53" s="69"/>
      <c r="D53" s="133" t="str">
        <f t="shared" si="1"/>
        <v>CHTUDNGAE1</v>
      </c>
      <c r="E53" s="86" t="str">
        <f t="shared" si="0"/>
        <v>Commercial Heating Technology Urban Detached - Natural Gas - Existing 1</v>
      </c>
      <c r="F53" s="68" t="s">
        <v>44</v>
      </c>
      <c r="G53" s="68" t="s">
        <v>65</v>
      </c>
      <c r="H53" s="79" t="s">
        <v>98</v>
      </c>
      <c r="I53" s="64"/>
      <c r="J53" s="64"/>
      <c r="K53" s="64"/>
      <c r="L53" s="133" t="s">
        <v>728</v>
      </c>
      <c r="M53" s="127" t="s">
        <v>735</v>
      </c>
      <c r="N53" s="127" t="s">
        <v>102</v>
      </c>
      <c r="O53" s="127" t="s">
        <v>704</v>
      </c>
      <c r="P53" t="str">
        <f>RIGHT(S53,LEN(S53)-3)</f>
        <v>NGA</v>
      </c>
      <c r="Q53" s="106" t="s">
        <v>793</v>
      </c>
      <c r="R53">
        <v>1</v>
      </c>
      <c r="S53" s="230" t="str">
        <f>Commodities!$C$18</f>
        <v>COMNGA</v>
      </c>
      <c r="T53" t="str">
        <f>VLOOKUP(S53,Commodities!$C$18:$R$38,16,FALSE)</f>
        <v>Natural Gas</v>
      </c>
    </row>
    <row r="54" spans="2:20" ht="13">
      <c r="B54" s="69"/>
      <c r="C54" s="69"/>
      <c r="D54" s="68" t="str">
        <f t="shared" si="1"/>
        <v>CHTUDDSLE1</v>
      </c>
      <c r="E54" s="86" t="str">
        <f t="shared" si="0"/>
        <v>Commercial Heating Technology Urban Detached - Diesel - Existing 1</v>
      </c>
      <c r="F54" s="68" t="s">
        <v>44</v>
      </c>
      <c r="G54" s="68" t="s">
        <v>65</v>
      </c>
      <c r="H54" s="79" t="s">
        <v>98</v>
      </c>
      <c r="I54" s="64"/>
      <c r="J54" s="64"/>
      <c r="K54" s="64"/>
      <c r="L54" s="133" t="s">
        <v>728</v>
      </c>
      <c r="M54" s="127" t="s">
        <v>735</v>
      </c>
      <c r="N54" s="127" t="s">
        <v>102</v>
      </c>
      <c r="O54" s="127" t="s">
        <v>704</v>
      </c>
      <c r="P54" t="str">
        <f t="shared" ref="P54:P74" si="25">RIGHT(S54,LEN(S54)-3)</f>
        <v>DSL</v>
      </c>
      <c r="Q54" s="106" t="s">
        <v>793</v>
      </c>
      <c r="R54">
        <v>1</v>
      </c>
      <c r="S54" s="230" t="str">
        <f>Commodities!$C$21</f>
        <v>COMDSL</v>
      </c>
      <c r="T54" t="str">
        <f>VLOOKUP(S54,Commodities!$C$18:$R$38,16,FALSE)</f>
        <v>Diesel</v>
      </c>
    </row>
    <row r="55" spans="2:20" ht="13">
      <c r="B55" s="69"/>
      <c r="C55" s="69"/>
      <c r="D55" s="68" t="str">
        <f t="shared" si="1"/>
        <v>CHTUDWPEE1</v>
      </c>
      <c r="E55" s="148" t="str">
        <f t="shared" si="0"/>
        <v>Commercial Heating Technology Urban Detached - Wood pellets - Existing 1</v>
      </c>
      <c r="F55" s="68" t="s">
        <v>44</v>
      </c>
      <c r="G55" s="68" t="s">
        <v>65</v>
      </c>
      <c r="H55" s="79" t="s">
        <v>98</v>
      </c>
      <c r="I55" s="64"/>
      <c r="J55" s="64"/>
      <c r="K55" s="64"/>
      <c r="L55" s="133" t="s">
        <v>728</v>
      </c>
      <c r="M55" s="127" t="s">
        <v>735</v>
      </c>
      <c r="N55" s="127" t="s">
        <v>102</v>
      </c>
      <c r="O55" s="127" t="s">
        <v>704</v>
      </c>
      <c r="P55" t="str">
        <f t="shared" si="25"/>
        <v>WPE</v>
      </c>
      <c r="Q55" s="106" t="s">
        <v>793</v>
      </c>
      <c r="R55">
        <v>1</v>
      </c>
      <c r="S55" s="230" t="str">
        <f>Commodities!$C$23</f>
        <v>COMWPE</v>
      </c>
      <c r="T55" t="str">
        <f>VLOOKUP(S55,Commodities!$C$18:$R$38,16,FALSE)</f>
        <v>Wood pellets</v>
      </c>
    </row>
    <row r="56" spans="2:20" ht="13">
      <c r="B56" s="69"/>
      <c r="C56" s="69"/>
      <c r="D56" s="68" t="str">
        <f t="shared" si="1"/>
        <v>CHTUDFIWE1</v>
      </c>
      <c r="E56" s="148" t="str">
        <f t="shared" si="0"/>
        <v>Commercial Heating Technology Urban Detached - Fire wood - Existing 1</v>
      </c>
      <c r="F56" s="68" t="s">
        <v>44</v>
      </c>
      <c r="G56" s="68" t="s">
        <v>65</v>
      </c>
      <c r="H56" s="79" t="s">
        <v>98</v>
      </c>
      <c r="I56" s="64"/>
      <c r="J56" s="64"/>
      <c r="K56" s="64"/>
      <c r="L56" s="133" t="s">
        <v>728</v>
      </c>
      <c r="M56" s="127" t="s">
        <v>735</v>
      </c>
      <c r="N56" s="127" t="s">
        <v>102</v>
      </c>
      <c r="O56" s="127" t="s">
        <v>704</v>
      </c>
      <c r="P56" t="str">
        <f t="shared" si="25"/>
        <v>FIW</v>
      </c>
      <c r="Q56" s="106" t="s">
        <v>793</v>
      </c>
      <c r="R56">
        <v>1</v>
      </c>
      <c r="S56" s="230" t="str">
        <f>Commodities!$C$24</f>
        <v>COMFIW</v>
      </c>
      <c r="T56" t="str">
        <f>VLOOKUP(S56,Commodities!$C$18:$R$38,16,FALSE)</f>
        <v>Fire wood</v>
      </c>
    </row>
    <row r="57" spans="2:20" s="601" customFormat="1" ht="13">
      <c r="B57" s="597"/>
      <c r="C57" s="597"/>
      <c r="D57" s="599" t="str">
        <f t="shared" si="1"/>
        <v>CHTUDCOAE1</v>
      </c>
      <c r="E57" s="614" t="str">
        <f t="shared" si="0"/>
        <v>Commercial Heating Technology Urban Detached - Coal - Existing 1</v>
      </c>
      <c r="F57" s="599" t="s">
        <v>44</v>
      </c>
      <c r="G57" s="599" t="s">
        <v>65</v>
      </c>
      <c r="H57" s="600" t="s">
        <v>98</v>
      </c>
      <c r="I57" s="597"/>
      <c r="J57" s="597"/>
      <c r="K57" s="597"/>
      <c r="L57" s="609" t="s">
        <v>728</v>
      </c>
      <c r="M57" s="611" t="s">
        <v>735</v>
      </c>
      <c r="N57" s="611" t="s">
        <v>102</v>
      </c>
      <c r="O57" s="611" t="s">
        <v>704</v>
      </c>
      <c r="P57" s="601" t="str">
        <f t="shared" si="25"/>
        <v>COA</v>
      </c>
      <c r="Q57" s="612" t="s">
        <v>793</v>
      </c>
      <c r="R57" s="601">
        <v>1</v>
      </c>
      <c r="S57" s="615" t="str">
        <f>Commodities!$C$25</f>
        <v>COMCOA</v>
      </c>
      <c r="T57" s="601" t="str">
        <f>VLOOKUP(S57,Commodities!$C$18:$R$38,16,FALSE)</f>
        <v>Coal</v>
      </c>
    </row>
    <row r="58" spans="2:20" ht="13">
      <c r="B58" s="69"/>
      <c r="C58" s="69"/>
      <c r="D58" s="68" t="str">
        <f t="shared" si="1"/>
        <v>CHTUDSOLE1</v>
      </c>
      <c r="E58" s="87" t="str">
        <f t="shared" si="0"/>
        <v>Commercial Heating Technology Urban Detached - Solar - Existing 1</v>
      </c>
      <c r="F58" s="68" t="s">
        <v>44</v>
      </c>
      <c r="G58" s="68" t="s">
        <v>65</v>
      </c>
      <c r="H58" s="79" t="s">
        <v>98</v>
      </c>
      <c r="I58" s="64"/>
      <c r="J58" s="64"/>
      <c r="K58" s="64"/>
      <c r="L58" s="133" t="s">
        <v>728</v>
      </c>
      <c r="M58" s="127" t="s">
        <v>735</v>
      </c>
      <c r="N58" s="127" t="s">
        <v>102</v>
      </c>
      <c r="O58" s="127" t="s">
        <v>704</v>
      </c>
      <c r="P58" t="str">
        <f t="shared" si="25"/>
        <v>SOL</v>
      </c>
      <c r="Q58" s="106" t="s">
        <v>793</v>
      </c>
      <c r="R58">
        <v>1</v>
      </c>
      <c r="S58" s="230" t="str">
        <f>Commodities!$C$27</f>
        <v>COMSOL</v>
      </c>
      <c r="T58" t="str">
        <f>VLOOKUP(S58,Commodities!$C$18:$R$38,16,FALSE)</f>
        <v>Solar</v>
      </c>
    </row>
    <row r="59" spans="2:20" ht="13">
      <c r="B59" s="69"/>
      <c r="C59" s="69"/>
      <c r="D59" s="68" t="str">
        <f t="shared" ref="D59" si="26">LEFT($D$2,1)&amp;LEFT(L59,1)&amp;LEFT(M59,1)&amp;LEFT(O59,1)&amp;LEFT(N59,1)&amp;P59&amp;LEFT(Q59,1)&amp;R59</f>
        <v>CHTUDGEOE1</v>
      </c>
      <c r="E59" s="87" t="str">
        <f t="shared" ref="E59" si="27">$E$2&amp;" "&amp;L59&amp;" "&amp;M59&amp;" "&amp;O59&amp;" "&amp;N59&amp;" - "&amp;T59&amp;" - "&amp;Q59&amp;" "&amp;R59</f>
        <v>Commercial Heating Technology Urban Detached - Geothermal - Existing 1</v>
      </c>
      <c r="F59" s="68" t="s">
        <v>44</v>
      </c>
      <c r="G59" s="68" t="s">
        <v>65</v>
      </c>
      <c r="H59" s="79" t="s">
        <v>98</v>
      </c>
      <c r="I59" s="64"/>
      <c r="J59" s="64"/>
      <c r="K59" s="64"/>
      <c r="L59" s="133" t="s">
        <v>728</v>
      </c>
      <c r="M59" s="127" t="s">
        <v>735</v>
      </c>
      <c r="N59" s="127" t="s">
        <v>102</v>
      </c>
      <c r="O59" s="127" t="s">
        <v>704</v>
      </c>
      <c r="P59" t="str">
        <f t="shared" ref="P59" si="28">RIGHT(S59,LEN(S59)-3)</f>
        <v>GEO</v>
      </c>
      <c r="Q59" s="106" t="s">
        <v>793</v>
      </c>
      <c r="R59">
        <v>1</v>
      </c>
      <c r="S59" s="230" t="str">
        <f>Commodities!$C$28</f>
        <v>COMGEO</v>
      </c>
      <c r="T59" t="str">
        <f>VLOOKUP(S59,Commodities!$C$18:$R$38,16,FALSE)</f>
        <v>Geothermal</v>
      </c>
    </row>
    <row r="60" spans="2:20" ht="13">
      <c r="B60" s="69"/>
      <c r="C60" s="69"/>
      <c r="D60" s="68" t="str">
        <f t="shared" si="1"/>
        <v>CHTUDELCHE1</v>
      </c>
      <c r="E60" s="87" t="str">
        <f t="shared" si="0"/>
        <v>Commercial Heating Technology Urban Detached - Electricity Heating - Existing 1</v>
      </c>
      <c r="F60" s="68" t="s">
        <v>44</v>
      </c>
      <c r="G60" s="68" t="s">
        <v>65</v>
      </c>
      <c r="H60" s="79" t="s">
        <v>98</v>
      </c>
      <c r="I60" s="64"/>
      <c r="J60" s="64"/>
      <c r="K60" s="64"/>
      <c r="L60" s="133" t="s">
        <v>728</v>
      </c>
      <c r="M60" s="127" t="s">
        <v>735</v>
      </c>
      <c r="N60" s="127" t="s">
        <v>102</v>
      </c>
      <c r="O60" s="127" t="s">
        <v>704</v>
      </c>
      <c r="P60" t="str">
        <f t="shared" si="25"/>
        <v>ELCH</v>
      </c>
      <c r="Q60" s="106" t="s">
        <v>793</v>
      </c>
      <c r="R60">
        <v>1</v>
      </c>
      <c r="S60" s="230" t="str">
        <f>Commodities!$C$29</f>
        <v>COMELCH</v>
      </c>
      <c r="T60" t="str">
        <f>VLOOKUP(S60,Commodities!$C$18:$R$38,16,FALSE)</f>
        <v>Electricity Heating</v>
      </c>
    </row>
    <row r="61" spans="2:20" ht="13">
      <c r="B61" s="69"/>
      <c r="C61" s="69"/>
      <c r="D61" s="68" t="str">
        <f t="shared" si="1"/>
        <v>CHTUDELCHE2</v>
      </c>
      <c r="E61" s="87" t="str">
        <f t="shared" si="0"/>
        <v>Commercial Heating Technology Urban Detached - Electricity Heating - Existing 2</v>
      </c>
      <c r="F61" s="68" t="s">
        <v>44</v>
      </c>
      <c r="G61" s="68" t="s">
        <v>65</v>
      </c>
      <c r="H61" s="79" t="s">
        <v>98</v>
      </c>
      <c r="I61" s="64"/>
      <c r="J61" s="64"/>
      <c r="K61" s="64"/>
      <c r="L61" s="133" t="s">
        <v>728</v>
      </c>
      <c r="M61" s="127" t="s">
        <v>735</v>
      </c>
      <c r="N61" s="127" t="s">
        <v>102</v>
      </c>
      <c r="O61" s="127" t="s">
        <v>704</v>
      </c>
      <c r="P61" t="str">
        <f t="shared" si="25"/>
        <v>ELCH</v>
      </c>
      <c r="Q61" s="106" t="s">
        <v>793</v>
      </c>
      <c r="R61">
        <v>2</v>
      </c>
      <c r="S61" s="230" t="s">
        <v>864</v>
      </c>
      <c r="T61" t="str">
        <f>VLOOKUP(S61,Commodities!$C$18:$R$38,16,FALSE)</f>
        <v>Electricity Heating</v>
      </c>
    </row>
    <row r="62" spans="2:20" ht="13">
      <c r="B62" s="78"/>
      <c r="C62" s="78"/>
      <c r="D62" s="68" t="str">
        <f t="shared" si="1"/>
        <v>CHTUDHCEE1</v>
      </c>
      <c r="E62" s="86" t="str">
        <f t="shared" si="0"/>
        <v>Commercial Heating Technology Urban Detached - District heating Central - Existing 1</v>
      </c>
      <c r="F62" s="68" t="s">
        <v>44</v>
      </c>
      <c r="G62" s="68" t="s">
        <v>65</v>
      </c>
      <c r="H62" s="79" t="s">
        <v>98</v>
      </c>
      <c r="I62" s="82"/>
      <c r="J62" s="77"/>
      <c r="K62" s="77"/>
      <c r="L62" s="133" t="s">
        <v>728</v>
      </c>
      <c r="M62" s="127" t="s">
        <v>735</v>
      </c>
      <c r="N62" s="127" t="s">
        <v>102</v>
      </c>
      <c r="O62" s="127" t="s">
        <v>704</v>
      </c>
      <c r="P62" t="str">
        <f t="shared" si="25"/>
        <v>HCE</v>
      </c>
      <c r="Q62" s="106" t="s">
        <v>793</v>
      </c>
      <c r="R62">
        <v>1</v>
      </c>
      <c r="S62" s="230" t="str">
        <f>Commodities!$C$34</f>
        <v>COMHCE</v>
      </c>
      <c r="T62" t="str">
        <f>VLOOKUP(S62,Commodities!$C$18:$R$38,16,FALSE)</f>
        <v>District heating Central</v>
      </c>
    </row>
    <row r="63" spans="2:20" ht="13">
      <c r="B63" s="72"/>
      <c r="C63" s="72"/>
      <c r="D63" s="71" t="str">
        <f t="shared" si="1"/>
        <v>CHTUDLPGE1</v>
      </c>
      <c r="E63" s="88" t="str">
        <f t="shared" si="0"/>
        <v>Commercial Heating Technology Urban Detached - LPG - Existing 1</v>
      </c>
      <c r="F63" s="71" t="s">
        <v>44</v>
      </c>
      <c r="G63" s="71" t="s">
        <v>65</v>
      </c>
      <c r="H63" s="75" t="s">
        <v>98</v>
      </c>
      <c r="I63" s="84"/>
      <c r="J63" s="70"/>
      <c r="K63" s="77"/>
      <c r="L63" s="133" t="s">
        <v>728</v>
      </c>
      <c r="M63" s="127" t="s">
        <v>735</v>
      </c>
      <c r="N63" s="127" t="s">
        <v>102</v>
      </c>
      <c r="O63" s="127" t="s">
        <v>704</v>
      </c>
      <c r="P63" t="str">
        <f t="shared" si="25"/>
        <v>LPG</v>
      </c>
      <c r="Q63" s="106" t="s">
        <v>793</v>
      </c>
      <c r="R63">
        <v>1</v>
      </c>
      <c r="S63" s="256" t="str">
        <f>Commodities!$C$20</f>
        <v>COMLPG</v>
      </c>
      <c r="T63" t="str">
        <f>VLOOKUP(S63,Commodities!$C$18:$R$38,16,FALSE)</f>
        <v>LPG</v>
      </c>
    </row>
    <row r="64" spans="2:20" ht="13">
      <c r="B64" s="69"/>
      <c r="C64" s="69"/>
      <c r="D64" s="68" t="str">
        <f t="shared" si="1"/>
        <v>CHTRDNGAE1</v>
      </c>
      <c r="E64" s="86" t="str">
        <f t="shared" si="0"/>
        <v>Commercial Heating Technology Rural Detached - Natural Gas - Existing 1</v>
      </c>
      <c r="F64" s="68" t="s">
        <v>44</v>
      </c>
      <c r="G64" s="68" t="s">
        <v>65</v>
      </c>
      <c r="H64" s="79" t="s">
        <v>98</v>
      </c>
      <c r="I64" s="64"/>
      <c r="J64" s="64"/>
      <c r="K64" s="64"/>
      <c r="L64" s="133" t="s">
        <v>728</v>
      </c>
      <c r="M64" s="127" t="s">
        <v>735</v>
      </c>
      <c r="N64" s="127" t="s">
        <v>102</v>
      </c>
      <c r="O64" s="127" t="s">
        <v>705</v>
      </c>
      <c r="P64" t="str">
        <f t="shared" si="25"/>
        <v>NGA</v>
      </c>
      <c r="Q64" s="106" t="s">
        <v>793</v>
      </c>
      <c r="R64">
        <v>1</v>
      </c>
      <c r="S64" s="230" t="str">
        <f>Commodities!$C$18</f>
        <v>COMNGA</v>
      </c>
      <c r="T64" t="str">
        <f>VLOOKUP(S64,Commodities!$C$18:$R$38,16,FALSE)</f>
        <v>Natural Gas</v>
      </c>
    </row>
    <row r="65" spans="2:20" ht="13">
      <c r="B65" s="69"/>
      <c r="C65" s="69"/>
      <c r="D65" s="68" t="str">
        <f t="shared" si="1"/>
        <v>CHTRDDSLE1</v>
      </c>
      <c r="E65" s="86" t="str">
        <f t="shared" si="0"/>
        <v>Commercial Heating Technology Rural Detached - Diesel - Existing 1</v>
      </c>
      <c r="F65" s="68" t="s">
        <v>44</v>
      </c>
      <c r="G65" s="68" t="s">
        <v>65</v>
      </c>
      <c r="H65" s="79" t="s">
        <v>98</v>
      </c>
      <c r="I65" s="64"/>
      <c r="J65" s="64"/>
      <c r="K65" s="64"/>
      <c r="L65" s="133" t="s">
        <v>728</v>
      </c>
      <c r="M65" s="127" t="s">
        <v>735</v>
      </c>
      <c r="N65" s="127" t="s">
        <v>102</v>
      </c>
      <c r="O65" s="127" t="s">
        <v>705</v>
      </c>
      <c r="P65" t="str">
        <f t="shared" si="25"/>
        <v>DSL</v>
      </c>
      <c r="Q65" s="106" t="s">
        <v>793</v>
      </c>
      <c r="R65">
        <v>1</v>
      </c>
      <c r="S65" s="230" t="str">
        <f>Commodities!$C$21</f>
        <v>COMDSL</v>
      </c>
      <c r="T65" t="str">
        <f>VLOOKUP(S65,Commodities!$C$18:$R$38,16,FALSE)</f>
        <v>Diesel</v>
      </c>
    </row>
    <row r="66" spans="2:20" ht="13">
      <c r="B66" s="69"/>
      <c r="C66" s="69"/>
      <c r="D66" s="68" t="str">
        <f t="shared" si="1"/>
        <v>CHTRDWPEE1</v>
      </c>
      <c r="E66" s="148" t="str">
        <f t="shared" si="0"/>
        <v>Commercial Heating Technology Rural Detached - Wood pellets - Existing 1</v>
      </c>
      <c r="F66" s="68" t="s">
        <v>44</v>
      </c>
      <c r="G66" s="68" t="s">
        <v>65</v>
      </c>
      <c r="H66" s="79" t="s">
        <v>98</v>
      </c>
      <c r="I66" s="64"/>
      <c r="J66" s="64"/>
      <c r="K66" s="64"/>
      <c r="L66" s="133" t="s">
        <v>728</v>
      </c>
      <c r="M66" s="127" t="s">
        <v>735</v>
      </c>
      <c r="N66" s="127" t="s">
        <v>102</v>
      </c>
      <c r="O66" s="127" t="s">
        <v>705</v>
      </c>
      <c r="P66" t="str">
        <f t="shared" si="25"/>
        <v>WPE</v>
      </c>
      <c r="Q66" s="106" t="s">
        <v>793</v>
      </c>
      <c r="R66">
        <v>1</v>
      </c>
      <c r="S66" s="230" t="str">
        <f>Commodities!$C$23</f>
        <v>COMWPE</v>
      </c>
      <c r="T66" t="str">
        <f>VLOOKUP(S66,Commodities!$C$18:$R$38,16,FALSE)</f>
        <v>Wood pellets</v>
      </c>
    </row>
    <row r="67" spans="2:20" ht="13">
      <c r="B67" s="69"/>
      <c r="C67" s="69"/>
      <c r="D67" s="68" t="str">
        <f t="shared" si="1"/>
        <v>CHTRDFIWE1</v>
      </c>
      <c r="E67" s="148" t="str">
        <f t="shared" si="0"/>
        <v>Commercial Heating Technology Rural Detached - Fire wood - Existing 1</v>
      </c>
      <c r="F67" s="68" t="s">
        <v>44</v>
      </c>
      <c r="G67" s="68" t="s">
        <v>65</v>
      </c>
      <c r="H67" s="79" t="s">
        <v>98</v>
      </c>
      <c r="I67" s="64"/>
      <c r="J67" s="64"/>
      <c r="K67" s="64"/>
      <c r="L67" s="133" t="s">
        <v>728</v>
      </c>
      <c r="M67" s="127" t="s">
        <v>735</v>
      </c>
      <c r="N67" s="127" t="s">
        <v>102</v>
      </c>
      <c r="O67" s="127" t="s">
        <v>705</v>
      </c>
      <c r="P67" t="str">
        <f t="shared" si="25"/>
        <v>FIW</v>
      </c>
      <c r="Q67" s="106" t="s">
        <v>793</v>
      </c>
      <c r="R67">
        <v>1</v>
      </c>
      <c r="S67" s="230" t="str">
        <f>Commodities!$C$24</f>
        <v>COMFIW</v>
      </c>
      <c r="T67" t="str">
        <f>VLOOKUP(S67,Commodities!$C$18:$R$38,16,FALSE)</f>
        <v>Fire wood</v>
      </c>
    </row>
    <row r="68" spans="2:20" ht="13">
      <c r="B68" s="69"/>
      <c r="C68" s="69"/>
      <c r="D68" s="68" t="str">
        <f t="shared" si="1"/>
        <v>CHTRDCOAE1</v>
      </c>
      <c r="E68" s="86" t="str">
        <f t="shared" si="0"/>
        <v>Commercial Heating Technology Rural Detached - Coal - Existing 1</v>
      </c>
      <c r="F68" s="68" t="s">
        <v>44</v>
      </c>
      <c r="G68" s="68" t="s">
        <v>65</v>
      </c>
      <c r="H68" s="79" t="s">
        <v>98</v>
      </c>
      <c r="I68" s="64"/>
      <c r="J68" s="64"/>
      <c r="K68" s="64"/>
      <c r="L68" s="133" t="s">
        <v>728</v>
      </c>
      <c r="M68" s="127" t="s">
        <v>735</v>
      </c>
      <c r="N68" s="127" t="s">
        <v>102</v>
      </c>
      <c r="O68" s="127" t="s">
        <v>705</v>
      </c>
      <c r="P68" t="str">
        <f t="shared" si="25"/>
        <v>COA</v>
      </c>
      <c r="Q68" s="106" t="s">
        <v>793</v>
      </c>
      <c r="R68">
        <v>1</v>
      </c>
      <c r="S68" s="230" t="str">
        <f>Commodities!$C$25</f>
        <v>COMCOA</v>
      </c>
      <c r="T68" t="str">
        <f>VLOOKUP(S68,Commodities!$C$18:$R$38,16,FALSE)</f>
        <v>Coal</v>
      </c>
    </row>
    <row r="69" spans="2:20" ht="13">
      <c r="B69" s="69"/>
      <c r="C69" s="69"/>
      <c r="D69" s="68" t="str">
        <f t="shared" si="1"/>
        <v>CHTRDSOLE1</v>
      </c>
      <c r="E69" s="86" t="str">
        <f t="shared" si="0"/>
        <v>Commercial Heating Technology Rural Detached - Solar - Existing 1</v>
      </c>
      <c r="F69" s="68" t="s">
        <v>44</v>
      </c>
      <c r="G69" s="68" t="s">
        <v>65</v>
      </c>
      <c r="H69" s="79" t="s">
        <v>98</v>
      </c>
      <c r="I69" s="64"/>
      <c r="J69" s="64"/>
      <c r="K69" s="64"/>
      <c r="L69" s="133" t="s">
        <v>728</v>
      </c>
      <c r="M69" s="127" t="s">
        <v>735</v>
      </c>
      <c r="N69" s="127" t="s">
        <v>102</v>
      </c>
      <c r="O69" s="127" t="s">
        <v>705</v>
      </c>
      <c r="P69" t="str">
        <f t="shared" si="25"/>
        <v>SOL</v>
      </c>
      <c r="Q69" s="106" t="s">
        <v>793</v>
      </c>
      <c r="R69">
        <v>1</v>
      </c>
      <c r="S69" s="230" t="str">
        <f>Commodities!$C$27</f>
        <v>COMSOL</v>
      </c>
      <c r="T69" t="str">
        <f>VLOOKUP(S69,Commodities!$C$18:$R$38,16,FALSE)</f>
        <v>Solar</v>
      </c>
    </row>
    <row r="70" spans="2:20" ht="13">
      <c r="B70" s="69"/>
      <c r="C70" s="69"/>
      <c r="D70" s="68" t="str">
        <f t="shared" si="1"/>
        <v>CHTRDGEOE1</v>
      </c>
      <c r="E70" s="87" t="str">
        <f t="shared" si="0"/>
        <v>Commercial Heating Technology Rural Detached - Geothermal - Existing 1</v>
      </c>
      <c r="F70" s="68" t="s">
        <v>44</v>
      </c>
      <c r="G70" s="68" t="s">
        <v>65</v>
      </c>
      <c r="H70" s="79" t="s">
        <v>98</v>
      </c>
      <c r="I70" s="64"/>
      <c r="J70" s="64"/>
      <c r="K70" s="64"/>
      <c r="L70" s="133" t="s">
        <v>728</v>
      </c>
      <c r="M70" s="127" t="s">
        <v>735</v>
      </c>
      <c r="N70" s="127" t="s">
        <v>102</v>
      </c>
      <c r="O70" s="127" t="s">
        <v>705</v>
      </c>
      <c r="P70" t="str">
        <f t="shared" si="25"/>
        <v>GEO</v>
      </c>
      <c r="Q70" s="106" t="s">
        <v>793</v>
      </c>
      <c r="R70">
        <v>1</v>
      </c>
      <c r="S70" s="230" t="str">
        <f>Commodities!$C$28</f>
        <v>COMGEO</v>
      </c>
      <c r="T70" t="str">
        <f>VLOOKUP(S70,Commodities!$C$18:$R$38,16,FALSE)</f>
        <v>Geothermal</v>
      </c>
    </row>
    <row r="71" spans="2:20" ht="13">
      <c r="B71" s="69"/>
      <c r="C71" s="69"/>
      <c r="D71" s="68" t="str">
        <f t="shared" si="1"/>
        <v>CHTRDELCHE1</v>
      </c>
      <c r="E71" s="136" t="str">
        <f t="shared" si="0"/>
        <v>Commercial Heating Technology Rural Detached - Electricity Heating - Existing 1</v>
      </c>
      <c r="F71" s="68" t="s">
        <v>44</v>
      </c>
      <c r="G71" s="68" t="s">
        <v>65</v>
      </c>
      <c r="H71" s="79" t="s">
        <v>98</v>
      </c>
      <c r="I71" s="64"/>
      <c r="J71" s="64"/>
      <c r="K71" s="64"/>
      <c r="L71" s="133" t="s">
        <v>728</v>
      </c>
      <c r="M71" s="127" t="s">
        <v>735</v>
      </c>
      <c r="N71" s="127" t="s">
        <v>102</v>
      </c>
      <c r="O71" s="127" t="s">
        <v>705</v>
      </c>
      <c r="P71" t="str">
        <f t="shared" si="25"/>
        <v>ELCH</v>
      </c>
      <c r="Q71" s="106" t="s">
        <v>793</v>
      </c>
      <c r="R71">
        <v>1</v>
      </c>
      <c r="S71" s="230" t="str">
        <f>Commodities!$C$29</f>
        <v>COMELCH</v>
      </c>
      <c r="T71" t="str">
        <f>VLOOKUP(S71,Commodities!$C$18:$R$38,16,FALSE)</f>
        <v>Electricity Heating</v>
      </c>
    </row>
    <row r="72" spans="2:20" ht="13">
      <c r="B72" s="69"/>
      <c r="C72" s="69"/>
      <c r="D72" s="68" t="str">
        <f t="shared" si="1"/>
        <v>CHTRDELCHE2</v>
      </c>
      <c r="E72" s="87" t="str">
        <f t="shared" si="0"/>
        <v>Commercial Heating Technology Rural Detached - Electricity Heating - Existing 2</v>
      </c>
      <c r="F72" s="68" t="s">
        <v>44</v>
      </c>
      <c r="G72" s="68" t="s">
        <v>65</v>
      </c>
      <c r="H72" s="79" t="s">
        <v>98</v>
      </c>
      <c r="I72" s="64"/>
      <c r="J72" s="64"/>
      <c r="K72" s="64"/>
      <c r="L72" s="133" t="s">
        <v>728</v>
      </c>
      <c r="M72" s="127" t="s">
        <v>735</v>
      </c>
      <c r="N72" s="127" t="s">
        <v>102</v>
      </c>
      <c r="O72" s="127" t="s">
        <v>705</v>
      </c>
      <c r="P72" t="str">
        <f t="shared" si="25"/>
        <v>ELCH</v>
      </c>
      <c r="Q72" s="106" t="s">
        <v>793</v>
      </c>
      <c r="R72">
        <v>2</v>
      </c>
      <c r="S72" s="230" t="s">
        <v>864</v>
      </c>
      <c r="T72" t="str">
        <f>VLOOKUP(S72,Commodities!$C$18:$R$38,16,FALSE)</f>
        <v>Electricity Heating</v>
      </c>
    </row>
    <row r="73" spans="2:20" ht="13">
      <c r="B73" s="69"/>
      <c r="C73" s="69"/>
      <c r="D73" s="68" t="str">
        <f t="shared" si="1"/>
        <v>CHTRDHCEE1</v>
      </c>
      <c r="E73" s="86" t="str">
        <f t="shared" si="0"/>
        <v>Commercial Heating Technology Rural Detached - District heating Central - Existing 1</v>
      </c>
      <c r="F73" s="68" t="s">
        <v>44</v>
      </c>
      <c r="G73" s="68" t="s">
        <v>65</v>
      </c>
      <c r="H73" s="79" t="s">
        <v>98</v>
      </c>
      <c r="I73" s="81"/>
      <c r="J73" s="64"/>
      <c r="K73" s="64"/>
      <c r="L73" s="133" t="s">
        <v>728</v>
      </c>
      <c r="M73" s="127" t="s">
        <v>735</v>
      </c>
      <c r="N73" s="127" t="s">
        <v>102</v>
      </c>
      <c r="O73" s="127" t="s">
        <v>705</v>
      </c>
      <c r="P73" t="str">
        <f t="shared" si="25"/>
        <v>HCE</v>
      </c>
      <c r="Q73" s="106" t="s">
        <v>793</v>
      </c>
      <c r="R73">
        <v>1</v>
      </c>
      <c r="S73" s="230" t="str">
        <f>Commodities!$C$34</f>
        <v>COMHCE</v>
      </c>
      <c r="T73" t="str">
        <f>VLOOKUP(S73,Commodities!$C$18:$R$38,16,FALSE)</f>
        <v>District heating Central</v>
      </c>
    </row>
    <row r="74" spans="2:20" ht="13">
      <c r="B74" s="72"/>
      <c r="C74" s="72"/>
      <c r="D74" s="71" t="str">
        <f t="shared" si="1"/>
        <v>CHTRDLPGE1</v>
      </c>
      <c r="E74" s="88" t="str">
        <f t="shared" si="0"/>
        <v>Commercial Heating Technology Rural Detached - LPG - Existing 1</v>
      </c>
      <c r="F74" s="71" t="s">
        <v>44</v>
      </c>
      <c r="G74" s="71" t="s">
        <v>65</v>
      </c>
      <c r="H74" s="75" t="s">
        <v>98</v>
      </c>
      <c r="I74" s="84"/>
      <c r="J74" s="70"/>
      <c r="K74" s="77"/>
      <c r="L74" s="133" t="s">
        <v>728</v>
      </c>
      <c r="M74" s="127" t="s">
        <v>735</v>
      </c>
      <c r="N74" s="127" t="s">
        <v>102</v>
      </c>
      <c r="O74" s="127" t="s">
        <v>705</v>
      </c>
      <c r="P74" t="str">
        <f t="shared" si="25"/>
        <v>LPG</v>
      </c>
      <c r="Q74" s="106" t="s">
        <v>793</v>
      </c>
      <c r="R74">
        <v>1</v>
      </c>
      <c r="S74" s="256" t="str">
        <f>Commodities!$C$20</f>
        <v>COMLPG</v>
      </c>
      <c r="T74" t="str">
        <f>VLOOKUP(S74,Commodities!$C$18:$R$38,16,FALSE)</f>
        <v>LPG</v>
      </c>
    </row>
    <row r="75" spans="2:20" ht="13">
      <c r="B75" s="85"/>
      <c r="C75" s="69"/>
      <c r="D75" s="133" t="str">
        <f t="shared" si="1"/>
        <v>CHTUMNGAE1</v>
      </c>
      <c r="E75" s="86" t="str">
        <f t="shared" si="0"/>
        <v>Commercial Heating Technology Urban Multi - Natural Gas - Existing 1</v>
      </c>
      <c r="F75" s="68" t="s">
        <v>44</v>
      </c>
      <c r="G75" s="68" t="s">
        <v>65</v>
      </c>
      <c r="H75" s="79" t="s">
        <v>98</v>
      </c>
      <c r="I75" s="64"/>
      <c r="J75" s="64"/>
      <c r="K75" s="64"/>
      <c r="L75" s="133" t="s">
        <v>728</v>
      </c>
      <c r="M75" s="127" t="s">
        <v>735</v>
      </c>
      <c r="N75" s="127" t="s">
        <v>710</v>
      </c>
      <c r="O75" s="127" t="s">
        <v>704</v>
      </c>
      <c r="P75" t="str">
        <f>RIGHT(S75,LEN(S75)-3)</f>
        <v>NGA</v>
      </c>
      <c r="Q75" s="106" t="s">
        <v>793</v>
      </c>
      <c r="R75">
        <v>1</v>
      </c>
      <c r="S75" s="230" t="str">
        <f>Commodities!$C$18</f>
        <v>COMNGA</v>
      </c>
      <c r="T75" t="str">
        <f>VLOOKUP(S75,Commodities!$C$18:$R$38,16,FALSE)</f>
        <v>Natural Gas</v>
      </c>
    </row>
    <row r="76" spans="2:20" ht="13">
      <c r="B76" s="69"/>
      <c r="C76" s="69"/>
      <c r="D76" s="68" t="str">
        <f t="shared" si="1"/>
        <v>CHTUMDSLE1</v>
      </c>
      <c r="E76" s="86" t="str">
        <f t="shared" si="0"/>
        <v>Commercial Heating Technology Urban Multi - Diesel - Existing 1</v>
      </c>
      <c r="F76" s="68" t="s">
        <v>44</v>
      </c>
      <c r="G76" s="68" t="s">
        <v>65</v>
      </c>
      <c r="H76" s="79" t="s">
        <v>98</v>
      </c>
      <c r="I76" s="64"/>
      <c r="J76" s="64"/>
      <c r="K76" s="64"/>
      <c r="L76" s="133" t="s">
        <v>728</v>
      </c>
      <c r="M76" s="127" t="s">
        <v>735</v>
      </c>
      <c r="N76" s="127" t="s">
        <v>710</v>
      </c>
      <c r="O76" s="127" t="s">
        <v>704</v>
      </c>
      <c r="P76" t="str">
        <f t="shared" ref="P76:P96" si="29">RIGHT(S76,LEN(S76)-3)</f>
        <v>DSL</v>
      </c>
      <c r="Q76" s="106" t="s">
        <v>793</v>
      </c>
      <c r="R76">
        <v>1</v>
      </c>
      <c r="S76" s="230" t="str">
        <f>Commodities!$C$21</f>
        <v>COMDSL</v>
      </c>
      <c r="T76" t="str">
        <f>VLOOKUP(S76,Commodities!$C$18:$R$38,16,FALSE)</f>
        <v>Diesel</v>
      </c>
    </row>
    <row r="77" spans="2:20" ht="13">
      <c r="B77" s="69"/>
      <c r="C77" s="69"/>
      <c r="D77" s="68" t="str">
        <f t="shared" si="1"/>
        <v>CHTUMWPEE1</v>
      </c>
      <c r="E77" s="148" t="str">
        <f t="shared" si="0"/>
        <v>Commercial Heating Technology Urban Multi - Wood pellets - Existing 1</v>
      </c>
      <c r="F77" s="68" t="s">
        <v>44</v>
      </c>
      <c r="G77" s="68" t="s">
        <v>65</v>
      </c>
      <c r="H77" s="79" t="s">
        <v>98</v>
      </c>
      <c r="I77" s="64"/>
      <c r="J77" s="64"/>
      <c r="K77" s="64"/>
      <c r="L77" s="133" t="s">
        <v>728</v>
      </c>
      <c r="M77" s="127" t="s">
        <v>735</v>
      </c>
      <c r="N77" s="127" t="s">
        <v>710</v>
      </c>
      <c r="O77" s="127" t="s">
        <v>704</v>
      </c>
      <c r="P77" t="str">
        <f t="shared" si="29"/>
        <v>WPE</v>
      </c>
      <c r="Q77" s="106" t="s">
        <v>793</v>
      </c>
      <c r="R77">
        <v>1</v>
      </c>
      <c r="S77" s="230" t="str">
        <f>Commodities!$C$23</f>
        <v>COMWPE</v>
      </c>
      <c r="T77" t="str">
        <f>VLOOKUP(S77,Commodities!$C$18:$R$38,16,FALSE)</f>
        <v>Wood pellets</v>
      </c>
    </row>
    <row r="78" spans="2:20" ht="13">
      <c r="B78" s="69"/>
      <c r="C78" s="69"/>
      <c r="D78" s="68" t="str">
        <f t="shared" si="1"/>
        <v>CHTUMFIWE1</v>
      </c>
      <c r="E78" s="148" t="str">
        <f t="shared" si="0"/>
        <v>Commercial Heating Technology Urban Multi - Fire wood - Existing 1</v>
      </c>
      <c r="F78" s="68" t="s">
        <v>44</v>
      </c>
      <c r="G78" s="68" t="s">
        <v>65</v>
      </c>
      <c r="H78" s="79" t="s">
        <v>98</v>
      </c>
      <c r="I78" s="64"/>
      <c r="J78" s="64"/>
      <c r="K78" s="64"/>
      <c r="L78" s="133" t="s">
        <v>728</v>
      </c>
      <c r="M78" s="127" t="s">
        <v>735</v>
      </c>
      <c r="N78" s="127" t="s">
        <v>710</v>
      </c>
      <c r="O78" s="127" t="s">
        <v>704</v>
      </c>
      <c r="P78" t="str">
        <f t="shared" si="29"/>
        <v>FIW</v>
      </c>
      <c r="Q78" s="106" t="s">
        <v>793</v>
      </c>
      <c r="R78">
        <v>1</v>
      </c>
      <c r="S78" s="230" t="str">
        <f>Commodities!$C$24</f>
        <v>COMFIW</v>
      </c>
      <c r="T78" t="str">
        <f>VLOOKUP(S78,Commodities!$C$18:$R$38,16,FALSE)</f>
        <v>Fire wood</v>
      </c>
    </row>
    <row r="79" spans="2:20" ht="13">
      <c r="B79" s="69"/>
      <c r="C79" s="69"/>
      <c r="D79" s="68" t="str">
        <f t="shared" si="1"/>
        <v>CHTUMCOAE1</v>
      </c>
      <c r="E79" s="86" t="str">
        <f t="shared" si="0"/>
        <v>Commercial Heating Technology Urban Multi - Coal - Existing 1</v>
      </c>
      <c r="F79" s="68" t="s">
        <v>44</v>
      </c>
      <c r="G79" s="68" t="s">
        <v>65</v>
      </c>
      <c r="H79" s="79" t="s">
        <v>98</v>
      </c>
      <c r="I79" s="64"/>
      <c r="J79" s="64"/>
      <c r="K79" s="64"/>
      <c r="L79" s="133" t="s">
        <v>728</v>
      </c>
      <c r="M79" s="127" t="s">
        <v>735</v>
      </c>
      <c r="N79" s="127" t="s">
        <v>710</v>
      </c>
      <c r="O79" s="127" t="s">
        <v>704</v>
      </c>
      <c r="P79" t="str">
        <f t="shared" si="29"/>
        <v>COA</v>
      </c>
      <c r="Q79" s="106" t="s">
        <v>793</v>
      </c>
      <c r="R79">
        <v>1</v>
      </c>
      <c r="S79" s="230" t="str">
        <f>Commodities!$C$25</f>
        <v>COMCOA</v>
      </c>
      <c r="T79" t="str">
        <f>VLOOKUP(S79,Commodities!$C$18:$R$38,16,FALSE)</f>
        <v>Coal</v>
      </c>
    </row>
    <row r="80" spans="2:20" ht="13">
      <c r="B80" s="69"/>
      <c r="C80" s="69"/>
      <c r="D80" s="68" t="str">
        <f t="shared" si="1"/>
        <v>CHTUMSOLE1</v>
      </c>
      <c r="E80" s="87" t="str">
        <f t="shared" si="0"/>
        <v>Commercial Heating Technology Urban Multi - Solar - Existing 1</v>
      </c>
      <c r="F80" s="68" t="s">
        <v>44</v>
      </c>
      <c r="G80" s="68" t="s">
        <v>65</v>
      </c>
      <c r="H80" s="79" t="s">
        <v>98</v>
      </c>
      <c r="I80" s="64"/>
      <c r="J80" s="64"/>
      <c r="K80" s="64"/>
      <c r="L80" s="133" t="s">
        <v>728</v>
      </c>
      <c r="M80" s="127" t="s">
        <v>735</v>
      </c>
      <c r="N80" s="127" t="s">
        <v>710</v>
      </c>
      <c r="O80" s="127" t="s">
        <v>704</v>
      </c>
      <c r="P80" t="str">
        <f t="shared" si="29"/>
        <v>SOL</v>
      </c>
      <c r="Q80" s="106" t="s">
        <v>793</v>
      </c>
      <c r="R80">
        <v>1</v>
      </c>
      <c r="S80" s="230" t="str">
        <f>Commodities!$C$27</f>
        <v>COMSOL</v>
      </c>
      <c r="T80" t="str">
        <f>VLOOKUP(S80,Commodities!$C$18:$R$38,16,FALSE)</f>
        <v>Solar</v>
      </c>
    </row>
    <row r="81" spans="2:20" s="601" customFormat="1" ht="13">
      <c r="B81" s="597"/>
      <c r="C81" s="597"/>
      <c r="D81" s="599" t="str">
        <f t="shared" ref="D81" si="30">LEFT($D$2,1)&amp;LEFT(L81,1)&amp;LEFT(M81,1)&amp;LEFT(O81,1)&amp;LEFT(N81,1)&amp;P81&amp;LEFT(Q81,1)&amp;R81</f>
        <v>CHTUMGEOE1</v>
      </c>
      <c r="E81" s="641" t="str">
        <f t="shared" ref="E81" si="31">$E$2&amp;" "&amp;L81&amp;" "&amp;M81&amp;" "&amp;O81&amp;" "&amp;N81&amp;" - "&amp;T81&amp;" - "&amp;Q81&amp;" "&amp;R81</f>
        <v>Commercial Heating Technology Urban Multi - Geothermal - Existing 1</v>
      </c>
      <c r="F81" s="599" t="s">
        <v>44</v>
      </c>
      <c r="G81" s="599" t="s">
        <v>65</v>
      </c>
      <c r="H81" s="600" t="s">
        <v>98</v>
      </c>
      <c r="I81" s="597"/>
      <c r="J81" s="597"/>
      <c r="K81" s="597"/>
      <c r="L81" s="609" t="s">
        <v>728</v>
      </c>
      <c r="M81" s="611" t="s">
        <v>735</v>
      </c>
      <c r="N81" s="611" t="s">
        <v>710</v>
      </c>
      <c r="O81" s="611" t="s">
        <v>704</v>
      </c>
      <c r="P81" s="601" t="str">
        <f t="shared" si="29"/>
        <v>GEO</v>
      </c>
      <c r="Q81" s="612" t="s">
        <v>793</v>
      </c>
      <c r="R81" s="601">
        <v>1</v>
      </c>
      <c r="S81" s="615" t="str">
        <f>Commodities!$C$28</f>
        <v>COMGEO</v>
      </c>
      <c r="T81" s="601" t="str">
        <f>VLOOKUP(S81,Commodities!$C$18:$R$38,16,FALSE)</f>
        <v>Geothermal</v>
      </c>
    </row>
    <row r="82" spans="2:20" ht="13">
      <c r="B82" s="69"/>
      <c r="C82" s="69"/>
      <c r="D82" s="68" t="str">
        <f t="shared" si="1"/>
        <v>CHTUMELCHE1</v>
      </c>
      <c r="E82" s="87" t="str">
        <f t="shared" si="0"/>
        <v>Commercial Heating Technology Urban Multi - Electricity Heating - Existing 1</v>
      </c>
      <c r="F82" s="68" t="s">
        <v>44</v>
      </c>
      <c r="G82" s="68" t="s">
        <v>65</v>
      </c>
      <c r="H82" s="79" t="s">
        <v>98</v>
      </c>
      <c r="I82" s="64"/>
      <c r="J82" s="64"/>
      <c r="K82" s="64"/>
      <c r="L82" s="133" t="s">
        <v>728</v>
      </c>
      <c r="M82" s="127" t="s">
        <v>735</v>
      </c>
      <c r="N82" s="127" t="s">
        <v>710</v>
      </c>
      <c r="O82" s="127" t="s">
        <v>704</v>
      </c>
      <c r="P82" t="str">
        <f t="shared" si="29"/>
        <v>ELCH</v>
      </c>
      <c r="Q82" s="106" t="s">
        <v>793</v>
      </c>
      <c r="R82">
        <v>1</v>
      </c>
      <c r="S82" s="230" t="str">
        <f>Commodities!$C$29</f>
        <v>COMELCH</v>
      </c>
      <c r="T82" t="str">
        <f>VLOOKUP(S82,Commodities!$C$18:$R$38,16,FALSE)</f>
        <v>Electricity Heating</v>
      </c>
    </row>
    <row r="83" spans="2:20" ht="13">
      <c r="B83" s="69"/>
      <c r="C83" s="69"/>
      <c r="D83" s="68" t="str">
        <f t="shared" si="1"/>
        <v>CHTUMELCHE2</v>
      </c>
      <c r="E83" s="87" t="str">
        <f t="shared" ref="E83:E96" si="32">$E$2&amp;" "&amp;L83&amp;" "&amp;M83&amp;" "&amp;O83&amp;" "&amp;N83&amp;" - "&amp;T83&amp;" - "&amp;Q83&amp;" "&amp;R83</f>
        <v>Commercial Heating Technology Urban Multi - Electricity Heating - Existing 2</v>
      </c>
      <c r="F83" s="68" t="s">
        <v>44</v>
      </c>
      <c r="G83" s="68" t="s">
        <v>65</v>
      </c>
      <c r="H83" s="79" t="s">
        <v>98</v>
      </c>
      <c r="I83" s="64"/>
      <c r="J83" s="64"/>
      <c r="K83" s="64"/>
      <c r="L83" s="133" t="s">
        <v>728</v>
      </c>
      <c r="M83" s="127" t="s">
        <v>735</v>
      </c>
      <c r="N83" s="127" t="s">
        <v>710</v>
      </c>
      <c r="O83" s="127" t="s">
        <v>704</v>
      </c>
      <c r="P83" t="str">
        <f t="shared" si="29"/>
        <v>ELCH</v>
      </c>
      <c r="Q83" s="106" t="s">
        <v>793</v>
      </c>
      <c r="R83">
        <v>2</v>
      </c>
      <c r="S83" s="230" t="s">
        <v>864</v>
      </c>
      <c r="T83" t="str">
        <f>VLOOKUP(S83,Commodities!$C$18:$R$38,16,FALSE)</f>
        <v>Electricity Heating</v>
      </c>
    </row>
    <row r="84" spans="2:20" ht="13">
      <c r="B84" s="78"/>
      <c r="C84" s="78"/>
      <c r="D84" s="68" t="str">
        <f t="shared" ref="D84:D100" si="33">LEFT($D$2,1)&amp;LEFT(L84,1)&amp;LEFT(M84,1)&amp;LEFT(O84,1)&amp;LEFT(N84,1)&amp;P84&amp;LEFT(Q84,1)&amp;R84</f>
        <v>CHTUMHCEE1</v>
      </c>
      <c r="E84" s="86" t="str">
        <f t="shared" si="32"/>
        <v>Commercial Heating Technology Urban Multi - District heating Central - Existing 1</v>
      </c>
      <c r="F84" s="68" t="s">
        <v>44</v>
      </c>
      <c r="G84" s="68" t="s">
        <v>65</v>
      </c>
      <c r="H84" s="79" t="s">
        <v>98</v>
      </c>
      <c r="I84" s="82"/>
      <c r="J84" s="77"/>
      <c r="K84" s="77"/>
      <c r="L84" s="133" t="s">
        <v>728</v>
      </c>
      <c r="M84" s="127" t="s">
        <v>735</v>
      </c>
      <c r="N84" s="127" t="s">
        <v>710</v>
      </c>
      <c r="O84" s="127" t="s">
        <v>704</v>
      </c>
      <c r="P84" t="str">
        <f t="shared" si="29"/>
        <v>HCE</v>
      </c>
      <c r="Q84" s="106" t="s">
        <v>793</v>
      </c>
      <c r="R84">
        <v>1</v>
      </c>
      <c r="S84" s="230" t="str">
        <f>Commodities!$C$34</f>
        <v>COMHCE</v>
      </c>
      <c r="T84" t="str">
        <f>VLOOKUP(S84,Commodities!$C$18:$R$38,16,FALSE)</f>
        <v>District heating Central</v>
      </c>
    </row>
    <row r="85" spans="2:20" ht="13">
      <c r="B85" s="72"/>
      <c r="C85" s="72"/>
      <c r="D85" s="71" t="str">
        <f t="shared" si="33"/>
        <v>CHTUMLPGE1</v>
      </c>
      <c r="E85" s="88" t="str">
        <f t="shared" si="32"/>
        <v>Commercial Heating Technology Urban Multi - LPG - Existing 1</v>
      </c>
      <c r="F85" s="71" t="s">
        <v>44</v>
      </c>
      <c r="G85" s="71" t="s">
        <v>65</v>
      </c>
      <c r="H85" s="75" t="s">
        <v>98</v>
      </c>
      <c r="I85" s="84"/>
      <c r="J85" s="70"/>
      <c r="K85" s="77"/>
      <c r="L85" s="133" t="s">
        <v>728</v>
      </c>
      <c r="M85" s="127" t="s">
        <v>735</v>
      </c>
      <c r="N85" s="127" t="s">
        <v>710</v>
      </c>
      <c r="O85" s="127" t="s">
        <v>704</v>
      </c>
      <c r="P85" t="str">
        <f t="shared" si="29"/>
        <v>LPG</v>
      </c>
      <c r="Q85" s="106" t="s">
        <v>793</v>
      </c>
      <c r="R85">
        <v>1</v>
      </c>
      <c r="S85" s="256" t="str">
        <f>Commodities!$C$20</f>
        <v>COMLPG</v>
      </c>
      <c r="T85" t="str">
        <f>VLOOKUP(S85,Commodities!$C$18:$R$38,16,FALSE)</f>
        <v>LPG</v>
      </c>
    </row>
    <row r="86" spans="2:20" ht="13">
      <c r="B86" s="69"/>
      <c r="C86" s="69"/>
      <c r="D86" s="68" t="str">
        <f t="shared" si="33"/>
        <v>CHTRMNGAE1</v>
      </c>
      <c r="E86" s="86" t="str">
        <f t="shared" si="32"/>
        <v>Commercial Heating Technology Rural Multi - Natural Gas - Existing 1</v>
      </c>
      <c r="F86" s="68" t="s">
        <v>44</v>
      </c>
      <c r="G86" s="68" t="s">
        <v>65</v>
      </c>
      <c r="H86" s="79" t="s">
        <v>98</v>
      </c>
      <c r="I86" s="64"/>
      <c r="J86" s="64"/>
      <c r="K86" s="64"/>
      <c r="L86" s="133" t="s">
        <v>728</v>
      </c>
      <c r="M86" s="127" t="s">
        <v>735</v>
      </c>
      <c r="N86" s="127" t="s">
        <v>710</v>
      </c>
      <c r="O86" s="127" t="s">
        <v>705</v>
      </c>
      <c r="P86" t="str">
        <f t="shared" si="29"/>
        <v>NGA</v>
      </c>
      <c r="Q86" s="106" t="s">
        <v>793</v>
      </c>
      <c r="R86">
        <v>1</v>
      </c>
      <c r="S86" s="230" t="str">
        <f>Commodities!$C$18</f>
        <v>COMNGA</v>
      </c>
      <c r="T86" t="str">
        <f>VLOOKUP(S86,Commodities!$C$18:$R$38,16,FALSE)</f>
        <v>Natural Gas</v>
      </c>
    </row>
    <row r="87" spans="2:20" ht="13">
      <c r="B87" s="69"/>
      <c r="C87" s="69"/>
      <c r="D87" s="68" t="str">
        <f t="shared" si="33"/>
        <v>CHTRMDSLE1</v>
      </c>
      <c r="E87" s="86" t="str">
        <f t="shared" si="32"/>
        <v>Commercial Heating Technology Rural Multi - Diesel - Existing 1</v>
      </c>
      <c r="F87" s="68" t="s">
        <v>44</v>
      </c>
      <c r="G87" s="68" t="s">
        <v>65</v>
      </c>
      <c r="H87" s="79" t="s">
        <v>98</v>
      </c>
      <c r="I87" s="64"/>
      <c r="J87" s="64"/>
      <c r="K87" s="64"/>
      <c r="L87" s="133" t="s">
        <v>728</v>
      </c>
      <c r="M87" s="127" t="s">
        <v>735</v>
      </c>
      <c r="N87" s="127" t="s">
        <v>710</v>
      </c>
      <c r="O87" s="127" t="s">
        <v>705</v>
      </c>
      <c r="P87" t="str">
        <f t="shared" si="29"/>
        <v>DSL</v>
      </c>
      <c r="Q87" s="106" t="s">
        <v>793</v>
      </c>
      <c r="R87">
        <v>1</v>
      </c>
      <c r="S87" s="230" t="str">
        <f>Commodities!$C$21</f>
        <v>COMDSL</v>
      </c>
      <c r="T87" t="str">
        <f>VLOOKUP(S87,Commodities!$C$18:$R$38,16,FALSE)</f>
        <v>Diesel</v>
      </c>
    </row>
    <row r="88" spans="2:20" ht="13">
      <c r="B88" s="69"/>
      <c r="C88" s="69"/>
      <c r="D88" s="68" t="str">
        <f t="shared" si="33"/>
        <v>CHTRMWPEE1</v>
      </c>
      <c r="E88" s="148" t="str">
        <f t="shared" si="32"/>
        <v>Commercial Heating Technology Rural Multi - Wood pellets - Existing 1</v>
      </c>
      <c r="F88" s="68" t="s">
        <v>44</v>
      </c>
      <c r="G88" s="68" t="s">
        <v>65</v>
      </c>
      <c r="H88" s="79" t="s">
        <v>98</v>
      </c>
      <c r="I88" s="64"/>
      <c r="J88" s="64"/>
      <c r="K88" s="64"/>
      <c r="L88" s="133" t="s">
        <v>728</v>
      </c>
      <c r="M88" s="127" t="s">
        <v>735</v>
      </c>
      <c r="N88" s="127" t="s">
        <v>710</v>
      </c>
      <c r="O88" s="127" t="s">
        <v>705</v>
      </c>
      <c r="P88" t="str">
        <f t="shared" si="29"/>
        <v>WPE</v>
      </c>
      <c r="Q88" s="106" t="s">
        <v>793</v>
      </c>
      <c r="R88">
        <v>1</v>
      </c>
      <c r="S88" s="230" t="str">
        <f>Commodities!$C$23</f>
        <v>COMWPE</v>
      </c>
      <c r="T88" t="str">
        <f>VLOOKUP(S88,Commodities!$C$18:$R$38,16,FALSE)</f>
        <v>Wood pellets</v>
      </c>
    </row>
    <row r="89" spans="2:20" ht="13">
      <c r="B89" s="69"/>
      <c r="C89" s="69"/>
      <c r="D89" s="68" t="str">
        <f t="shared" si="33"/>
        <v>CHTRMFIWE1</v>
      </c>
      <c r="E89" s="148" t="str">
        <f t="shared" si="32"/>
        <v>Commercial Heating Technology Rural Multi - Fire wood - Existing 1</v>
      </c>
      <c r="F89" s="68" t="s">
        <v>44</v>
      </c>
      <c r="G89" s="68" t="s">
        <v>65</v>
      </c>
      <c r="H89" s="79" t="s">
        <v>98</v>
      </c>
      <c r="I89" s="64"/>
      <c r="J89" s="64"/>
      <c r="K89" s="64"/>
      <c r="L89" s="133" t="s">
        <v>728</v>
      </c>
      <c r="M89" s="127" t="s">
        <v>735</v>
      </c>
      <c r="N89" s="127" t="s">
        <v>710</v>
      </c>
      <c r="O89" s="127" t="s">
        <v>705</v>
      </c>
      <c r="P89" t="str">
        <f t="shared" si="29"/>
        <v>FIW</v>
      </c>
      <c r="Q89" s="106" t="s">
        <v>793</v>
      </c>
      <c r="R89">
        <v>1</v>
      </c>
      <c r="S89" s="230" t="str">
        <f>Commodities!$C$24</f>
        <v>COMFIW</v>
      </c>
      <c r="T89" t="str">
        <f>VLOOKUP(S89,Commodities!$C$18:$R$38,16,FALSE)</f>
        <v>Fire wood</v>
      </c>
    </row>
    <row r="90" spans="2:20" ht="13">
      <c r="B90" s="69"/>
      <c r="C90" s="69"/>
      <c r="D90" s="68" t="str">
        <f t="shared" si="33"/>
        <v>CHTRMCOAE1</v>
      </c>
      <c r="E90" s="86" t="str">
        <f t="shared" si="32"/>
        <v>Commercial Heating Technology Rural Multi - Coal - Existing 1</v>
      </c>
      <c r="F90" s="68" t="s">
        <v>44</v>
      </c>
      <c r="G90" s="68" t="s">
        <v>65</v>
      </c>
      <c r="H90" s="79" t="s">
        <v>98</v>
      </c>
      <c r="I90" s="64"/>
      <c r="J90" s="64"/>
      <c r="K90" s="64"/>
      <c r="L90" s="133" t="s">
        <v>728</v>
      </c>
      <c r="M90" s="127" t="s">
        <v>735</v>
      </c>
      <c r="N90" s="127" t="s">
        <v>710</v>
      </c>
      <c r="O90" s="127" t="s">
        <v>705</v>
      </c>
      <c r="P90" t="str">
        <f t="shared" si="29"/>
        <v>COA</v>
      </c>
      <c r="Q90" s="106" t="s">
        <v>793</v>
      </c>
      <c r="R90">
        <v>1</v>
      </c>
      <c r="S90" s="230" t="str">
        <f>Commodities!$C$25</f>
        <v>COMCOA</v>
      </c>
      <c r="T90" t="str">
        <f>VLOOKUP(S90,Commodities!$C$18:$R$38,16,FALSE)</f>
        <v>Coal</v>
      </c>
    </row>
    <row r="91" spans="2:20" ht="13">
      <c r="B91" s="69"/>
      <c r="C91" s="69"/>
      <c r="D91" s="68" t="str">
        <f t="shared" si="33"/>
        <v>CHTRMSOLE1</v>
      </c>
      <c r="E91" s="86" t="str">
        <f t="shared" si="32"/>
        <v>Commercial Heating Technology Rural Multi - Solar - Existing 1</v>
      </c>
      <c r="F91" s="68" t="s">
        <v>44</v>
      </c>
      <c r="G91" s="68" t="s">
        <v>65</v>
      </c>
      <c r="H91" s="79" t="s">
        <v>98</v>
      </c>
      <c r="I91" s="64"/>
      <c r="J91" s="64"/>
      <c r="K91" s="64"/>
      <c r="L91" s="133" t="s">
        <v>728</v>
      </c>
      <c r="M91" s="127" t="s">
        <v>735</v>
      </c>
      <c r="N91" s="127" t="s">
        <v>710</v>
      </c>
      <c r="O91" s="127" t="s">
        <v>705</v>
      </c>
      <c r="P91" t="str">
        <f t="shared" si="29"/>
        <v>SOL</v>
      </c>
      <c r="Q91" s="106" t="s">
        <v>793</v>
      </c>
      <c r="R91">
        <v>1</v>
      </c>
      <c r="S91" s="230" t="str">
        <f>Commodities!$C$27</f>
        <v>COMSOL</v>
      </c>
      <c r="T91" t="str">
        <f>VLOOKUP(S91,Commodities!$C$18:$R$38,16,FALSE)</f>
        <v>Solar</v>
      </c>
    </row>
    <row r="92" spans="2:20" s="601" customFormat="1" ht="13">
      <c r="B92" s="597"/>
      <c r="C92" s="597"/>
      <c r="D92" s="599" t="str">
        <f t="shared" ref="D92" si="34">LEFT($D$2,1)&amp;LEFT(L92,1)&amp;LEFT(M92,1)&amp;LEFT(O92,1)&amp;LEFT(N92,1)&amp;P92&amp;LEFT(Q92,1)&amp;R92</f>
        <v>CHTRMGEOE1</v>
      </c>
      <c r="E92" s="614" t="str">
        <f t="shared" ref="E92" si="35">$E$2&amp;" "&amp;L92&amp;" "&amp;M92&amp;" "&amp;O92&amp;" "&amp;N92&amp;" - "&amp;T92&amp;" - "&amp;Q92&amp;" "&amp;R92</f>
        <v>Commercial Heating Technology Rural Multi - Geothermal - Existing 1</v>
      </c>
      <c r="F92" s="599" t="s">
        <v>44</v>
      </c>
      <c r="G92" s="599" t="s">
        <v>65</v>
      </c>
      <c r="H92" s="600" t="s">
        <v>98</v>
      </c>
      <c r="I92" s="597"/>
      <c r="J92" s="597"/>
      <c r="K92" s="597"/>
      <c r="L92" s="609" t="s">
        <v>728</v>
      </c>
      <c r="M92" s="611" t="s">
        <v>735</v>
      </c>
      <c r="N92" s="611" t="s">
        <v>710</v>
      </c>
      <c r="O92" s="611" t="s">
        <v>705</v>
      </c>
      <c r="P92" s="601" t="str">
        <f t="shared" ref="P92" si="36">RIGHT(S92,LEN(S92)-3)</f>
        <v>GEO</v>
      </c>
      <c r="Q92" s="612" t="s">
        <v>793</v>
      </c>
      <c r="R92" s="601">
        <v>1</v>
      </c>
      <c r="S92" s="615" t="str">
        <f>Commodities!$C$28</f>
        <v>COMGEO</v>
      </c>
      <c r="T92" s="601" t="str">
        <f>VLOOKUP(S92,Commodities!$C$18:$R$38,16,FALSE)</f>
        <v>Geothermal</v>
      </c>
    </row>
    <row r="93" spans="2:20" ht="13">
      <c r="B93" s="69"/>
      <c r="C93" s="69"/>
      <c r="D93" s="68" t="str">
        <f t="shared" si="33"/>
        <v>CHTRMELCHE1</v>
      </c>
      <c r="E93" s="136" t="str">
        <f t="shared" si="32"/>
        <v>Commercial Heating Technology Rural Multi - Electricity Heating - Existing 1</v>
      </c>
      <c r="F93" s="68" t="s">
        <v>44</v>
      </c>
      <c r="G93" s="68" t="s">
        <v>65</v>
      </c>
      <c r="H93" s="79" t="s">
        <v>98</v>
      </c>
      <c r="I93" s="64"/>
      <c r="J93" s="64"/>
      <c r="K93" s="64"/>
      <c r="L93" s="133" t="s">
        <v>728</v>
      </c>
      <c r="M93" s="127" t="s">
        <v>735</v>
      </c>
      <c r="N93" s="127" t="s">
        <v>710</v>
      </c>
      <c r="O93" s="127" t="s">
        <v>705</v>
      </c>
      <c r="P93" t="str">
        <f t="shared" si="29"/>
        <v>ELCH</v>
      </c>
      <c r="Q93" s="106" t="s">
        <v>793</v>
      </c>
      <c r="R93">
        <v>1</v>
      </c>
      <c r="S93" s="230" t="str">
        <f>Commodities!$C$29</f>
        <v>COMELCH</v>
      </c>
      <c r="T93" t="str">
        <f>VLOOKUP(S93,Commodities!$C$18:$R$38,16,FALSE)</f>
        <v>Electricity Heating</v>
      </c>
    </row>
    <row r="94" spans="2:20" ht="13">
      <c r="B94" s="69"/>
      <c r="C94" s="69"/>
      <c r="D94" s="68" t="str">
        <f t="shared" si="33"/>
        <v>CHTRMELCHE2</v>
      </c>
      <c r="E94" s="87" t="str">
        <f t="shared" si="32"/>
        <v>Commercial Heating Technology Rural Multi - Electricity Heating - Existing 2</v>
      </c>
      <c r="F94" s="68" t="s">
        <v>44</v>
      </c>
      <c r="G94" s="68" t="s">
        <v>65</v>
      </c>
      <c r="H94" s="79" t="s">
        <v>98</v>
      </c>
      <c r="I94" s="64"/>
      <c r="J94" s="64"/>
      <c r="K94" s="64"/>
      <c r="L94" s="133" t="s">
        <v>728</v>
      </c>
      <c r="M94" s="127" t="s">
        <v>735</v>
      </c>
      <c r="N94" s="127" t="s">
        <v>710</v>
      </c>
      <c r="O94" s="127" t="s">
        <v>705</v>
      </c>
      <c r="P94" t="str">
        <f t="shared" si="29"/>
        <v>ELCH</v>
      </c>
      <c r="Q94" s="106" t="s">
        <v>793</v>
      </c>
      <c r="R94">
        <v>2</v>
      </c>
      <c r="S94" s="230" t="s">
        <v>864</v>
      </c>
      <c r="T94" t="str">
        <f>VLOOKUP(S94,Commodities!$C$18:$R$38,16,FALSE)</f>
        <v>Electricity Heating</v>
      </c>
    </row>
    <row r="95" spans="2:20" ht="13">
      <c r="B95" s="69"/>
      <c r="C95" s="69"/>
      <c r="D95" s="68" t="str">
        <f t="shared" si="33"/>
        <v>CHTRMHCEE1</v>
      </c>
      <c r="E95" s="86" t="str">
        <f t="shared" si="32"/>
        <v>Commercial Heating Technology Rural Multi - District heating Central - Existing 1</v>
      </c>
      <c r="F95" s="68" t="s">
        <v>44</v>
      </c>
      <c r="G95" s="68" t="s">
        <v>65</v>
      </c>
      <c r="H95" s="79" t="s">
        <v>98</v>
      </c>
      <c r="I95" s="81"/>
      <c r="J95" s="64"/>
      <c r="K95" s="64"/>
      <c r="L95" s="133" t="s">
        <v>728</v>
      </c>
      <c r="M95" s="127" t="s">
        <v>735</v>
      </c>
      <c r="N95" s="127" t="s">
        <v>710</v>
      </c>
      <c r="O95" s="127" t="s">
        <v>705</v>
      </c>
      <c r="P95" t="str">
        <f t="shared" si="29"/>
        <v>HCE</v>
      </c>
      <c r="Q95" s="106" t="s">
        <v>793</v>
      </c>
      <c r="R95">
        <v>1</v>
      </c>
      <c r="S95" s="230" t="str">
        <f>Commodities!$C$34</f>
        <v>COMHCE</v>
      </c>
      <c r="T95" t="str">
        <f>VLOOKUP(S95,Commodities!$C$18:$R$38,16,FALSE)</f>
        <v>District heating Central</v>
      </c>
    </row>
    <row r="96" spans="2:20" ht="13">
      <c r="B96" s="72"/>
      <c r="C96" s="72"/>
      <c r="D96" s="71" t="str">
        <f t="shared" si="33"/>
        <v>CHTRMLPGE1</v>
      </c>
      <c r="E96" s="88" t="str">
        <f t="shared" si="32"/>
        <v>Commercial Heating Technology Rural Multi - LPG - Existing 1</v>
      </c>
      <c r="F96" s="71" t="s">
        <v>44</v>
      </c>
      <c r="G96" s="71" t="s">
        <v>65</v>
      </c>
      <c r="H96" s="75" t="s">
        <v>98</v>
      </c>
      <c r="I96" s="84"/>
      <c r="J96" s="70"/>
      <c r="K96" s="77"/>
      <c r="L96" s="133" t="s">
        <v>728</v>
      </c>
      <c r="M96" s="127" t="s">
        <v>735</v>
      </c>
      <c r="N96" s="127" t="s">
        <v>710</v>
      </c>
      <c r="O96" s="127" t="s">
        <v>705</v>
      </c>
      <c r="P96" t="str">
        <f t="shared" si="29"/>
        <v>LPG</v>
      </c>
      <c r="Q96" s="106" t="s">
        <v>793</v>
      </c>
      <c r="R96">
        <v>1</v>
      </c>
      <c r="S96" s="256" t="str">
        <f>Commodities!$C$20</f>
        <v>COMLPG</v>
      </c>
      <c r="T96" t="str">
        <f>VLOOKUP(S96,Commodities!$C$18:$R$38,16,FALSE)</f>
        <v>LPG</v>
      </c>
    </row>
    <row r="97" spans="2:20" ht="13">
      <c r="B97" s="78"/>
      <c r="C97" s="78"/>
      <c r="D97" s="133" t="str">
        <f t="shared" si="33"/>
        <v>CCTUMELCAE1</v>
      </c>
      <c r="E97" s="136" t="str">
        <f t="shared" ref="E97:E100" si="37">$E$2&amp;" "&amp;L97&amp;" "&amp;M97&amp;" "&amp;O97&amp;" "&amp;N97&amp;" - "&amp;T97&amp;" - "&amp;Q97&amp;" "&amp;R97</f>
        <v>Commercial Cooling Technology Urban Multi - Electricity Appliances - Existing 1</v>
      </c>
      <c r="F97" s="68" t="s">
        <v>44</v>
      </c>
      <c r="G97" s="68" t="s">
        <v>65</v>
      </c>
      <c r="H97" s="74" t="s">
        <v>98</v>
      </c>
      <c r="I97" s="82"/>
      <c r="J97" s="77"/>
      <c r="K97" s="77"/>
      <c r="L97" s="133" t="s">
        <v>266</v>
      </c>
      <c r="M97" s="127" t="s">
        <v>735</v>
      </c>
      <c r="N97" s="127" t="s">
        <v>710</v>
      </c>
      <c r="O97" s="127" t="s">
        <v>704</v>
      </c>
      <c r="P97" t="str">
        <f t="shared" ref="P97:P100" si="38">RIGHT(S97,LEN(S97)-3)</f>
        <v>ELCA</v>
      </c>
      <c r="Q97" s="106" t="s">
        <v>793</v>
      </c>
      <c r="R97">
        <v>1</v>
      </c>
      <c r="S97" s="256" t="str">
        <f>Commodities!$C$31</f>
        <v>COMELCA</v>
      </c>
      <c r="T97" t="str">
        <f>VLOOKUP(S97,Commodities!$C$18:$R$38,16,FALSE)</f>
        <v>Electricity Appliances</v>
      </c>
    </row>
    <row r="98" spans="2:20" ht="13">
      <c r="B98" s="78"/>
      <c r="C98" s="78"/>
      <c r="D98" s="133" t="str">
        <f t="shared" si="33"/>
        <v>CCTRMELCAE1</v>
      </c>
      <c r="E98" s="136" t="str">
        <f t="shared" si="37"/>
        <v>Commercial Cooling Technology Rural Multi - Electricity Appliances - Existing 1</v>
      </c>
      <c r="F98" s="68" t="s">
        <v>44</v>
      </c>
      <c r="G98" s="68" t="s">
        <v>65</v>
      </c>
      <c r="H98" s="74" t="s">
        <v>98</v>
      </c>
      <c r="I98" s="82"/>
      <c r="J98" s="77"/>
      <c r="K98" s="77"/>
      <c r="L98" s="133" t="s">
        <v>266</v>
      </c>
      <c r="M98" s="127" t="s">
        <v>735</v>
      </c>
      <c r="N98" s="127" t="s">
        <v>710</v>
      </c>
      <c r="O98" s="127" t="s">
        <v>705</v>
      </c>
      <c r="P98" t="str">
        <f t="shared" si="38"/>
        <v>ELCA</v>
      </c>
      <c r="Q98" s="106" t="s">
        <v>793</v>
      </c>
      <c r="R98">
        <v>1</v>
      </c>
      <c r="S98" s="256" t="str">
        <f>Commodities!$C$31</f>
        <v>COMELCA</v>
      </c>
      <c r="T98" t="str">
        <f>VLOOKUP(S98,Commodities!$C$18:$R$38,16,FALSE)</f>
        <v>Electricity Appliances</v>
      </c>
    </row>
    <row r="99" spans="2:20" ht="13">
      <c r="B99" s="78"/>
      <c r="C99" s="78"/>
      <c r="D99" s="133" t="str">
        <f t="shared" si="33"/>
        <v>CCTUDELCAE1</v>
      </c>
      <c r="E99" s="136" t="str">
        <f t="shared" si="37"/>
        <v>Commercial Cooling Technology Urban Detached - Electricity Appliances - Existing 1</v>
      </c>
      <c r="F99" s="68" t="s">
        <v>44</v>
      </c>
      <c r="G99" s="68" t="s">
        <v>65</v>
      </c>
      <c r="H99" s="74" t="s">
        <v>98</v>
      </c>
      <c r="I99" s="82"/>
      <c r="J99" s="77"/>
      <c r="K99" s="77"/>
      <c r="L99" s="133" t="s">
        <v>266</v>
      </c>
      <c r="M99" s="127" t="s">
        <v>735</v>
      </c>
      <c r="N99" s="127" t="s">
        <v>102</v>
      </c>
      <c r="O99" s="127" t="s">
        <v>704</v>
      </c>
      <c r="P99" t="str">
        <f t="shared" si="38"/>
        <v>ELCA</v>
      </c>
      <c r="Q99" s="106" t="s">
        <v>793</v>
      </c>
      <c r="R99">
        <v>1</v>
      </c>
      <c r="S99" s="256" t="str">
        <f>Commodities!$C$31</f>
        <v>COMELCA</v>
      </c>
      <c r="T99" t="str">
        <f>VLOOKUP(S99,Commodities!$C$18:$R$38,16,FALSE)</f>
        <v>Electricity Appliances</v>
      </c>
    </row>
    <row r="100" spans="2:20" ht="13">
      <c r="B100" s="482"/>
      <c r="C100" s="482"/>
      <c r="D100" s="483" t="str">
        <f t="shared" si="33"/>
        <v>CCTRDELCAE1</v>
      </c>
      <c r="E100" s="484" t="str">
        <f t="shared" si="37"/>
        <v>Commercial Cooling Technology Rural Detached - Electricity Appliances - Existing 1</v>
      </c>
      <c r="F100" s="485" t="s">
        <v>44</v>
      </c>
      <c r="G100" s="485" t="s">
        <v>65</v>
      </c>
      <c r="H100" s="486" t="s">
        <v>98</v>
      </c>
      <c r="I100" s="487"/>
      <c r="J100" s="488"/>
      <c r="K100" s="77"/>
      <c r="L100" s="133" t="s">
        <v>266</v>
      </c>
      <c r="M100" s="127" t="s">
        <v>735</v>
      </c>
      <c r="N100" s="127" t="s">
        <v>102</v>
      </c>
      <c r="O100" s="127" t="s">
        <v>705</v>
      </c>
      <c r="P100" t="str">
        <f t="shared" si="38"/>
        <v>ELCA</v>
      </c>
      <c r="Q100" s="106" t="s">
        <v>793</v>
      </c>
      <c r="R100">
        <v>1</v>
      </c>
      <c r="S100" s="256" t="str">
        <f>Commodities!$C$31</f>
        <v>COMELCA</v>
      </c>
      <c r="T100" t="str">
        <f>VLOOKUP(S100,Commodities!$C$18:$R$38,16,FALSE)</f>
        <v>Electricity Appliances</v>
      </c>
    </row>
    <row r="101" spans="2:20" ht="13">
      <c r="B101" s="78"/>
      <c r="C101" s="78"/>
      <c r="D101" s="69" t="str">
        <f>"FT-"&amp;$D$2&amp;RIGHT(Commodities!C19,3)</f>
        <v>FT-COMBGA</v>
      </c>
      <c r="E101" s="89" t="str">
        <f>"Fuel Technology "&amp;Commodities!D19</f>
        <v>Fuel Technology Commercial      Biogas</v>
      </c>
      <c r="F101" s="68" t="s">
        <v>44</v>
      </c>
      <c r="G101" s="68" t="s">
        <v>66</v>
      </c>
      <c r="H101" s="74"/>
      <c r="I101" s="82"/>
      <c r="J101" s="77"/>
      <c r="K101" s="77"/>
      <c r="L101" s="133"/>
      <c r="M101" s="127"/>
      <c r="N101" s="127"/>
      <c r="O101" s="127"/>
      <c r="Q101" s="106"/>
      <c r="S101" s="259"/>
    </row>
    <row r="102" spans="2:20">
      <c r="B102" s="69"/>
      <c r="C102" s="69"/>
      <c r="D102" s="69" t="str">
        <f>"FT-"&amp;$D$2&amp;RIGHT(Commodities!C18,3)</f>
        <v>FT-COMNGA</v>
      </c>
      <c r="E102" s="89" t="str">
        <f>"Fuel Technology "&amp;Commodities!D18</f>
        <v>Fuel Technology Commercial      Natural Gas</v>
      </c>
      <c r="F102" s="68" t="s">
        <v>44</v>
      </c>
      <c r="G102" s="68" t="s">
        <v>66</v>
      </c>
      <c r="H102" s="64"/>
      <c r="I102" s="64"/>
      <c r="J102" s="64"/>
      <c r="K102" s="64"/>
      <c r="L102" s="106"/>
      <c r="N102" s="127"/>
      <c r="O102" s="127"/>
    </row>
    <row r="103" spans="2:20">
      <c r="B103" s="69"/>
      <c r="C103" s="69"/>
      <c r="D103" s="69" t="str">
        <f>"FT-"&amp;$D$2&amp;RIGHT(Commodities!C20,3)</f>
        <v>FT-COMLPG</v>
      </c>
      <c r="E103" s="89" t="str">
        <f>"Fuel Technology "&amp;Commodities!D20</f>
        <v>Fuel Technology Commercial      LPG</v>
      </c>
      <c r="F103" s="68" t="s">
        <v>44</v>
      </c>
      <c r="G103" s="68" t="s">
        <v>66</v>
      </c>
      <c r="H103" s="64"/>
      <c r="I103" s="64"/>
      <c r="J103" s="64"/>
      <c r="K103" s="64"/>
      <c r="L103" s="106"/>
      <c r="N103" s="127"/>
      <c r="O103" s="127"/>
    </row>
    <row r="104" spans="2:20">
      <c r="B104" s="69"/>
      <c r="C104" s="69"/>
      <c r="D104" s="69" t="str">
        <f>"FT-"&amp;$D$2&amp;RIGHT(Commodities!C21,3)</f>
        <v>FT-COMDSL</v>
      </c>
      <c r="E104" s="89" t="str">
        <f>"Fuel Technology "&amp;Commodities!D21</f>
        <v>Fuel Technology Commercial      Diesel</v>
      </c>
      <c r="F104" s="68" t="s">
        <v>44</v>
      </c>
      <c r="G104" s="68" t="s">
        <v>66</v>
      </c>
      <c r="H104" s="64"/>
      <c r="I104" s="64"/>
      <c r="J104" s="64"/>
      <c r="K104" s="64"/>
      <c r="N104" s="127"/>
      <c r="O104" s="127"/>
    </row>
    <row r="105" spans="2:20">
      <c r="B105" s="69"/>
      <c r="C105" s="69"/>
      <c r="D105" s="69" t="str">
        <f>"FT-"&amp;$D$2&amp;RIGHT(Commodities!C22,3)</f>
        <v>FT-COMGSL</v>
      </c>
      <c r="E105" s="89" t="str">
        <f>"Fuel Technology "&amp;Commodities!D22</f>
        <v>Fuel Technology Commercial      Gasoline</v>
      </c>
      <c r="F105" s="68" t="s">
        <v>44</v>
      </c>
      <c r="G105" s="68" t="s">
        <v>66</v>
      </c>
      <c r="H105" s="64"/>
      <c r="I105" s="64"/>
      <c r="J105" s="64"/>
      <c r="K105" s="64"/>
      <c r="N105" s="127"/>
      <c r="O105" s="127"/>
    </row>
    <row r="106" spans="2:20">
      <c r="B106" s="69"/>
      <c r="C106" s="69"/>
      <c r="D106" s="69" t="str">
        <f>"FT-"&amp;$D$2&amp;RIGHT(Commodities!C23,3)</f>
        <v>FT-COMWPE</v>
      </c>
      <c r="E106" s="89" t="str">
        <f>"Fuel Technology "&amp;Commodities!D23</f>
        <v>Fuel Technology Commercial      Wood pellets</v>
      </c>
      <c r="F106" s="68" t="s">
        <v>44</v>
      </c>
      <c r="G106" s="68" t="s">
        <v>66</v>
      </c>
      <c r="H106" s="64"/>
      <c r="I106" s="64"/>
      <c r="J106" s="64"/>
      <c r="K106" s="64"/>
    </row>
    <row r="107" spans="2:20">
      <c r="B107" s="69"/>
      <c r="C107" s="69"/>
      <c r="D107" s="69" t="str">
        <f>"FT-"&amp;$D$2&amp;RIGHT(Commodities!C24,3)</f>
        <v>FT-COMFIW</v>
      </c>
      <c r="E107" s="89" t="str">
        <f>"Fuel Technology "&amp;Commodities!D24</f>
        <v>Fuel Technology Commercial      Fire wood</v>
      </c>
      <c r="F107" s="68" t="s">
        <v>44</v>
      </c>
      <c r="G107" s="68" t="s">
        <v>66</v>
      </c>
      <c r="H107" s="64"/>
      <c r="I107" s="64"/>
      <c r="J107" s="64"/>
      <c r="K107" s="64"/>
    </row>
    <row r="108" spans="2:20" s="601" customFormat="1">
      <c r="B108" s="597"/>
      <c r="C108" s="597"/>
      <c r="D108" s="597" t="str">
        <f>"FT-"&amp;$D$2&amp;RIGHT(Commodities!C25,3)</f>
        <v>FT-COMCOA</v>
      </c>
      <c r="E108" s="598" t="str">
        <f>"Fuel Technology "&amp;Commodities!D25</f>
        <v>Fuel Technology Commercial      Coal</v>
      </c>
      <c r="F108" s="599" t="s">
        <v>44</v>
      </c>
      <c r="G108" s="599" t="s">
        <v>66</v>
      </c>
      <c r="H108" s="597"/>
      <c r="I108" s="597"/>
      <c r="J108" s="597"/>
      <c r="K108" s="597"/>
    </row>
    <row r="109" spans="2:20">
      <c r="B109" s="64"/>
      <c r="C109" s="64"/>
      <c r="D109" s="64" t="str">
        <f>"FT-"&amp;$D$2&amp;RIGHT(Commodities!C26,3)</f>
        <v>FT-COMMH2</v>
      </c>
      <c r="E109" s="64" t="str">
        <f>"Fuel Technology "&amp;Commodities!D26</f>
        <v>Fuel Technology Commercial      Hydrogen</v>
      </c>
      <c r="F109" s="149" t="s">
        <v>44</v>
      </c>
      <c r="G109" s="149" t="s">
        <v>66</v>
      </c>
      <c r="H109" s="64"/>
      <c r="I109" s="64"/>
      <c r="J109" s="64"/>
      <c r="K109" s="64"/>
    </row>
    <row r="110" spans="2:20">
      <c r="B110" s="69"/>
      <c r="C110" s="69"/>
      <c r="D110" s="69" t="str">
        <f>"FT-"&amp;$D$2&amp;RIGHT(Commodities!C27,3)</f>
        <v>FT-COMSOL</v>
      </c>
      <c r="E110" s="89" t="str">
        <f>"Fuel Technology "&amp;Commodities!D27</f>
        <v>Fuel Technology Commercial      Solar</v>
      </c>
      <c r="F110" s="68" t="s">
        <v>44</v>
      </c>
      <c r="G110" s="68" t="s">
        <v>66</v>
      </c>
      <c r="H110" s="64"/>
      <c r="I110" s="64"/>
      <c r="J110" s="64"/>
      <c r="K110" s="64"/>
    </row>
    <row r="111" spans="2:20" s="601" customFormat="1">
      <c r="B111" s="597"/>
      <c r="C111" s="597"/>
      <c r="D111" s="597" t="str">
        <f>"FT-"&amp;$D$2&amp;RIGHT(Commodities!C28,3)</f>
        <v>FT-COMGEO</v>
      </c>
      <c r="E111" s="598" t="str">
        <f>"Fuel Technology "&amp;Commodities!D28</f>
        <v>Fuel Technology Commercial      Geothermal</v>
      </c>
      <c r="F111" s="599" t="s">
        <v>44</v>
      </c>
      <c r="G111" s="599" t="s">
        <v>66</v>
      </c>
      <c r="H111" s="597"/>
      <c r="I111" s="597"/>
      <c r="J111" s="597"/>
      <c r="K111" s="597"/>
    </row>
    <row r="112" spans="2:20">
      <c r="B112" s="69"/>
      <c r="C112" s="69"/>
      <c r="D112" s="69" t="str">
        <f>"FT-"&amp;$D$2&amp;RIGHT(Commodities!C29,3)</f>
        <v>FT-COMLCH</v>
      </c>
      <c r="E112" s="89" t="str">
        <f>"Fuel Technology for "&amp;Commodities!D29</f>
        <v>Fuel Technology for Commercial      Electricity Heating</v>
      </c>
      <c r="F112" s="68" t="s">
        <v>44</v>
      </c>
      <c r="G112" s="68" t="s">
        <v>66</v>
      </c>
      <c r="H112" s="79" t="s">
        <v>98</v>
      </c>
      <c r="I112" s="64"/>
      <c r="J112" s="64"/>
      <c r="K112" s="64"/>
    </row>
    <row r="113" spans="2:12">
      <c r="B113" s="69"/>
      <c r="C113" s="69"/>
      <c r="D113" s="69" t="str">
        <f>"FT-"&amp;$D$2&amp;RIGHT(Commodities!C30,3)</f>
        <v>FT-COMLCC</v>
      </c>
      <c r="E113" s="89" t="str">
        <f>"Fuel Technology for "&amp;Commodities!D30</f>
        <v>Fuel Technology for Commercial      Electricity Cooling</v>
      </c>
      <c r="F113" s="68" t="s">
        <v>44</v>
      </c>
      <c r="G113" s="68" t="s">
        <v>66</v>
      </c>
      <c r="H113" s="79" t="s">
        <v>98</v>
      </c>
      <c r="I113" s="64"/>
      <c r="J113" s="64"/>
      <c r="K113" s="64"/>
    </row>
    <row r="114" spans="2:12">
      <c r="B114" s="69"/>
      <c r="C114" s="69"/>
      <c r="D114" s="69" t="str">
        <f>"FT-"&amp;$D$2&amp;RIGHT(Commodities!C31,3)</f>
        <v>FT-COMLCA</v>
      </c>
      <c r="E114" s="89" t="str">
        <f>"Fuel Technology for "&amp;Commodities!D31</f>
        <v>Fuel Technology for Commercial      Electricity Appliances</v>
      </c>
      <c r="F114" s="68" t="s">
        <v>44</v>
      </c>
      <c r="G114" s="68" t="s">
        <v>66</v>
      </c>
      <c r="H114" s="79" t="s">
        <v>98</v>
      </c>
      <c r="I114" s="64"/>
      <c r="J114" s="64"/>
      <c r="K114" s="64"/>
    </row>
    <row r="115" spans="2:12" s="601" customFormat="1">
      <c r="B115" s="597"/>
      <c r="C115" s="597"/>
      <c r="D115" s="597" t="str">
        <f>"FT-"&amp;$D$2&amp;RIGHT(Commodities!C32,3)</f>
        <v>FT-COMLCO</v>
      </c>
      <c r="E115" s="598" t="str">
        <f>"Fuel Technology for "&amp;Commodities!D32</f>
        <v>Fuel Technology for Commercial      Electricity Cooking</v>
      </c>
      <c r="F115" s="599" t="s">
        <v>44</v>
      </c>
      <c r="G115" s="599" t="s">
        <v>66</v>
      </c>
      <c r="H115" s="600" t="s">
        <v>98</v>
      </c>
      <c r="I115" s="597"/>
      <c r="J115" s="597"/>
      <c r="K115" s="597"/>
    </row>
    <row r="116" spans="2:12" s="601" customFormat="1">
      <c r="B116" s="597"/>
      <c r="C116" s="597"/>
      <c r="D116" s="597" t="str">
        <f>"FT-"&amp;$D$2&amp;RIGHT(Commodities!C33,3)</f>
        <v>FT-COMLCW</v>
      </c>
      <c r="E116" s="598" t="str">
        <f>"Fuel Technology for "&amp;Commodities!D33</f>
        <v>Fuel Technology for Commercial      Electricity Water Heating</v>
      </c>
      <c r="F116" s="599" t="s">
        <v>44</v>
      </c>
      <c r="G116" s="599" t="s">
        <v>66</v>
      </c>
      <c r="H116" s="600" t="s">
        <v>98</v>
      </c>
      <c r="I116" s="597"/>
      <c r="J116" s="597"/>
      <c r="K116" s="597"/>
    </row>
    <row r="117" spans="2:12">
      <c r="B117" s="69"/>
      <c r="C117" s="69"/>
      <c r="D117" s="69" t="str">
        <f>"FT-"&amp;$D$2&amp;RIGHT(Commodities!C34,3)</f>
        <v>FT-COMHCE</v>
      </c>
      <c r="E117" s="89" t="str">
        <f>"Fuel Technology "&amp;Commodities!D34</f>
        <v>Fuel Technology Commercial      District heating Central</v>
      </c>
      <c r="F117" s="68" t="s">
        <v>44</v>
      </c>
      <c r="G117" s="68" t="s">
        <v>66</v>
      </c>
      <c r="H117" s="79" t="s">
        <v>98</v>
      </c>
      <c r="I117" s="64"/>
      <c r="J117" s="64"/>
      <c r="K117" s="64"/>
    </row>
    <row r="118" spans="2:12">
      <c r="B118" s="78"/>
      <c r="C118" s="78"/>
      <c r="D118" s="78" t="str">
        <f>"FT-"&amp;$D$2&amp;RIGHT(Commodities!C36,3)</f>
        <v>FT-COMHDE</v>
      </c>
      <c r="E118" s="80" t="str">
        <f>"Fuel Technology "&amp;Commodities!D36</f>
        <v>Fuel Technology Commercial      District heating Decentral</v>
      </c>
      <c r="F118" s="68" t="s">
        <v>44</v>
      </c>
      <c r="G118" s="68" t="s">
        <v>66</v>
      </c>
      <c r="H118" s="74" t="s">
        <v>98</v>
      </c>
      <c r="I118" s="77"/>
      <c r="J118" s="77"/>
      <c r="K118" s="77"/>
      <c r="L118" s="1"/>
    </row>
    <row r="119" spans="2:12">
      <c r="B119" s="77"/>
      <c r="C119" s="77"/>
      <c r="D119" s="78" t="str">
        <f>"FT-"&amp;$D$2&amp;RIGHT(Commodities!C37,3)</f>
        <v>FT-COMSNG</v>
      </c>
      <c r="E119" s="80" t="str">
        <f>"Fuel Technology "&amp;Commodities!D37</f>
        <v>Fuel Technology Commercial      Synthetic Natural Gas</v>
      </c>
      <c r="F119" s="68" t="s">
        <v>44</v>
      </c>
      <c r="G119" s="68" t="s">
        <v>66</v>
      </c>
      <c r="H119" s="77"/>
      <c r="I119" s="77"/>
      <c r="J119" s="77"/>
      <c r="K119" s="77"/>
      <c r="L119" s="1"/>
    </row>
    <row r="120" spans="2:12">
      <c r="B120" s="64"/>
      <c r="C120" s="64"/>
      <c r="D120" s="78" t="str">
        <f>"FT-"&amp;$D$2&amp;RIGHT(Commodities!C38,3)</f>
        <v>FT-COMDSB</v>
      </c>
      <c r="E120" s="80" t="str">
        <f>"Fuel Technology "&amp;Commodities!D38</f>
        <v>Fuel Technology Commercial      Renewable Diesel</v>
      </c>
      <c r="F120" s="68" t="s">
        <v>44</v>
      </c>
      <c r="G120" s="68" t="s">
        <v>66</v>
      </c>
      <c r="H120" s="64"/>
      <c r="I120" s="77"/>
      <c r="J120" s="77"/>
      <c r="K120" s="77"/>
    </row>
    <row r="121" spans="2:12">
      <c r="B121" s="1"/>
      <c r="C121" s="1"/>
      <c r="D121" s="6"/>
      <c r="F121" s="68"/>
      <c r="G121" s="68"/>
      <c r="H121" s="79"/>
      <c r="I121" s="1"/>
      <c r="J121" s="1"/>
      <c r="K121" s="1"/>
    </row>
    <row r="122" spans="2:12">
      <c r="B122" s="69"/>
      <c r="C122" s="69"/>
      <c r="D122" s="6"/>
      <c r="F122" s="68"/>
      <c r="G122" s="68"/>
      <c r="H122" s="79"/>
    </row>
    <row r="123" spans="2:12">
      <c r="B123" s="77"/>
      <c r="C123" s="77"/>
      <c r="H123" s="74"/>
    </row>
  </sheetData>
  <mergeCells count="1">
    <mergeCell ref="L4:S4"/>
  </mergeCells>
  <phoneticPr fontId="29"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92D050"/>
  </sheetPr>
  <dimension ref="A1:I38"/>
  <sheetViews>
    <sheetView zoomScaleNormal="100" workbookViewId="0">
      <selection activeCell="H6" sqref="H6"/>
    </sheetView>
  </sheetViews>
  <sheetFormatPr defaultColWidth="8.81640625" defaultRowHeight="12.5"/>
  <cols>
    <col min="1" max="1" width="4.6328125" customWidth="1"/>
    <col min="2" max="2" width="16.36328125" customWidth="1"/>
    <col min="3" max="3" width="53.453125" bestFit="1" customWidth="1"/>
    <col min="4" max="4" width="10.453125" bestFit="1" customWidth="1"/>
    <col min="5" max="5" width="11.453125" customWidth="1"/>
    <col min="6" max="6" width="5" bestFit="1" customWidth="1"/>
    <col min="7" max="7" width="4" bestFit="1" customWidth="1"/>
    <col min="8" max="8" width="15" customWidth="1"/>
    <col min="9" max="9" width="15.1796875" customWidth="1"/>
  </cols>
  <sheetData>
    <row r="1" spans="1:9" ht="13">
      <c r="E1">
        <v>1</v>
      </c>
      <c r="G1" s="47"/>
      <c r="H1" s="48"/>
    </row>
    <row r="3" spans="1:9" ht="13">
      <c r="B3" s="8"/>
      <c r="C3" s="13"/>
      <c r="D3" s="13"/>
      <c r="E3" s="14" t="s">
        <v>8</v>
      </c>
      <c r="F3" s="13"/>
    </row>
    <row r="4" spans="1:9" ht="13">
      <c r="B4" s="12" t="s">
        <v>2</v>
      </c>
      <c r="C4" s="12" t="s">
        <v>26</v>
      </c>
      <c r="D4" s="12" t="s">
        <v>14</v>
      </c>
      <c r="E4" s="15" t="s">
        <v>15</v>
      </c>
      <c r="F4" s="16" t="s">
        <v>16</v>
      </c>
      <c r="G4" s="16" t="s">
        <v>93</v>
      </c>
      <c r="H4" s="16"/>
      <c r="I4" s="16"/>
    </row>
    <row r="5" spans="1:9" ht="13" thickBot="1">
      <c r="B5" s="17" t="s">
        <v>45</v>
      </c>
      <c r="C5" s="18"/>
      <c r="D5" s="18"/>
      <c r="E5" s="19"/>
      <c r="F5" s="20"/>
      <c r="G5" s="20"/>
      <c r="H5" s="20"/>
      <c r="I5" s="20"/>
    </row>
    <row r="6" spans="1:9" ht="13" thickBot="1">
      <c r="B6" s="193" t="str">
        <f>Processes!D102</f>
        <v>FT-COMNGA</v>
      </c>
      <c r="C6" s="193" t="str">
        <f>Processes!E102</f>
        <v>Fuel Technology Commercial      Natural Gas</v>
      </c>
      <c r="D6" s="193" t="s">
        <v>806</v>
      </c>
      <c r="E6" s="193" t="str">
        <f>Commodities!C18</f>
        <v>COMNGA</v>
      </c>
      <c r="F6" s="194">
        <v>1</v>
      </c>
      <c r="G6" s="193">
        <v>50</v>
      </c>
      <c r="H6" s="279"/>
      <c r="I6" s="279"/>
    </row>
    <row r="7" spans="1:9" ht="13" thickBot="1">
      <c r="A7" s="601"/>
      <c r="B7" s="605" t="str">
        <f>Processes!D101</f>
        <v>FT-COMBGA</v>
      </c>
      <c r="C7" s="605" t="str">
        <f>Processes!E101</f>
        <v>Fuel Technology Commercial      Biogas</v>
      </c>
      <c r="D7" s="605" t="s">
        <v>844</v>
      </c>
      <c r="E7" s="605" t="str">
        <f>Commodities!C19</f>
        <v>COMBGA</v>
      </c>
      <c r="F7" s="606">
        <v>1</v>
      </c>
      <c r="G7" s="605">
        <v>50</v>
      </c>
      <c r="H7" s="607"/>
      <c r="I7" s="607"/>
    </row>
    <row r="8" spans="1:9">
      <c r="B8" s="193" t="str">
        <f>Processes!D103</f>
        <v>FT-COMLPG</v>
      </c>
      <c r="C8" s="193" t="str">
        <f>Processes!E103</f>
        <v>Fuel Technology Commercial      LPG</v>
      </c>
      <c r="D8" s="193" t="str">
        <f>RIGHT(Commodities!C20,3)</f>
        <v>LPG</v>
      </c>
      <c r="E8" s="193" t="str">
        <f>Commodities!C20</f>
        <v>COMLPG</v>
      </c>
      <c r="F8" s="194">
        <v>1</v>
      </c>
      <c r="G8" s="193">
        <v>50</v>
      </c>
      <c r="H8" s="279"/>
      <c r="I8" s="279"/>
    </row>
    <row r="9" spans="1:9">
      <c r="B9" s="1" t="str">
        <f>Processes!D104</f>
        <v>FT-COMDSL</v>
      </c>
      <c r="C9" s="1" t="str">
        <f>Processes!E104</f>
        <v>Fuel Technology Commercial      Diesel</v>
      </c>
      <c r="D9" s="1" t="str">
        <f>RIGHT(Commodities!C21,3)</f>
        <v>DSL</v>
      </c>
      <c r="E9" s="1" t="str">
        <f>Commodities!C21</f>
        <v>COMDSL</v>
      </c>
      <c r="F9" s="21">
        <v>1</v>
      </c>
      <c r="G9" s="1">
        <v>50</v>
      </c>
      <c r="H9" s="280"/>
      <c r="I9" s="280"/>
    </row>
    <row r="10" spans="1:9">
      <c r="B10" s="1" t="str">
        <f>Processes!D105</f>
        <v>FT-COMGSL</v>
      </c>
      <c r="C10" s="1" t="str">
        <f>Processes!E105</f>
        <v>Fuel Technology Commercial      Gasoline</v>
      </c>
      <c r="D10" s="1" t="str">
        <f>RIGHT(Commodities!C22,3)</f>
        <v>GSL</v>
      </c>
      <c r="E10" s="1" t="str">
        <f>Commodities!C22</f>
        <v>COMGSL</v>
      </c>
      <c r="F10" s="21">
        <v>1</v>
      </c>
      <c r="G10" s="1">
        <v>50</v>
      </c>
      <c r="H10" s="280"/>
      <c r="I10" s="280"/>
    </row>
    <row r="11" spans="1:9">
      <c r="B11" s="1" t="str">
        <f>Processes!D108</f>
        <v>FT-COMCOA</v>
      </c>
      <c r="C11" s="1" t="str">
        <f>Processes!E108</f>
        <v>Fuel Technology Commercial      Coal</v>
      </c>
      <c r="D11" s="1" t="str">
        <f>RIGHT(Commodities!C25,3)</f>
        <v>COA</v>
      </c>
      <c r="E11" s="1" t="str">
        <f>Commodities!C25</f>
        <v>COMCOA</v>
      </c>
      <c r="F11" s="21">
        <v>1</v>
      </c>
      <c r="G11" s="1">
        <v>50</v>
      </c>
      <c r="H11" s="280"/>
      <c r="I11" s="280"/>
    </row>
    <row r="12" spans="1:9">
      <c r="B12" s="1" t="str">
        <f>Processes!D106</f>
        <v>FT-COMWPE</v>
      </c>
      <c r="C12" s="1" t="str">
        <f>Processes!E106</f>
        <v>Fuel Technology Commercial      Wood pellets</v>
      </c>
      <c r="D12" s="1" t="str">
        <f>RIGHT(Commodities!C23,3)</f>
        <v>WPE</v>
      </c>
      <c r="E12" s="1" t="str">
        <f>Commodities!C23</f>
        <v>COMWPE</v>
      </c>
      <c r="F12" s="21">
        <v>1</v>
      </c>
      <c r="G12" s="1">
        <v>50</v>
      </c>
      <c r="H12" s="280"/>
      <c r="I12" s="280"/>
    </row>
    <row r="13" spans="1:9">
      <c r="B13" s="1" t="str">
        <f>Processes!D107</f>
        <v>FT-COMFIW</v>
      </c>
      <c r="C13" s="1" t="str">
        <f>Processes!E107</f>
        <v>Fuel Technology Commercial      Fire wood</v>
      </c>
      <c r="D13" s="1" t="str">
        <f>RIGHT(Commodities!C24,3)</f>
        <v>FIW</v>
      </c>
      <c r="E13" s="1" t="str">
        <f>Commodities!C24</f>
        <v>COMFIW</v>
      </c>
      <c r="F13" s="21">
        <v>1</v>
      </c>
      <c r="G13" s="1">
        <v>50</v>
      </c>
      <c r="H13" s="280"/>
      <c r="I13" s="280"/>
    </row>
    <row r="14" spans="1:9">
      <c r="B14" s="1" t="str">
        <f>Processes!D108</f>
        <v>FT-COMCOA</v>
      </c>
      <c r="C14" s="1" t="str">
        <f>Processes!E108</f>
        <v>Fuel Technology Commercial      Coal</v>
      </c>
      <c r="D14" s="1" t="str">
        <f>RIGHT(Commodities!C25,3)</f>
        <v>COA</v>
      </c>
      <c r="E14" s="1" t="str">
        <f>Commodities!C25</f>
        <v>COMCOA</v>
      </c>
      <c r="F14" s="21">
        <v>1</v>
      </c>
      <c r="G14" s="1">
        <v>50</v>
      </c>
      <c r="H14" s="280"/>
      <c r="I14" s="280"/>
    </row>
    <row r="15" spans="1:9">
      <c r="B15" s="1" t="str">
        <f>Processes!D109</f>
        <v>FT-COMMH2</v>
      </c>
      <c r="C15" s="1" t="str">
        <f>Processes!E109</f>
        <v>Fuel Technology Commercial      Hydrogen</v>
      </c>
      <c r="D15" s="1" t="s">
        <v>166</v>
      </c>
      <c r="E15" s="1" t="str">
        <f>Commodities!C26</f>
        <v>COMH2</v>
      </c>
      <c r="F15" s="21">
        <v>1</v>
      </c>
      <c r="G15" s="1">
        <v>50</v>
      </c>
      <c r="H15" s="280"/>
      <c r="I15" s="280"/>
    </row>
    <row r="16" spans="1:9">
      <c r="B16" s="1" t="str">
        <f>Processes!D110</f>
        <v>FT-COMSOL</v>
      </c>
      <c r="C16" s="1" t="str">
        <f>Processes!E110</f>
        <v>Fuel Technology Commercial      Solar</v>
      </c>
      <c r="D16" s="1" t="str">
        <f>RIGHT(Commodities!C27,3)</f>
        <v>SOL</v>
      </c>
      <c r="E16" s="1" t="str">
        <f>Commodities!C27</f>
        <v>COMSOL</v>
      </c>
      <c r="F16" s="21">
        <v>1</v>
      </c>
      <c r="G16" s="1">
        <v>50</v>
      </c>
      <c r="H16" s="280"/>
      <c r="I16" s="280"/>
    </row>
    <row r="17" spans="1:9">
      <c r="A17" s="601"/>
      <c r="B17" s="602" t="str">
        <f>Processes!D111</f>
        <v>FT-COMGEO</v>
      </c>
      <c r="C17" s="602" t="str">
        <f>Processes!E111</f>
        <v>Fuel Technology Commercial      Geothermal</v>
      </c>
      <c r="D17" s="602" t="str">
        <f>RIGHT(Commodities!C28,3)</f>
        <v>GEO</v>
      </c>
      <c r="E17" s="602" t="str">
        <f>Commodities!C28</f>
        <v>COMGEO</v>
      </c>
      <c r="F17" s="603">
        <v>1</v>
      </c>
      <c r="G17" s="602">
        <v>50</v>
      </c>
      <c r="H17" s="604"/>
      <c r="I17" s="604"/>
    </row>
    <row r="18" spans="1:9">
      <c r="B18" s="1" t="str">
        <f>Processes!D112</f>
        <v>FT-COMLCH</v>
      </c>
      <c r="C18" s="1" t="str">
        <f>Processes!E112</f>
        <v>Fuel Technology for Commercial      Electricity Heating</v>
      </c>
      <c r="D18" s="1" t="s">
        <v>805</v>
      </c>
      <c r="E18" s="1" t="str">
        <f>Commodities!C29</f>
        <v>COMELCH</v>
      </c>
      <c r="F18" s="21">
        <v>1</v>
      </c>
      <c r="G18" s="1">
        <v>50</v>
      </c>
      <c r="H18" s="280"/>
      <c r="I18" s="280"/>
    </row>
    <row r="19" spans="1:9">
      <c r="B19" s="1" t="str">
        <f>Processes!D113</f>
        <v>FT-COMLCC</v>
      </c>
      <c r="C19" s="1" t="str">
        <f>Processes!E113</f>
        <v>Fuel Technology for Commercial      Electricity Cooling</v>
      </c>
      <c r="D19" s="1" t="s">
        <v>805</v>
      </c>
      <c r="E19" s="1" t="str">
        <f>Commodities!C30</f>
        <v>COMELCC</v>
      </c>
      <c r="F19" s="21">
        <v>1</v>
      </c>
      <c r="G19" s="1">
        <v>50</v>
      </c>
      <c r="H19" s="280"/>
      <c r="I19" s="280"/>
    </row>
    <row r="20" spans="1:9">
      <c r="B20" s="1" t="str">
        <f>Processes!D114</f>
        <v>FT-COMLCA</v>
      </c>
      <c r="C20" s="1" t="str">
        <f>Processes!E114</f>
        <v>Fuel Technology for Commercial      Electricity Appliances</v>
      </c>
      <c r="D20" s="1" t="s">
        <v>805</v>
      </c>
      <c r="E20" s="1" t="str">
        <f>Commodities!C31</f>
        <v>COMELCA</v>
      </c>
      <c r="F20" s="21">
        <v>1</v>
      </c>
      <c r="G20" s="1">
        <v>50</v>
      </c>
      <c r="H20" s="280"/>
      <c r="I20" s="280"/>
    </row>
    <row r="21" spans="1:9">
      <c r="A21" s="601"/>
      <c r="B21" s="602" t="str">
        <f>Processes!D115</f>
        <v>FT-COMLCO</v>
      </c>
      <c r="C21" s="602" t="str">
        <f>Processes!E115</f>
        <v>Fuel Technology for Commercial      Electricity Cooking</v>
      </c>
      <c r="D21" s="602" t="s">
        <v>805</v>
      </c>
      <c r="E21" s="602" t="str">
        <f>Commodities!C32</f>
        <v>COMELCO</v>
      </c>
      <c r="F21" s="603">
        <v>1</v>
      </c>
      <c r="G21" s="602">
        <v>50</v>
      </c>
      <c r="H21" s="604"/>
      <c r="I21" s="604"/>
    </row>
    <row r="22" spans="1:9">
      <c r="A22" s="601"/>
      <c r="B22" s="602" t="str">
        <f>Processes!D116</f>
        <v>FT-COMLCW</v>
      </c>
      <c r="C22" s="602" t="str">
        <f>Processes!E116</f>
        <v>Fuel Technology for Commercial      Electricity Water Heating</v>
      </c>
      <c r="D22" s="602" t="s">
        <v>805</v>
      </c>
      <c r="E22" s="602" t="str">
        <f>Commodities!C33</f>
        <v>COMELCW</v>
      </c>
      <c r="F22" s="603">
        <v>1</v>
      </c>
      <c r="G22" s="602">
        <v>50</v>
      </c>
      <c r="H22" s="604"/>
      <c r="I22" s="604"/>
    </row>
    <row r="23" spans="1:9">
      <c r="B23" s="1" t="str">
        <f>Processes!D117</f>
        <v>FT-COMHCE</v>
      </c>
      <c r="C23" s="1" t="str">
        <f>Processes!E117</f>
        <v>Fuel Technology Commercial      District heating Central</v>
      </c>
      <c r="D23" s="471" t="s">
        <v>804</v>
      </c>
      <c r="E23" s="3" t="str">
        <f>Commodities!C34</f>
        <v>COMHCE</v>
      </c>
      <c r="F23" s="513">
        <v>1</v>
      </c>
      <c r="G23" s="1">
        <v>50</v>
      </c>
      <c r="H23" s="280"/>
      <c r="I23" s="280"/>
    </row>
    <row r="24" spans="1:9">
      <c r="B24" s="187" t="str">
        <f>Processes!D118</f>
        <v>FT-COMHDE</v>
      </c>
      <c r="C24" s="187" t="str">
        <f>Processes!E118</f>
        <v>Fuel Technology Commercial      District heating Decentral</v>
      </c>
      <c r="D24" s="646" t="s">
        <v>804</v>
      </c>
      <c r="E24" s="195" t="str">
        <f>Commodities!C36</f>
        <v>COMHDE</v>
      </c>
      <c r="F24" s="514">
        <v>1</v>
      </c>
      <c r="G24" s="187">
        <v>50</v>
      </c>
      <c r="H24" s="281"/>
      <c r="I24" s="281"/>
    </row>
    <row r="25" spans="1:9">
      <c r="B25" s="1" t="str">
        <f>Processes!D119</f>
        <v>FT-COMSNG</v>
      </c>
      <c r="C25" s="1" t="str">
        <f>Processes!E119</f>
        <v>Fuel Technology Commercial      Synthetic Natural Gas</v>
      </c>
      <c r="D25" t="str">
        <f>RIGHT(Commodities!C37,3)&amp;"1"</f>
        <v>SNG1</v>
      </c>
      <c r="E25" t="str">
        <f>Commodities!C37</f>
        <v>COMSNG</v>
      </c>
      <c r="F25" s="21">
        <v>1</v>
      </c>
      <c r="G25">
        <v>50</v>
      </c>
    </row>
    <row r="26" spans="1:9">
      <c r="B26" s="1"/>
      <c r="C26" s="1"/>
      <c r="D26" t="str">
        <f>RIGHT(Commodities!C37,3)&amp;"2"</f>
        <v>SNG2</v>
      </c>
      <c r="F26" s="21"/>
    </row>
    <row r="27" spans="1:9">
      <c r="B27" s="1"/>
      <c r="C27" s="1"/>
      <c r="D27" t="s">
        <v>730</v>
      </c>
      <c r="F27" s="21"/>
    </row>
    <row r="28" spans="1:9">
      <c r="B28" s="1" t="str">
        <f>Processes!D120</f>
        <v>FT-COMDSB</v>
      </c>
      <c r="C28" s="1" t="str">
        <f>Processes!E120</f>
        <v>Fuel Technology Commercial      Renewable Diesel</v>
      </c>
      <c r="D28" t="str">
        <f>RIGHT(Commodities!C38,3)&amp;"1"</f>
        <v>DSB1</v>
      </c>
      <c r="E28" t="str">
        <f>Commodities!C38</f>
        <v>COMDSB</v>
      </c>
      <c r="F28" s="21">
        <v>1</v>
      </c>
      <c r="G28">
        <v>50</v>
      </c>
      <c r="H28" s="1"/>
      <c r="I28" s="3"/>
    </row>
    <row r="29" spans="1:9">
      <c r="D29" t="str">
        <f>RIGHT(Commodities!C38,3)&amp;"2"</f>
        <v>DSB2</v>
      </c>
      <c r="F29" s="21"/>
    </row>
    <row r="30" spans="1:9">
      <c r="B30" s="6"/>
      <c r="D30" s="4" t="s">
        <v>731</v>
      </c>
      <c r="E30" s="34"/>
      <c r="F30" s="30"/>
    </row>
    <row r="31" spans="1:9">
      <c r="B31" s="6"/>
      <c r="D31" s="4"/>
      <c r="E31" s="34"/>
      <c r="F31" s="30"/>
    </row>
    <row r="32" spans="1:9" ht="13">
      <c r="H32" s="132"/>
      <c r="I32" s="290"/>
    </row>
    <row r="33" spans="9:9" ht="14.5">
      <c r="I33" s="134"/>
    </row>
    <row r="38" spans="9:9">
      <c r="I38"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BABAD-89A1-4394-9672-CA38272CBC24}">
  <sheetPr>
    <tabColor rgb="FF92D050"/>
  </sheetPr>
  <dimension ref="B2:AE76"/>
  <sheetViews>
    <sheetView topLeftCell="D1" zoomScale="70" zoomScaleNormal="70" workbookViewId="0">
      <selection activeCell="T23" sqref="T23"/>
    </sheetView>
  </sheetViews>
  <sheetFormatPr defaultColWidth="8.81640625" defaultRowHeight="12.5"/>
  <cols>
    <col min="2" max="2" width="13.36328125" bestFit="1" customWidth="1"/>
    <col min="3" max="3" width="66.81640625" bestFit="1" customWidth="1"/>
    <col min="4" max="4" width="14" bestFit="1" customWidth="1"/>
    <col min="5" max="5" width="9.453125" bestFit="1" customWidth="1"/>
    <col min="19" max="19" width="16.1796875" bestFit="1" customWidth="1"/>
    <col min="20" max="20" width="14.6328125" bestFit="1" customWidth="1"/>
    <col min="21" max="21" width="6.6328125" customWidth="1"/>
  </cols>
  <sheetData>
    <row r="2" spans="2:31" ht="21.5" thickBot="1">
      <c r="B2" s="501" t="s">
        <v>257</v>
      </c>
      <c r="C2" s="227"/>
      <c r="D2" s="228"/>
      <c r="E2" s="229" t="s">
        <v>161</v>
      </c>
      <c r="F2" s="229"/>
      <c r="G2" s="271">
        <v>1.02</v>
      </c>
      <c r="H2" s="271"/>
      <c r="I2" s="271"/>
      <c r="J2" s="230"/>
      <c r="K2" s="230"/>
      <c r="L2" s="627" t="s">
        <v>858</v>
      </c>
      <c r="M2" s="231"/>
      <c r="N2" s="232"/>
      <c r="O2" s="232"/>
      <c r="P2" s="227"/>
      <c r="Q2" s="227"/>
      <c r="R2" s="233"/>
      <c r="S2" s="295"/>
      <c r="T2" s="233"/>
      <c r="U2" s="233"/>
      <c r="V2" s="233"/>
      <c r="W2" s="233"/>
      <c r="X2" s="233"/>
      <c r="Y2" s="233"/>
      <c r="Z2" s="227"/>
      <c r="AA2" s="227"/>
    </row>
    <row r="3" spans="2:31" ht="14.5">
      <c r="B3" s="226"/>
      <c r="C3" s="227"/>
      <c r="D3" s="228"/>
      <c r="E3" s="229"/>
      <c r="F3" s="229"/>
      <c r="G3" s="271"/>
      <c r="H3" s="271"/>
      <c r="I3" s="271"/>
      <c r="J3" s="230"/>
      <c r="K3" s="230"/>
      <c r="L3" s="230"/>
      <c r="M3" s="232"/>
      <c r="N3" s="227"/>
      <c r="O3" s="227"/>
      <c r="P3" s="233"/>
      <c r="Q3" s="295"/>
      <c r="R3" s="233"/>
      <c r="S3" s="233"/>
      <c r="T3" s="266" t="s">
        <v>173</v>
      </c>
      <c r="U3" s="233"/>
      <c r="V3" s="233"/>
      <c r="W3" s="233"/>
      <c r="X3" s="227"/>
      <c r="Y3" s="227"/>
      <c r="Z3" s="227"/>
      <c r="AA3" s="227"/>
    </row>
    <row r="4" spans="2:31" ht="13.5" thickBot="1">
      <c r="B4" s="227"/>
      <c r="C4" s="227"/>
      <c r="D4" s="230"/>
      <c r="E4" s="230"/>
      <c r="F4" s="234" t="s">
        <v>8</v>
      </c>
      <c r="G4" s="230"/>
      <c r="H4" s="234"/>
      <c r="I4" s="234"/>
      <c r="J4" s="234"/>
      <c r="K4" s="234"/>
      <c r="L4" s="234"/>
      <c r="M4" s="235"/>
      <c r="N4" s="227"/>
      <c r="O4" s="233"/>
      <c r="P4" s="233"/>
      <c r="Q4" s="268"/>
      <c r="R4" s="233"/>
      <c r="S4" s="233"/>
      <c r="T4" s="267">
        <v>3.5999999999999999E-3</v>
      </c>
      <c r="U4" s="233"/>
      <c r="V4" s="436" t="s">
        <v>938</v>
      </c>
      <c r="W4" s="437" t="s">
        <v>948</v>
      </c>
      <c r="X4" s="438" t="s">
        <v>951</v>
      </c>
      <c r="Y4" s="436" t="s">
        <v>938</v>
      </c>
      <c r="Z4" s="437" t="s">
        <v>948</v>
      </c>
      <c r="AA4" s="438" t="s">
        <v>951</v>
      </c>
    </row>
    <row r="5" spans="2:31" ht="26">
      <c r="B5" s="238" t="s">
        <v>2</v>
      </c>
      <c r="C5" s="238" t="s">
        <v>26</v>
      </c>
      <c r="D5" s="238" t="s">
        <v>14</v>
      </c>
      <c r="E5" s="238" t="s">
        <v>15</v>
      </c>
      <c r="F5" s="421" t="s">
        <v>94</v>
      </c>
      <c r="G5" s="239" t="s">
        <v>926</v>
      </c>
      <c r="H5" s="239" t="s">
        <v>939</v>
      </c>
      <c r="I5" s="239" t="s">
        <v>952</v>
      </c>
      <c r="J5" s="240" t="s">
        <v>934</v>
      </c>
      <c r="K5" s="240" t="s">
        <v>947</v>
      </c>
      <c r="L5" s="240" t="s">
        <v>953</v>
      </c>
      <c r="M5" s="238" t="s">
        <v>0</v>
      </c>
      <c r="N5" s="238" t="s">
        <v>164</v>
      </c>
      <c r="O5" s="239" t="s">
        <v>93</v>
      </c>
      <c r="P5" s="227"/>
      <c r="Q5" s="227"/>
      <c r="R5" s="227"/>
      <c r="S5" s="227"/>
      <c r="T5" s="227"/>
      <c r="U5" s="227"/>
      <c r="V5" s="273" t="s">
        <v>75</v>
      </c>
      <c r="W5" s="272" t="s">
        <v>75</v>
      </c>
      <c r="X5" s="439" t="s">
        <v>75</v>
      </c>
      <c r="Y5" s="273" t="s">
        <v>71</v>
      </c>
      <c r="Z5" s="272" t="s">
        <v>71</v>
      </c>
      <c r="AA5" s="439" t="s">
        <v>71</v>
      </c>
    </row>
    <row r="6" spans="2:31" ht="21.5" thickBot="1">
      <c r="B6" s="242" t="s">
        <v>27</v>
      </c>
      <c r="C6" s="242"/>
      <c r="D6" s="242"/>
      <c r="E6" s="242"/>
      <c r="F6" s="243"/>
      <c r="G6" s="243" t="s">
        <v>65</v>
      </c>
      <c r="H6" s="243" t="s">
        <v>65</v>
      </c>
      <c r="I6" s="243" t="s">
        <v>65</v>
      </c>
      <c r="J6" s="243" t="s">
        <v>69</v>
      </c>
      <c r="K6" s="243" t="s">
        <v>69</v>
      </c>
      <c r="L6" s="243" t="s">
        <v>69</v>
      </c>
      <c r="M6" s="242"/>
      <c r="N6" s="242" t="s">
        <v>744</v>
      </c>
      <c r="O6" s="242" t="s">
        <v>94</v>
      </c>
      <c r="P6" s="227"/>
      <c r="Q6" s="227"/>
      <c r="R6" s="227"/>
      <c r="S6" s="227"/>
      <c r="T6" s="227"/>
      <c r="U6" s="227" t="s">
        <v>94</v>
      </c>
      <c r="V6" s="275" t="s">
        <v>48</v>
      </c>
      <c r="W6" s="457" t="s">
        <v>48</v>
      </c>
      <c r="X6" s="440" t="s">
        <v>48</v>
      </c>
      <c r="Y6" s="275" t="s">
        <v>70</v>
      </c>
      <c r="Z6" s="274" t="s">
        <v>70</v>
      </c>
      <c r="AA6" s="440" t="s">
        <v>70</v>
      </c>
    </row>
    <row r="7" spans="2:31" ht="14.5">
      <c r="B7" s="233" t="str">
        <f>Processes!D39</f>
        <v>CFTLPGE1</v>
      </c>
      <c r="C7" s="233" t="str">
        <f>Processes!E39</f>
        <v>Commercial Food (Cooking) Technology   - LPG - Existing 1</v>
      </c>
      <c r="D7" s="230" t="str">
        <f>Commodities!$C$20</f>
        <v>COMLPG</v>
      </c>
      <c r="E7" s="230" t="str">
        <f>Commodities!$C$17</f>
        <v>CFDEM</v>
      </c>
      <c r="F7" s="230">
        <v>2010</v>
      </c>
      <c r="G7" s="250">
        <f t="shared" ref="G7:H9" si="0">ROUNDUP(Y7/($M7*$N7)*$G$2,2)</f>
        <v>0</v>
      </c>
      <c r="H7" s="250">
        <f t="shared" si="0"/>
        <v>0</v>
      </c>
      <c r="I7" s="250">
        <f t="shared" ref="I7:I16" si="1">ROUNDUP(AA7/($M7*$N7)*$G$2,2)</f>
        <v>0</v>
      </c>
      <c r="J7" s="460">
        <v>0.5</v>
      </c>
      <c r="K7" s="460">
        <v>0.5</v>
      </c>
      <c r="L7" s="460">
        <v>0.5</v>
      </c>
      <c r="M7" s="244">
        <f t="shared" ref="M7:M22" si="2">31.536/1000</f>
        <v>3.1536000000000002E-2</v>
      </c>
      <c r="N7" s="458">
        <v>1</v>
      </c>
      <c r="O7" s="245">
        <v>30</v>
      </c>
      <c r="P7" s="227"/>
      <c r="Q7" s="268"/>
      <c r="R7" s="268" t="str">
        <f>B2</f>
        <v>Cooking</v>
      </c>
      <c r="S7" s="591" t="s">
        <v>997</v>
      </c>
      <c r="T7" s="246" t="s">
        <v>759</v>
      </c>
      <c r="U7" s="246">
        <v>2011</v>
      </c>
      <c r="V7" s="432" cm="1">
        <f t="array" ref="V7">_xlfn.IFNA(INDEX('Data manipulation'!$C$23:$N$128,MATCH($S7&amp;$R7,'Data manipulation'!$B$23:$B$128&amp;'Data manipulation'!$A$23:$A$128,0),MATCH($U7,'Data manipulation'!$C$22:$N$22,0))/1000,0)*SUMIFS('Regional split'!$F$4:$F$6,'Regional split'!$B$4:$B$6,V$4)</f>
        <v>0</v>
      </c>
      <c r="W7" s="432" cm="1">
        <f t="array" ref="W7">_xlfn.IFNA(INDEX('Data manipulation'!$C$23:$N$128,MATCH($S7&amp;$R7,'Data manipulation'!$B$23:$B$128&amp;'Data manipulation'!$A$23:$A$128,0),MATCH($U7,'Data manipulation'!$C$22:$N$22,0))/1000,0)*SUMIFS('Regional split'!$F$4:$F$6,'Regional split'!$B$4:$B$6,W$4)</f>
        <v>0</v>
      </c>
      <c r="X7" s="432" cm="1">
        <f t="array" ref="X7">_xlfn.IFNA(INDEX('Data manipulation'!$C$23:$N$128,MATCH($S7&amp;$R7,'Data manipulation'!$B$23:$B$128&amp;'Data manipulation'!$A$23:$A$128,0),MATCH($U7,'Data manipulation'!$C$22:$N$22,0))/1000,0)*SUMIFS('Regional split'!$F$4:$F$6,'Regional split'!$B$4:$B$6,X$4)</f>
        <v>0</v>
      </c>
      <c r="Y7" s="443">
        <f t="shared" ref="Y7:Z16" si="3">V7*J7</f>
        <v>0</v>
      </c>
      <c r="Z7" s="563">
        <f t="shared" si="3"/>
        <v>0</v>
      </c>
      <c r="AA7" s="444">
        <f t="shared" ref="AA7" si="4">X7*L7</f>
        <v>0</v>
      </c>
      <c r="AC7" s="561"/>
      <c r="AD7" s="562"/>
      <c r="AE7" s="562"/>
    </row>
    <row r="8" spans="2:31" ht="15" customHeight="1">
      <c r="B8" s="233" t="str">
        <f>Processes!D40</f>
        <v>CFTNGAE1</v>
      </c>
      <c r="C8" s="233" t="str">
        <f>Processes!E40</f>
        <v>Commercial Food (Cooking) Technology   - Natural Gas - Existing 1</v>
      </c>
      <c r="D8" s="230" t="str">
        <f>Commodities!$C$18</f>
        <v>COMNGA</v>
      </c>
      <c r="E8" s="230" t="str">
        <f>Commodities!$C$17</f>
        <v>CFDEM</v>
      </c>
      <c r="F8" s="230">
        <v>2010</v>
      </c>
      <c r="G8" s="250">
        <f t="shared" si="0"/>
        <v>25.46</v>
      </c>
      <c r="H8" s="250">
        <f t="shared" si="0"/>
        <v>0</v>
      </c>
      <c r="I8" s="250">
        <f t="shared" si="1"/>
        <v>0</v>
      </c>
      <c r="J8" s="460">
        <v>0.5</v>
      </c>
      <c r="K8" s="460">
        <v>0.5</v>
      </c>
      <c r="L8" s="460">
        <v>0.5</v>
      </c>
      <c r="M8" s="244">
        <f t="shared" si="2"/>
        <v>3.1536000000000002E-2</v>
      </c>
      <c r="N8" s="458">
        <v>1</v>
      </c>
      <c r="O8" s="245">
        <v>30</v>
      </c>
      <c r="P8" s="227"/>
      <c r="Q8" s="268"/>
      <c r="R8" s="268" t="str">
        <f>R7</f>
        <v>Cooking</v>
      </c>
      <c r="S8" s="227" t="s">
        <v>74</v>
      </c>
      <c r="T8" s="246" t="s">
        <v>167</v>
      </c>
      <c r="U8" s="246">
        <v>2011</v>
      </c>
      <c r="V8" s="432" cm="1">
        <f t="array" ref="V8">_xlfn.IFNA(INDEX('Data manipulation'!$C$23:$N$128,MATCH($S8&amp;$R8,'Data manipulation'!$B$23:$B$128&amp;'Data manipulation'!$A$23:$A$128,0),MATCH($U8,'Data manipulation'!$C$22:$N$22,0))/1000,0)*SUMIFS('Regional split'!$F$4:$F$6,'Regional split'!$B$4:$B$6,V$4)</f>
        <v>1.5741523014604768</v>
      </c>
      <c r="W8" s="432" cm="1">
        <f t="array" ref="W8">_xlfn.IFNA(INDEX('Data manipulation'!$C$23:$N$128,MATCH($S8&amp;$R8,'Data manipulation'!$B$23:$B$128&amp;'Data manipulation'!$A$23:$A$128,0),MATCH($U8,'Data manipulation'!$C$22:$N$22,0))/1000,0)*SUMIFS('Regional split'!$F$4:$F$6,'Regional split'!$B$4:$B$6,W$4)</f>
        <v>0</v>
      </c>
      <c r="X8" s="432" cm="1">
        <f t="array" ref="X8">_xlfn.IFNA(INDEX('Data manipulation'!$C$23:$N$128,MATCH($S8&amp;$R8,'Data manipulation'!$B$23:$B$128&amp;'Data manipulation'!$A$23:$A$128,0),MATCH($U8,'Data manipulation'!$C$22:$N$22,0))/1000,0)*SUMIFS('Regional split'!$F$4:$F$6,'Regional split'!$B$4:$B$6,X$4)</f>
        <v>0</v>
      </c>
      <c r="Y8" s="443">
        <f t="shared" si="3"/>
        <v>0.7870761507302384</v>
      </c>
      <c r="Z8" s="563">
        <f t="shared" si="3"/>
        <v>0</v>
      </c>
      <c r="AA8" s="444">
        <f>X8*L8</f>
        <v>0</v>
      </c>
      <c r="AC8" s="561"/>
      <c r="AD8" s="562"/>
      <c r="AE8" s="562"/>
    </row>
    <row r="9" spans="2:31" ht="15" customHeight="1">
      <c r="B9" s="233" t="str">
        <f>Processes!D41</f>
        <v>CFTELCOE1</v>
      </c>
      <c r="C9" s="233" t="str">
        <f>Processes!E41</f>
        <v>Commercial Food (Cooking) Technology   - Electricity Cooking - Existing 1</v>
      </c>
      <c r="D9" s="230" t="str">
        <f>Commodities!$C$32</f>
        <v>COMELCO</v>
      </c>
      <c r="E9" s="230" t="str">
        <f>Commodities!$C$17</f>
        <v>CFDEM</v>
      </c>
      <c r="F9" s="230">
        <v>2010</v>
      </c>
      <c r="G9" s="250">
        <f t="shared" si="0"/>
        <v>4609.21</v>
      </c>
      <c r="H9" s="250">
        <f t="shared" si="0"/>
        <v>0</v>
      </c>
      <c r="I9" s="250">
        <f t="shared" ref="I9" si="5">ROUNDUP(AA9/($M9*$N9)*$G$2,2)</f>
        <v>0</v>
      </c>
      <c r="J9" s="624">
        <v>0.95</v>
      </c>
      <c r="K9" s="624">
        <v>0.95</v>
      </c>
      <c r="L9" s="624">
        <v>0.95</v>
      </c>
      <c r="M9" s="244">
        <f t="shared" si="2"/>
        <v>3.1536000000000002E-2</v>
      </c>
      <c r="N9" s="458">
        <v>1</v>
      </c>
      <c r="O9" s="245">
        <v>30</v>
      </c>
      <c r="P9" s="227"/>
      <c r="Q9" s="268"/>
      <c r="R9" s="268" t="str">
        <f>R8</f>
        <v>Cooking</v>
      </c>
      <c r="S9" s="227" t="s">
        <v>73</v>
      </c>
      <c r="T9" s="246" t="s">
        <v>73</v>
      </c>
      <c r="U9" s="246">
        <v>2011</v>
      </c>
      <c r="V9" s="432" cm="1">
        <f t="array" ref="V9">_xlfn.IFNA(INDEX('Data manipulation'!$C$23:$N$128,MATCH($S9&amp;$R9,'Data manipulation'!$B$23:$B$128&amp;'Data manipulation'!$A$23:$A$128,0),MATCH($U9,'Data manipulation'!$C$22:$N$22,0))/1000,0)*SUMIFS('Regional split'!$F$4:$F$6,'Regional split'!$B$4:$B$6,V$4)</f>
        <v>150.00609594679344</v>
      </c>
      <c r="W9" s="432" cm="1">
        <f t="array" ref="W9">_xlfn.IFNA(INDEX('Data manipulation'!$C$23:$N$128,MATCH($S9&amp;$R9,'Data manipulation'!$B$23:$B$128&amp;'Data manipulation'!$A$23:$A$128,0),MATCH($U9,'Data manipulation'!$C$22:$N$22,0))/1000,0)*SUMIFS('Regional split'!$F$4:$F$6,'Regional split'!$B$4:$B$6,W$4)</f>
        <v>0</v>
      </c>
      <c r="X9" s="432" cm="1">
        <f t="array" ref="X9">_xlfn.IFNA(INDEX('Data manipulation'!$C$23:$N$128,MATCH($S9&amp;$R9,'Data manipulation'!$B$23:$B$128&amp;'Data manipulation'!$A$23:$A$128,0),MATCH($U9,'Data manipulation'!$C$22:$N$22,0))/1000,0)*SUMIFS('Regional split'!$F$4:$F$6,'Regional split'!$B$4:$B$6,X$4)</f>
        <v>0</v>
      </c>
      <c r="Y9" s="443">
        <f t="shared" ref="Y9" si="6">V9*J9</f>
        <v>142.50579114945376</v>
      </c>
      <c r="Z9" s="563">
        <f t="shared" ref="Z9" si="7">W9*K9</f>
        <v>0</v>
      </c>
      <c r="AA9" s="444">
        <f>X9*L9</f>
        <v>0</v>
      </c>
      <c r="AC9" s="561"/>
      <c r="AD9" s="562"/>
      <c r="AE9" s="562"/>
    </row>
    <row r="10" spans="2:31" ht="15" customHeight="1">
      <c r="B10" s="233" t="str">
        <f>Processes!D42</f>
        <v>CFTFIWE1</v>
      </c>
      <c r="C10" s="233" t="str">
        <f>Processes!E42</f>
        <v>Commercial Food (Cooking) Technology   - Fire wood - Existing 1</v>
      </c>
      <c r="D10" s="230" t="str">
        <f>Commodities!$C$24</f>
        <v>COMFIW</v>
      </c>
      <c r="E10" s="230" t="str">
        <f>Commodities!$C$17</f>
        <v>CFDEM</v>
      </c>
      <c r="F10" s="230">
        <v>2010</v>
      </c>
      <c r="G10" s="250">
        <f t="shared" ref="G10" si="8">ROUNDUP(Y10/($M10*$N10)*$G$2,2)</f>
        <v>12.31</v>
      </c>
      <c r="H10" s="250">
        <f t="shared" ref="H10" si="9">ROUNDUP(Z10/($M10*$N10)*$G$2,2)</f>
        <v>0</v>
      </c>
      <c r="I10" s="250">
        <f t="shared" ref="I10" si="10">ROUNDUP(AA10/($M10*$N10)*$G$2,2)</f>
        <v>0</v>
      </c>
      <c r="J10" s="626">
        <v>0.25600000000000001</v>
      </c>
      <c r="K10" s="626">
        <v>0.25600000000000001</v>
      </c>
      <c r="L10" s="626">
        <v>0.25600000000000001</v>
      </c>
      <c r="M10" s="244">
        <f t="shared" si="2"/>
        <v>3.1536000000000002E-2</v>
      </c>
      <c r="N10" s="458">
        <v>1</v>
      </c>
      <c r="O10" s="245">
        <v>30</v>
      </c>
      <c r="P10" s="227"/>
      <c r="Q10" s="268"/>
      <c r="R10" s="268" t="str">
        <f>R9</f>
        <v>Cooking</v>
      </c>
      <c r="S10" s="581" t="s">
        <v>819</v>
      </c>
      <c r="T10" s="246" t="s">
        <v>857</v>
      </c>
      <c r="U10" s="246">
        <v>2011</v>
      </c>
      <c r="V10" s="432" cm="1">
        <f t="array" ref="V10">_xlfn.IFNA(INDEX('Data manipulation'!$C$23:$N$128,MATCH($S10&amp;$R10,'Data manipulation'!$B$23:$B$128&amp;'Data manipulation'!$A$23:$A$128,0),MATCH($U10,'Data manipulation'!$C$22:$N$22,0))/1000,0)*SUMIFS('Regional split'!$F$4:$F$6,'Regional split'!$B$4:$B$6,V$4)</f>
        <v>1.4858612534050821</v>
      </c>
      <c r="W10" s="432" cm="1">
        <f t="array" ref="W10">_xlfn.IFNA(INDEX('Data manipulation'!$C$23:$N$128,MATCH($S10&amp;$R10,'Data manipulation'!$B$23:$B$128&amp;'Data manipulation'!$A$23:$A$128,0),MATCH($U10,'Data manipulation'!$C$22:$N$22,0))/1000,0)*SUMIFS('Regional split'!$F$4:$F$6,'Regional split'!$B$4:$B$6,W$4)</f>
        <v>0</v>
      </c>
      <c r="X10" s="432" cm="1">
        <f t="array" ref="X10">_xlfn.IFNA(INDEX('Data manipulation'!$C$23:$N$128,MATCH($S10&amp;$R10,'Data manipulation'!$B$23:$B$128&amp;'Data manipulation'!$A$23:$A$128,0),MATCH($U10,'Data manipulation'!$C$22:$N$22,0))/1000,0)*SUMIFS('Regional split'!$F$4:$F$6,'Regional split'!$B$4:$B$6,X$4)</f>
        <v>0</v>
      </c>
      <c r="Y10" s="443">
        <f t="shared" ref="Y10" si="11">V10*J10</f>
        <v>0.38038048087170101</v>
      </c>
      <c r="Z10" s="563">
        <f t="shared" ref="Z10" si="12">W10*K10</f>
        <v>0</v>
      </c>
      <c r="AA10" s="444">
        <f>X10*L10</f>
        <v>0</v>
      </c>
      <c r="AC10" s="561"/>
      <c r="AD10" s="562"/>
      <c r="AE10" s="562"/>
    </row>
    <row r="11" spans="2:31" ht="14.5">
      <c r="B11" s="233" t="str">
        <f t="shared" ref="B11:E13" si="13">B7</f>
        <v>CFTLPGE1</v>
      </c>
      <c r="C11" s="233" t="str">
        <f t="shared" si="13"/>
        <v>Commercial Food (Cooking) Technology   - LPG - Existing 1</v>
      </c>
      <c r="D11" s="233" t="str">
        <f t="shared" si="13"/>
        <v>COMLPG</v>
      </c>
      <c r="E11" s="233" t="str">
        <f t="shared" si="13"/>
        <v>CFDEM</v>
      </c>
      <c r="F11" s="259">
        <v>2015</v>
      </c>
      <c r="G11" s="250">
        <f t="shared" ref="G11:I13" si="14">ROUNDUP(Y11/($M11*$N11)*$G$25,2)</f>
        <v>0</v>
      </c>
      <c r="H11" s="250">
        <f t="shared" si="14"/>
        <v>0</v>
      </c>
      <c r="I11" s="250">
        <f t="shared" si="14"/>
        <v>0</v>
      </c>
      <c r="J11" s="624">
        <f t="shared" ref="J11:L13" si="15">J7</f>
        <v>0.5</v>
      </c>
      <c r="K11" s="624">
        <f t="shared" si="15"/>
        <v>0.5</v>
      </c>
      <c r="L11" s="624">
        <f t="shared" si="15"/>
        <v>0.5</v>
      </c>
      <c r="M11" s="244">
        <f t="shared" si="2"/>
        <v>3.1536000000000002E-2</v>
      </c>
      <c r="N11" s="458">
        <v>0.8</v>
      </c>
      <c r="O11" s="245">
        <v>30</v>
      </c>
      <c r="P11" s="227"/>
      <c r="Q11" s="227"/>
      <c r="R11" s="268" t="str">
        <f>R7</f>
        <v>Cooking</v>
      </c>
      <c r="S11" s="591" t="s">
        <v>997</v>
      </c>
      <c r="T11" s="246" t="s">
        <v>759</v>
      </c>
      <c r="U11" s="246">
        <v>2015</v>
      </c>
      <c r="V11" s="432" cm="1">
        <f t="array" ref="V11">_xlfn.IFNA(INDEX('Data manipulation'!$C$23:$N$128,MATCH($S11&amp;$R11,'Data manipulation'!$B$23:$B$128&amp;'Data manipulation'!$A$23:$A$128,0),MATCH($U11,'Data manipulation'!$C$22:$N$22,0))/1000,0)*SUMIFS('Regional split'!$F$4:$F$6,'Regional split'!$B$4:$B$6,V$4)</f>
        <v>0</v>
      </c>
      <c r="W11" s="432" cm="1">
        <f t="array" ref="W11">_xlfn.IFNA(INDEX('Data manipulation'!$C$23:$N$128,MATCH($S11&amp;$R11,'Data manipulation'!$B$23:$B$128&amp;'Data manipulation'!$A$23:$A$128,0),MATCH($U11,'Data manipulation'!$C$22:$N$22,0))/1000,0)*SUMIFS('Regional split'!$F$4:$F$6,'Regional split'!$B$4:$B$6,W$4)</f>
        <v>0</v>
      </c>
      <c r="X11" s="432" cm="1">
        <f t="array" ref="X11">_xlfn.IFNA(INDEX('Data manipulation'!$C$23:$N$128,MATCH($S11&amp;$R11,'Data manipulation'!$B$23:$B$128&amp;'Data manipulation'!$A$23:$A$128,0),MATCH($U11,'Data manipulation'!$C$22:$N$22,0))/1000,0)*SUMIFS('Regional split'!$F$4:$F$6,'Regional split'!$B$4:$B$6,X$4)</f>
        <v>0</v>
      </c>
      <c r="Y11" s="443">
        <f>V11*J11</f>
        <v>0</v>
      </c>
      <c r="Z11" s="251">
        <f t="shared" si="3"/>
        <v>0</v>
      </c>
      <c r="AA11" s="444">
        <f t="shared" ref="AA11:AA12" si="16">X11*L11</f>
        <v>0</v>
      </c>
    </row>
    <row r="12" spans="2:31" ht="14.5">
      <c r="B12" s="233" t="str">
        <f t="shared" si="13"/>
        <v>CFTNGAE1</v>
      </c>
      <c r="C12" s="233" t="str">
        <f t="shared" si="13"/>
        <v>Commercial Food (Cooking) Technology   - Natural Gas - Existing 1</v>
      </c>
      <c r="D12" s="233" t="str">
        <f t="shared" si="13"/>
        <v>COMNGA</v>
      </c>
      <c r="E12" s="233" t="str">
        <f t="shared" si="13"/>
        <v>CFDEM</v>
      </c>
      <c r="F12" s="259">
        <v>2015</v>
      </c>
      <c r="G12" s="250">
        <f t="shared" si="14"/>
        <v>37.979999999999997</v>
      </c>
      <c r="H12" s="250">
        <f t="shared" si="14"/>
        <v>0</v>
      </c>
      <c r="I12" s="250">
        <f t="shared" si="14"/>
        <v>0</v>
      </c>
      <c r="J12" s="624">
        <f t="shared" si="15"/>
        <v>0.5</v>
      </c>
      <c r="K12" s="624">
        <f t="shared" si="15"/>
        <v>0.5</v>
      </c>
      <c r="L12" s="624">
        <f t="shared" si="15"/>
        <v>0.5</v>
      </c>
      <c r="M12" s="244">
        <f t="shared" si="2"/>
        <v>3.1536000000000002E-2</v>
      </c>
      <c r="N12" s="458">
        <v>0.8</v>
      </c>
      <c r="O12" s="245">
        <v>30</v>
      </c>
      <c r="P12" s="227"/>
      <c r="Q12" s="227"/>
      <c r="R12" s="268" t="str">
        <f>R8</f>
        <v>Cooking</v>
      </c>
      <c r="S12" s="227" t="s">
        <v>74</v>
      </c>
      <c r="T12" s="246" t="s">
        <v>167</v>
      </c>
      <c r="U12" s="246">
        <v>2015</v>
      </c>
      <c r="V12" s="432" cm="1">
        <f t="array" ref="V12">_xlfn.IFNA(INDEX('Data manipulation'!$C$23:$N$128,MATCH($S12&amp;$R12,'Data manipulation'!$B$23:$B$128&amp;'Data manipulation'!$A$23:$A$128,0),MATCH($U12,'Data manipulation'!$C$22:$N$22,0))/1000,0)*SUMIFS('Regional split'!$F$4:$F$6,'Regional split'!$B$4:$B$6,V$4)</f>
        <v>1.8784504554723662</v>
      </c>
      <c r="W12" s="432" cm="1">
        <f t="array" ref="W12">_xlfn.IFNA(INDEX('Data manipulation'!$C$23:$N$128,MATCH($S12&amp;$R12,'Data manipulation'!$B$23:$B$128&amp;'Data manipulation'!$A$23:$A$128,0),MATCH($U12,'Data manipulation'!$C$22:$N$22,0))/1000,0)*SUMIFS('Regional split'!$F$4:$F$6,'Regional split'!$B$4:$B$6,W$4)</f>
        <v>0</v>
      </c>
      <c r="X12" s="432" cm="1">
        <f t="array" ref="X12">_xlfn.IFNA(INDEX('Data manipulation'!$C$23:$N$128,MATCH($S12&amp;$R12,'Data manipulation'!$B$23:$B$128&amp;'Data manipulation'!$A$23:$A$128,0),MATCH($U12,'Data manipulation'!$C$22:$N$22,0))/1000,0)*SUMIFS('Regional split'!$F$4:$F$6,'Regional split'!$B$4:$B$6,X$4)</f>
        <v>0</v>
      </c>
      <c r="Y12" s="443">
        <f t="shared" ref="Y12" si="17">V12*J12</f>
        <v>0.93922522773618311</v>
      </c>
      <c r="Z12" s="251">
        <f t="shared" si="3"/>
        <v>0</v>
      </c>
      <c r="AA12" s="444">
        <f t="shared" si="16"/>
        <v>0</v>
      </c>
    </row>
    <row r="13" spans="2:31" ht="14.5">
      <c r="B13" s="233" t="str">
        <f t="shared" si="13"/>
        <v>CFTELCOE1</v>
      </c>
      <c r="C13" s="233" t="str">
        <f t="shared" si="13"/>
        <v>Commercial Food (Cooking) Technology   - Electricity Cooking - Existing 1</v>
      </c>
      <c r="D13" s="233" t="str">
        <f t="shared" si="13"/>
        <v>COMELCO</v>
      </c>
      <c r="E13" s="233" t="str">
        <f t="shared" si="13"/>
        <v>CFDEM</v>
      </c>
      <c r="F13" s="259">
        <v>2015</v>
      </c>
      <c r="G13" s="250">
        <f t="shared" si="14"/>
        <v>5948.76</v>
      </c>
      <c r="H13" s="250">
        <f t="shared" si="14"/>
        <v>0</v>
      </c>
      <c r="I13" s="250">
        <f t="shared" si="14"/>
        <v>0</v>
      </c>
      <c r="J13" s="624">
        <f t="shared" si="15"/>
        <v>0.95</v>
      </c>
      <c r="K13" s="624">
        <f t="shared" si="15"/>
        <v>0.95</v>
      </c>
      <c r="L13" s="624">
        <f t="shared" si="15"/>
        <v>0.95</v>
      </c>
      <c r="M13" s="244">
        <f t="shared" si="2"/>
        <v>3.1536000000000002E-2</v>
      </c>
      <c r="N13" s="458">
        <v>0.8</v>
      </c>
      <c r="O13" s="245">
        <v>30</v>
      </c>
      <c r="P13" s="227"/>
      <c r="Q13" s="227"/>
      <c r="R13" s="268" t="str">
        <f>R9</f>
        <v>Cooking</v>
      </c>
      <c r="S13" s="227" t="s">
        <v>73</v>
      </c>
      <c r="T13" s="246" t="s">
        <v>73</v>
      </c>
      <c r="U13" s="246">
        <v>2015</v>
      </c>
      <c r="V13" s="432" cm="1">
        <f t="array" ref="V13">_xlfn.IFNA(INDEX('Data manipulation'!$C$23:$N$128,MATCH($S13&amp;$R13,'Data manipulation'!$B$23:$B$128&amp;'Data manipulation'!$A$23:$A$128,0),MATCH($U13,'Data manipulation'!$C$22:$N$22,0))/1000,0)*SUMIFS('Regional split'!$F$4:$F$6,'Regional split'!$B$4:$B$6,V$4)</f>
        <v>154.8813545931061</v>
      </c>
      <c r="W13" s="432" cm="1">
        <f t="array" ref="W13">_xlfn.IFNA(INDEX('Data manipulation'!$C$23:$N$128,MATCH($S13&amp;$R13,'Data manipulation'!$B$23:$B$128&amp;'Data manipulation'!$A$23:$A$128,0),MATCH($U13,'Data manipulation'!$C$22:$N$22,0))/1000,0)*SUMIFS('Regional split'!$F$4:$F$6,'Regional split'!$B$4:$B$6,W$4)</f>
        <v>0</v>
      </c>
      <c r="X13" s="432" cm="1">
        <f t="array" ref="X13">_xlfn.IFNA(INDEX('Data manipulation'!$C$23:$N$128,MATCH($S13&amp;$R13,'Data manipulation'!$B$23:$B$128&amp;'Data manipulation'!$A$23:$A$128,0),MATCH($U13,'Data manipulation'!$C$22:$N$22,0))/1000,0)*SUMIFS('Regional split'!$F$4:$F$6,'Regional split'!$B$4:$B$6,X$4)</f>
        <v>0</v>
      </c>
      <c r="Y13" s="443">
        <f t="shared" ref="Y13:Y14" si="18">V13*J13</f>
        <v>147.13728686345078</v>
      </c>
      <c r="Z13" s="251">
        <f t="shared" ref="Z13:Z14" si="19">W13*K13</f>
        <v>0</v>
      </c>
      <c r="AA13" s="444">
        <f t="shared" ref="AA13" si="20">X13*L13</f>
        <v>0</v>
      </c>
    </row>
    <row r="14" spans="2:31" ht="15" customHeight="1">
      <c r="B14" s="233" t="str">
        <f>Processes!D42</f>
        <v>CFTFIWE1</v>
      </c>
      <c r="C14" s="233" t="str">
        <f>Processes!E42</f>
        <v>Commercial Food (Cooking) Technology   - Fire wood - Existing 1</v>
      </c>
      <c r="D14" s="230" t="str">
        <f>Commodities!$C$24</f>
        <v>COMFIW</v>
      </c>
      <c r="E14" s="230" t="str">
        <f>Commodities!$C$17</f>
        <v>CFDEM</v>
      </c>
      <c r="F14" s="259">
        <v>2015</v>
      </c>
      <c r="G14" s="250">
        <f t="shared" ref="G14" si="21">ROUNDUP(Y14/($M14*$N14)*$G$2,2)</f>
        <v>13.549999999999999</v>
      </c>
      <c r="H14" s="250">
        <f t="shared" ref="H14" si="22">ROUNDUP(Z14/($M14*$N14)*$G$2,2)</f>
        <v>0</v>
      </c>
      <c r="I14" s="250">
        <f t="shared" ref="I14" si="23">ROUNDUP(AA14/($M14*$N14)*$G$2,2)</f>
        <v>0</v>
      </c>
      <c r="J14" s="626">
        <v>0.25600000000000001</v>
      </c>
      <c r="K14" s="626">
        <v>0.25600000000000001</v>
      </c>
      <c r="L14" s="626">
        <v>0.25600000000000001</v>
      </c>
      <c r="M14" s="244">
        <f t="shared" si="2"/>
        <v>3.1536000000000002E-2</v>
      </c>
      <c r="N14" s="458">
        <v>1</v>
      </c>
      <c r="O14" s="245">
        <v>30</v>
      </c>
      <c r="P14" s="227"/>
      <c r="Q14" s="268"/>
      <c r="R14" s="268" t="str">
        <f>R13</f>
        <v>Cooking</v>
      </c>
      <c r="S14" s="581" t="s">
        <v>819</v>
      </c>
      <c r="T14" s="246" t="s">
        <v>857</v>
      </c>
      <c r="U14" s="246">
        <v>2015</v>
      </c>
      <c r="V14" s="432" cm="1">
        <f t="array" ref="V14">_xlfn.IFNA(INDEX('Data manipulation'!$C$23:$N$128,MATCH($S14&amp;$R14,'Data manipulation'!$B$23:$B$128&amp;'Data manipulation'!$A$23:$A$128,0),MATCH($U14,'Data manipulation'!$C$22:$N$22,0))/1000,0)*SUMIFS('Regional split'!$F$4:$F$6,'Regional split'!$B$4:$B$6,V$4)</f>
        <v>1.635301169212503</v>
      </c>
      <c r="W14" s="432" cm="1">
        <f t="array" ref="W14">_xlfn.IFNA(INDEX('Data manipulation'!$C$23:$N$128,MATCH($S14&amp;$R14,'Data manipulation'!$B$23:$B$128&amp;'Data manipulation'!$A$23:$A$128,0),MATCH($U14,'Data manipulation'!$C$22:$N$22,0))/1000,0)*SUMIFS('Regional split'!$F$4:$F$6,'Regional split'!$B$4:$B$6,W$4)</f>
        <v>0</v>
      </c>
      <c r="X14" s="432" cm="1">
        <f t="array" ref="X14">_xlfn.IFNA(INDEX('Data manipulation'!$C$23:$N$128,MATCH($S14&amp;$R14,'Data manipulation'!$B$23:$B$128&amp;'Data manipulation'!$A$23:$A$128,0),MATCH($U14,'Data manipulation'!$C$22:$N$22,0))/1000,0)*SUMIFS('Regional split'!$F$4:$F$6,'Regional split'!$B$4:$B$6,X$4)</f>
        <v>0</v>
      </c>
      <c r="Y14" s="443">
        <f t="shared" si="18"/>
        <v>0.41863709931840076</v>
      </c>
      <c r="Z14" s="563">
        <f t="shared" si="19"/>
        <v>0</v>
      </c>
      <c r="AA14" s="444">
        <f>X14*L14</f>
        <v>0</v>
      </c>
      <c r="AC14" s="561"/>
      <c r="AD14" s="562"/>
      <c r="AE14" s="562"/>
    </row>
    <row r="15" spans="2:31" ht="14.5">
      <c r="B15" s="233" t="str">
        <f t="shared" ref="B15:E17" si="24">B7</f>
        <v>CFTLPGE1</v>
      </c>
      <c r="C15" s="233" t="str">
        <f t="shared" si="24"/>
        <v>Commercial Food (Cooking) Technology   - LPG - Existing 1</v>
      </c>
      <c r="D15" s="233" t="str">
        <f t="shared" si="24"/>
        <v>COMLPG</v>
      </c>
      <c r="E15" s="233" t="str">
        <f t="shared" si="24"/>
        <v>CFDEM</v>
      </c>
      <c r="F15" s="230">
        <v>2018</v>
      </c>
      <c r="G15" s="250">
        <f t="shared" ref="G15" si="25">ROUNDUP(Y15/($M15*$N15)*$G$2,2)</f>
        <v>0</v>
      </c>
      <c r="H15" s="250">
        <f t="shared" ref="H15" si="26">ROUNDUP(Z15/($M15*$N15)*$G$2,2)</f>
        <v>0</v>
      </c>
      <c r="I15" s="250">
        <f t="shared" si="1"/>
        <v>0</v>
      </c>
      <c r="J15" s="624">
        <f t="shared" ref="J15:L17" si="27">J7</f>
        <v>0.5</v>
      </c>
      <c r="K15" s="624">
        <f t="shared" si="27"/>
        <v>0.5</v>
      </c>
      <c r="L15" s="624">
        <f t="shared" si="27"/>
        <v>0.5</v>
      </c>
      <c r="M15" s="244">
        <f t="shared" si="2"/>
        <v>3.1536000000000002E-2</v>
      </c>
      <c r="N15" s="458">
        <v>1</v>
      </c>
      <c r="O15" s="245">
        <v>30</v>
      </c>
      <c r="P15" s="227"/>
      <c r="Q15" s="227"/>
      <c r="R15" s="268" t="str">
        <f>R8</f>
        <v>Cooking</v>
      </c>
      <c r="S15" s="591" t="s">
        <v>997</v>
      </c>
      <c r="T15" s="246" t="s">
        <v>759</v>
      </c>
      <c r="U15" s="246">
        <v>2018</v>
      </c>
      <c r="V15" s="432" cm="1">
        <f t="array" ref="V15">_xlfn.IFNA(INDEX('Data manipulation'!$C$23:$N$128,MATCH($S15&amp;$R15,'Data manipulation'!$B$23:$B$128&amp;'Data manipulation'!$A$23:$A$128,0),MATCH($U15,'Data manipulation'!$C$22:$N$22,0))/1000,0)*SUMIFS('Regional split'!$F$4:$F$6,'Regional split'!$B$4:$B$6,V$4)</f>
        <v>0</v>
      </c>
      <c r="W15" s="432" cm="1">
        <f t="array" ref="W15">_xlfn.IFNA(INDEX('Data manipulation'!$C$23:$N$128,MATCH($S15&amp;$R15,'Data manipulation'!$B$23:$B$128&amp;'Data manipulation'!$A$23:$A$128,0),MATCH($U15,'Data manipulation'!$C$22:$N$22,0))/1000,0)*SUMIFS('Regional split'!$F$4:$F$6,'Regional split'!$B$4:$B$6,W$4)</f>
        <v>0</v>
      </c>
      <c r="X15" s="432" cm="1">
        <f t="array" ref="X15">_xlfn.IFNA(INDEX('Data manipulation'!$C$23:$N$128,MATCH($S15&amp;$R15,'Data manipulation'!$B$23:$B$128&amp;'Data manipulation'!$A$23:$A$128,0),MATCH($U15,'Data manipulation'!$C$22:$N$22,0))/1000,0)*SUMIFS('Regional split'!$F$4:$F$6,'Regional split'!$B$4:$B$6,X$4)</f>
        <v>0</v>
      </c>
      <c r="Y15" s="443">
        <f t="shared" si="3"/>
        <v>0</v>
      </c>
      <c r="Z15" s="251">
        <f t="shared" si="3"/>
        <v>0</v>
      </c>
      <c r="AA15" s="444">
        <f t="shared" ref="AA15:AA16" si="28">X15*L15</f>
        <v>0</v>
      </c>
      <c r="AC15" s="561"/>
      <c r="AD15" s="561"/>
    </row>
    <row r="16" spans="2:31" ht="14.5">
      <c r="B16" s="233" t="str">
        <f t="shared" si="24"/>
        <v>CFTNGAE1</v>
      </c>
      <c r="C16" s="233" t="str">
        <f t="shared" si="24"/>
        <v>Commercial Food (Cooking) Technology   - Natural Gas - Existing 1</v>
      </c>
      <c r="D16" s="233" t="str">
        <f t="shared" si="24"/>
        <v>COMNGA</v>
      </c>
      <c r="E16" s="233" t="str">
        <f t="shared" si="24"/>
        <v>CFDEM</v>
      </c>
      <c r="F16" s="259">
        <v>2018</v>
      </c>
      <c r="G16" s="250">
        <f>ROUNDUP(Y16/($M16*$N16)*$G$2,2)</f>
        <v>33.83</v>
      </c>
      <c r="H16" s="250">
        <f>ROUNDUP(Z16/($M16*$N16)*$G$2,2)</f>
        <v>0</v>
      </c>
      <c r="I16" s="250">
        <f t="shared" si="1"/>
        <v>0</v>
      </c>
      <c r="J16" s="624">
        <f t="shared" si="27"/>
        <v>0.5</v>
      </c>
      <c r="K16" s="624">
        <f t="shared" si="27"/>
        <v>0.5</v>
      </c>
      <c r="L16" s="624">
        <f t="shared" si="27"/>
        <v>0.5</v>
      </c>
      <c r="M16" s="244">
        <f t="shared" si="2"/>
        <v>3.1536000000000002E-2</v>
      </c>
      <c r="N16" s="458">
        <v>1</v>
      </c>
      <c r="O16" s="245">
        <v>30</v>
      </c>
      <c r="P16" s="227"/>
      <c r="Q16" s="227"/>
      <c r="R16" s="268" t="str">
        <f>R15</f>
        <v>Cooking</v>
      </c>
      <c r="S16" s="227" t="s">
        <v>74</v>
      </c>
      <c r="T16" s="246" t="s">
        <v>167</v>
      </c>
      <c r="U16" s="246">
        <v>2018</v>
      </c>
      <c r="V16" s="432" cm="1">
        <f t="array" ref="V16">_xlfn.IFNA(INDEX('Data manipulation'!$C$23:$N$128,MATCH($S16&amp;$R16,'Data manipulation'!$B$23:$B$128&amp;'Data manipulation'!$A$23:$A$128,0),MATCH($U16,'Data manipulation'!$C$22:$N$22,0))/1000,0)*SUMIFS('Regional split'!$F$4:$F$6,'Regional split'!$B$4:$B$6,V$4)</f>
        <v>2.0917435783126153</v>
      </c>
      <c r="W16" s="432" cm="1">
        <f t="array" ref="W16">_xlfn.IFNA(INDEX('Data manipulation'!$C$23:$N$128,MATCH($S16&amp;$R16,'Data manipulation'!$B$23:$B$128&amp;'Data manipulation'!$A$23:$A$128,0),MATCH($U16,'Data manipulation'!$C$22:$N$22,0))/1000,0)*SUMIFS('Regional split'!$F$4:$F$6,'Regional split'!$B$4:$B$6,W$4)</f>
        <v>0</v>
      </c>
      <c r="X16" s="432" cm="1">
        <f t="array" ref="X16">_xlfn.IFNA(INDEX('Data manipulation'!$C$23:$N$128,MATCH($S16&amp;$R16,'Data manipulation'!$B$23:$B$128&amp;'Data manipulation'!$A$23:$A$128,0),MATCH($U16,'Data manipulation'!$C$22:$N$22,0))/1000,0)*SUMIFS('Regional split'!$F$4:$F$6,'Regional split'!$B$4:$B$6,X$4)</f>
        <v>0</v>
      </c>
      <c r="Y16" s="443">
        <f t="shared" si="3"/>
        <v>1.0458717891563076</v>
      </c>
      <c r="Z16" s="251">
        <f t="shared" si="3"/>
        <v>0</v>
      </c>
      <c r="AA16" s="444">
        <f t="shared" si="28"/>
        <v>0</v>
      </c>
      <c r="AC16" s="561"/>
      <c r="AD16" s="561"/>
    </row>
    <row r="17" spans="2:31" ht="14.5">
      <c r="B17" s="233" t="str">
        <f t="shared" si="24"/>
        <v>CFTELCOE1</v>
      </c>
      <c r="C17" s="233" t="str">
        <f t="shared" si="24"/>
        <v>Commercial Food (Cooking) Technology   - Electricity Cooking - Existing 1</v>
      </c>
      <c r="D17" s="233" t="str">
        <f t="shared" si="24"/>
        <v>COMELCO</v>
      </c>
      <c r="E17" s="233" t="str">
        <f t="shared" si="24"/>
        <v>CFDEM</v>
      </c>
      <c r="F17" s="259">
        <v>2018</v>
      </c>
      <c r="G17" s="250">
        <f>ROUNDUP(Y17/($M17*$N17)*$G$2,2)</f>
        <v>4513.3100000000004</v>
      </c>
      <c r="H17" s="250">
        <f>ROUNDUP(Z17/($M17*$N17)*$G$2,2)</f>
        <v>0</v>
      </c>
      <c r="I17" s="250">
        <f t="shared" ref="I17:I18" si="29">ROUNDUP(AA17/($M17*$N17)*$G$2,2)</f>
        <v>0</v>
      </c>
      <c r="J17" s="624">
        <f t="shared" si="27"/>
        <v>0.95</v>
      </c>
      <c r="K17" s="624">
        <f t="shared" si="27"/>
        <v>0.95</v>
      </c>
      <c r="L17" s="624">
        <f t="shared" si="27"/>
        <v>0.95</v>
      </c>
      <c r="M17" s="244">
        <f t="shared" si="2"/>
        <v>3.1536000000000002E-2</v>
      </c>
      <c r="N17" s="458">
        <v>1</v>
      </c>
      <c r="O17" s="245">
        <v>30</v>
      </c>
      <c r="P17" s="227"/>
      <c r="Q17" s="227"/>
      <c r="R17" s="268" t="str">
        <f>R16</f>
        <v>Cooking</v>
      </c>
      <c r="S17" s="227" t="s">
        <v>73</v>
      </c>
      <c r="T17" s="246" t="s">
        <v>73</v>
      </c>
      <c r="U17" s="246">
        <v>2018</v>
      </c>
      <c r="V17" s="432" cm="1">
        <f t="array" ref="V17">_xlfn.IFNA(INDEX('Data manipulation'!$C$23:$N$128,MATCH($S17&amp;$R17,'Data manipulation'!$B$23:$B$128&amp;'Data manipulation'!$A$23:$A$128,0),MATCH($U17,'Data manipulation'!$C$22:$N$22,0))/1000,0)*SUMIFS('Regional split'!$F$4:$F$6,'Regional split'!$B$4:$B$6,V$4)</f>
        <v>146.88505000527138</v>
      </c>
      <c r="W17" s="432" cm="1">
        <f t="array" ref="W17">_xlfn.IFNA(INDEX('Data manipulation'!$C$23:$N$128,MATCH($S17&amp;$R17,'Data manipulation'!$B$23:$B$128&amp;'Data manipulation'!$A$23:$A$128,0),MATCH($U17,'Data manipulation'!$C$22:$N$22,0))/1000,0)*SUMIFS('Regional split'!$F$4:$F$6,'Regional split'!$B$4:$B$6,W$4)</f>
        <v>0</v>
      </c>
      <c r="X17" s="432" cm="1">
        <f t="array" ref="X17">_xlfn.IFNA(INDEX('Data manipulation'!$C$23:$N$128,MATCH($S17&amp;$R17,'Data manipulation'!$B$23:$B$128&amp;'Data manipulation'!$A$23:$A$128,0),MATCH($U17,'Data manipulation'!$C$22:$N$22,0))/1000,0)*SUMIFS('Regional split'!$F$4:$F$6,'Regional split'!$B$4:$B$6,X$4)</f>
        <v>0</v>
      </c>
      <c r="Y17" s="443">
        <f t="shared" ref="Y17:Y18" si="30">V17*J17</f>
        <v>139.54079750500782</v>
      </c>
      <c r="Z17" s="251">
        <f t="shared" ref="Z17:Z18" si="31">W17*K17</f>
        <v>0</v>
      </c>
      <c r="AA17" s="444">
        <f t="shared" ref="AA17" si="32">X17*L17</f>
        <v>0</v>
      </c>
      <c r="AC17" s="561"/>
      <c r="AD17" s="561"/>
    </row>
    <row r="18" spans="2:31" ht="15" customHeight="1">
      <c r="B18" s="233" t="str">
        <f>Processes!D42</f>
        <v>CFTFIWE1</v>
      </c>
      <c r="C18" s="233" t="str">
        <f>Processes!E42</f>
        <v>Commercial Food (Cooking) Technology   - Fire wood - Existing 1</v>
      </c>
      <c r="D18" s="230" t="str">
        <f>Commodities!$C$24</f>
        <v>COMFIW</v>
      </c>
      <c r="E18" s="230" t="str">
        <f>Commodities!$C$17</f>
        <v>CFDEM</v>
      </c>
      <c r="F18" s="259">
        <v>2018</v>
      </c>
      <c r="G18" s="250">
        <f t="shared" ref="G18" si="33">ROUNDUP(Y18/($M18*$N18)*$G$2,2)</f>
        <v>14.41</v>
      </c>
      <c r="H18" s="250">
        <f t="shared" ref="H18" si="34">ROUNDUP(Z18/($M18*$N18)*$G$2,2)</f>
        <v>0</v>
      </c>
      <c r="I18" s="250">
        <f t="shared" si="29"/>
        <v>0</v>
      </c>
      <c r="J18" s="626">
        <v>0.25600000000000001</v>
      </c>
      <c r="K18" s="626">
        <v>0.25600000000000001</v>
      </c>
      <c r="L18" s="626">
        <v>0.25600000000000001</v>
      </c>
      <c r="M18" s="244">
        <f t="shared" si="2"/>
        <v>3.1536000000000002E-2</v>
      </c>
      <c r="N18" s="458">
        <v>1</v>
      </c>
      <c r="O18" s="245">
        <v>30</v>
      </c>
      <c r="P18" s="227"/>
      <c r="Q18" s="268"/>
      <c r="R18" s="268" t="str">
        <f>R17</f>
        <v>Cooking</v>
      </c>
      <c r="S18" s="581" t="s">
        <v>819</v>
      </c>
      <c r="T18" s="246" t="s">
        <v>857</v>
      </c>
      <c r="U18" s="246">
        <v>2018</v>
      </c>
      <c r="V18" s="432" cm="1">
        <f t="array" ref="V18">_xlfn.IFNA(INDEX('Data manipulation'!$C$23:$N$128,MATCH($S18&amp;$R18,'Data manipulation'!$B$23:$B$128&amp;'Data manipulation'!$A$23:$A$128,0),MATCH($U18,'Data manipulation'!$C$22:$N$22,0))/1000,0)*SUMIFS('Regional split'!$F$4:$F$6,'Regional split'!$B$4:$B$6,V$4)</f>
        <v>1.739162960252647</v>
      </c>
      <c r="W18" s="432" cm="1">
        <f t="array" ref="W18">_xlfn.IFNA(INDEX('Data manipulation'!$C$23:$N$128,MATCH($S18&amp;$R18,'Data manipulation'!$B$23:$B$128&amp;'Data manipulation'!$A$23:$A$128,0),MATCH($U18,'Data manipulation'!$C$22:$N$22,0))/1000,0)*SUMIFS('Regional split'!$F$4:$F$6,'Regional split'!$B$4:$B$6,W$4)</f>
        <v>0</v>
      </c>
      <c r="X18" s="432" cm="1">
        <f t="array" ref="X18">_xlfn.IFNA(INDEX('Data manipulation'!$C$23:$N$128,MATCH($S18&amp;$R18,'Data manipulation'!$B$23:$B$128&amp;'Data manipulation'!$A$23:$A$128,0),MATCH($U18,'Data manipulation'!$C$22:$N$22,0))/1000,0)*SUMIFS('Regional split'!$F$4:$F$6,'Regional split'!$B$4:$B$6,X$4)</f>
        <v>0</v>
      </c>
      <c r="Y18" s="443">
        <f t="shared" si="30"/>
        <v>0.44522571782467768</v>
      </c>
      <c r="Z18" s="563">
        <f t="shared" si="31"/>
        <v>0</v>
      </c>
      <c r="AA18" s="444">
        <f>X18*L18</f>
        <v>0</v>
      </c>
      <c r="AC18" s="561"/>
      <c r="AD18" s="562"/>
      <c r="AE18" s="562"/>
    </row>
    <row r="19" spans="2:31" ht="14.5">
      <c r="B19" s="233" t="str">
        <f t="shared" ref="B19:E21" si="35">B15</f>
        <v>CFTLPGE1</v>
      </c>
      <c r="C19" s="233" t="str">
        <f t="shared" si="35"/>
        <v>Commercial Food (Cooking) Technology   - LPG - Existing 1</v>
      </c>
      <c r="D19" s="233" t="str">
        <f t="shared" si="35"/>
        <v>COMLPG</v>
      </c>
      <c r="E19" s="233" t="str">
        <f t="shared" si="35"/>
        <v>CFDEM</v>
      </c>
      <c r="F19" s="566">
        <f>F15+O19</f>
        <v>2048</v>
      </c>
      <c r="G19" s="250">
        <v>0</v>
      </c>
      <c r="H19" s="250">
        <v>0</v>
      </c>
      <c r="I19" s="250">
        <v>0</v>
      </c>
      <c r="J19" s="624">
        <f t="shared" ref="J19:L21" si="36">J15</f>
        <v>0.5</v>
      </c>
      <c r="K19" s="624">
        <f t="shared" si="36"/>
        <v>0.5</v>
      </c>
      <c r="L19" s="624">
        <f t="shared" si="36"/>
        <v>0.5</v>
      </c>
      <c r="M19" s="244">
        <f t="shared" si="2"/>
        <v>3.1536000000000002E-2</v>
      </c>
      <c r="N19" s="458">
        <v>1</v>
      </c>
      <c r="O19" s="245">
        <v>30</v>
      </c>
      <c r="P19" s="227"/>
      <c r="Q19" s="227"/>
      <c r="R19" s="268" t="str">
        <f>R16</f>
        <v>Cooking</v>
      </c>
      <c r="S19" s="591" t="s">
        <v>997</v>
      </c>
      <c r="T19" s="246" t="s">
        <v>759</v>
      </c>
      <c r="U19" s="246">
        <v>2018</v>
      </c>
      <c r="V19" s="432" cm="1">
        <f t="array" ref="V19">_xlfn.IFNA(INDEX('Data manipulation'!$C$23:$N$128,MATCH($S19&amp;$R19,'Data manipulation'!$B$23:$B$128&amp;'Data manipulation'!$A$23:$A$128,0),MATCH($U19,'Data manipulation'!$C$22:$N$22,0))/1000,0)*SUMIFS('Regional split'!$F$4:$F$6,'Regional split'!$B$4:$B$6,V$4)</f>
        <v>0</v>
      </c>
      <c r="W19" s="432" cm="1">
        <f t="array" ref="W19">_xlfn.IFNA(INDEX('Data manipulation'!$C$23:$N$128,MATCH($S19&amp;$R19,'Data manipulation'!$B$23:$B$128&amp;'Data manipulation'!$A$23:$A$128,0),MATCH($U19,'Data manipulation'!$C$22:$N$22,0))/1000,0)*SUMIFS('Regional split'!$F$4:$F$6,'Regional split'!$B$4:$B$6,W$4)</f>
        <v>0</v>
      </c>
      <c r="X19" s="432" cm="1">
        <f t="array" ref="X19">_xlfn.IFNA(INDEX('Data manipulation'!$C$23:$N$128,MATCH($S19&amp;$R19,'Data manipulation'!$B$23:$B$128&amp;'Data manipulation'!$A$23:$A$128,0),MATCH($U19,'Data manipulation'!$C$22:$N$22,0))/1000,0)*SUMIFS('Regional split'!$F$4:$F$6,'Regional split'!$B$4:$B$6,X$4)</f>
        <v>0</v>
      </c>
      <c r="Y19" s="443">
        <f t="shared" ref="Y19:Y20" si="37">V19*J19</f>
        <v>0</v>
      </c>
      <c r="Z19" s="251">
        <f t="shared" ref="Z19:Z20" si="38">W19*K19</f>
        <v>0</v>
      </c>
      <c r="AA19" s="444">
        <f t="shared" ref="AA19:AA20" si="39">X19*L19</f>
        <v>0</v>
      </c>
      <c r="AC19" s="561"/>
      <c r="AD19" s="561"/>
    </row>
    <row r="20" spans="2:31" ht="14.5">
      <c r="B20" s="233" t="str">
        <f t="shared" si="35"/>
        <v>CFTNGAE1</v>
      </c>
      <c r="C20" s="233" t="str">
        <f t="shared" si="35"/>
        <v>Commercial Food (Cooking) Technology   - Natural Gas - Existing 1</v>
      </c>
      <c r="D20" s="233" t="str">
        <f t="shared" si="35"/>
        <v>COMNGA</v>
      </c>
      <c r="E20" s="233" t="str">
        <f t="shared" si="35"/>
        <v>CFDEM</v>
      </c>
      <c r="F20" s="566">
        <f>F16+O20</f>
        <v>2048</v>
      </c>
      <c r="G20" s="250">
        <v>0</v>
      </c>
      <c r="H20" s="250">
        <v>0</v>
      </c>
      <c r="I20" s="250">
        <v>0</v>
      </c>
      <c r="J20" s="624">
        <f t="shared" si="36"/>
        <v>0.5</v>
      </c>
      <c r="K20" s="624">
        <f t="shared" si="36"/>
        <v>0.5</v>
      </c>
      <c r="L20" s="624">
        <f t="shared" si="36"/>
        <v>0.5</v>
      </c>
      <c r="M20" s="244">
        <f t="shared" si="2"/>
        <v>3.1536000000000002E-2</v>
      </c>
      <c r="N20" s="458">
        <v>1</v>
      </c>
      <c r="O20" s="245">
        <v>30</v>
      </c>
      <c r="P20" s="227"/>
      <c r="Q20" s="227"/>
      <c r="R20" s="268" t="str">
        <f>R19</f>
        <v>Cooking</v>
      </c>
      <c r="S20" s="227" t="s">
        <v>74</v>
      </c>
      <c r="T20" s="246" t="s">
        <v>167</v>
      </c>
      <c r="U20" s="246">
        <v>2018</v>
      </c>
      <c r="V20" s="432" cm="1">
        <f t="array" ref="V20">_xlfn.IFNA(INDEX('Data manipulation'!$C$23:$N$128,MATCH($S20&amp;$R20,'Data manipulation'!$B$23:$B$128&amp;'Data manipulation'!$A$23:$A$128,0),MATCH($U20,'Data manipulation'!$C$22:$N$22,0))/1000,0)*SUMIFS('Regional split'!$F$4:$F$6,'Regional split'!$B$4:$B$6,V$4)</f>
        <v>2.0917435783126153</v>
      </c>
      <c r="W20" s="432" cm="1">
        <f t="array" ref="W20">_xlfn.IFNA(INDEX('Data manipulation'!$C$23:$N$128,MATCH($S20&amp;$R20,'Data manipulation'!$B$23:$B$128&amp;'Data manipulation'!$A$23:$A$128,0),MATCH($U20,'Data manipulation'!$C$22:$N$22,0))/1000,0)*SUMIFS('Regional split'!$F$4:$F$6,'Regional split'!$B$4:$B$6,W$4)</f>
        <v>0</v>
      </c>
      <c r="X20" s="432" cm="1">
        <f t="array" ref="X20">_xlfn.IFNA(INDEX('Data manipulation'!$C$23:$N$128,MATCH($S20&amp;$R20,'Data manipulation'!$B$23:$B$128&amp;'Data manipulation'!$A$23:$A$128,0),MATCH($U20,'Data manipulation'!$C$22:$N$22,0))/1000,0)*SUMIFS('Regional split'!$F$4:$F$6,'Regional split'!$B$4:$B$6,X$4)</f>
        <v>0</v>
      </c>
      <c r="Y20" s="443">
        <f t="shared" si="37"/>
        <v>1.0458717891563076</v>
      </c>
      <c r="Z20" s="251">
        <f t="shared" si="38"/>
        <v>0</v>
      </c>
      <c r="AA20" s="444">
        <f t="shared" si="39"/>
        <v>0</v>
      </c>
      <c r="AC20" s="561"/>
      <c r="AD20" s="561"/>
    </row>
    <row r="21" spans="2:31" ht="14.5">
      <c r="B21" s="233" t="str">
        <f t="shared" si="35"/>
        <v>CFTELCOE1</v>
      </c>
      <c r="C21" s="233" t="str">
        <f t="shared" si="35"/>
        <v>Commercial Food (Cooking) Technology   - Electricity Cooking - Existing 1</v>
      </c>
      <c r="D21" s="233" t="str">
        <f t="shared" si="35"/>
        <v>COMELCO</v>
      </c>
      <c r="E21" s="233" t="str">
        <f t="shared" si="35"/>
        <v>CFDEM</v>
      </c>
      <c r="F21" s="566">
        <f>F17+O21</f>
        <v>2048</v>
      </c>
      <c r="G21" s="250">
        <v>0</v>
      </c>
      <c r="H21" s="250">
        <v>0</v>
      </c>
      <c r="I21" s="250">
        <v>0</v>
      </c>
      <c r="J21" s="624">
        <f t="shared" si="36"/>
        <v>0.95</v>
      </c>
      <c r="K21" s="624">
        <f t="shared" si="36"/>
        <v>0.95</v>
      </c>
      <c r="L21" s="624">
        <f t="shared" si="36"/>
        <v>0.95</v>
      </c>
      <c r="M21" s="244">
        <f t="shared" si="2"/>
        <v>3.1536000000000002E-2</v>
      </c>
      <c r="N21" s="458">
        <v>1</v>
      </c>
      <c r="O21" s="245">
        <v>30</v>
      </c>
      <c r="P21" s="227"/>
      <c r="Q21" s="227"/>
      <c r="R21" s="268" t="str">
        <f>R20</f>
        <v>Cooking</v>
      </c>
      <c r="S21" s="227" t="s">
        <v>73</v>
      </c>
      <c r="T21" s="246" t="s">
        <v>73</v>
      </c>
      <c r="U21" s="246">
        <v>2018</v>
      </c>
      <c r="V21" s="432" cm="1">
        <f t="array" ref="V21">_xlfn.IFNA(INDEX('Data manipulation'!$C$23:$N$128,MATCH($S21&amp;$R21,'Data manipulation'!$B$23:$B$128&amp;'Data manipulation'!$A$23:$A$128,0),MATCH($U21,'Data manipulation'!$C$22:$N$22,0))/1000,0)*SUMIFS('Regional split'!$F$4:$F$6,'Regional split'!$B$4:$B$6,V$4)</f>
        <v>146.88505000527138</v>
      </c>
      <c r="W21" s="432" cm="1">
        <f t="array" ref="W21">_xlfn.IFNA(INDEX('Data manipulation'!$C$23:$N$128,MATCH($S21&amp;$R21,'Data manipulation'!$B$23:$B$128&amp;'Data manipulation'!$A$23:$A$128,0),MATCH($U21,'Data manipulation'!$C$22:$N$22,0))/1000,0)*SUMIFS('Regional split'!$F$4:$F$6,'Regional split'!$B$4:$B$6,W$4)</f>
        <v>0</v>
      </c>
      <c r="X21" s="432" cm="1">
        <f t="array" ref="X21">_xlfn.IFNA(INDEX('Data manipulation'!$C$23:$N$128,MATCH($S21&amp;$R21,'Data manipulation'!$B$23:$B$128&amp;'Data manipulation'!$A$23:$A$128,0),MATCH($U21,'Data manipulation'!$C$22:$N$22,0))/1000,0)*SUMIFS('Regional split'!$F$4:$F$6,'Regional split'!$B$4:$B$6,X$4)</f>
        <v>0</v>
      </c>
      <c r="Y21" s="443">
        <f t="shared" ref="Y21:Y22" si="40">V21*J21</f>
        <v>139.54079750500782</v>
      </c>
      <c r="Z21" s="251">
        <f t="shared" ref="Z21:Z22" si="41">W21*K21</f>
        <v>0</v>
      </c>
      <c r="AA21" s="444">
        <f t="shared" ref="AA21" si="42">X21*L21</f>
        <v>0</v>
      </c>
      <c r="AC21" s="561"/>
      <c r="AD21" s="561"/>
    </row>
    <row r="22" spans="2:31" ht="15" customHeight="1">
      <c r="B22" s="233" t="str">
        <f>Processes!D42</f>
        <v>CFTFIWE1</v>
      </c>
      <c r="C22" s="233" t="str">
        <f>Processes!E42</f>
        <v>Commercial Food (Cooking) Technology   - Fire wood - Existing 1</v>
      </c>
      <c r="D22" s="230" t="str">
        <f>Commodities!$C$24</f>
        <v>COMFIW</v>
      </c>
      <c r="E22" s="230" t="str">
        <f>Commodities!$C$17</f>
        <v>CFDEM</v>
      </c>
      <c r="F22" s="259">
        <v>2048</v>
      </c>
      <c r="G22" s="250">
        <v>0</v>
      </c>
      <c r="H22" s="250">
        <v>0</v>
      </c>
      <c r="I22" s="250">
        <v>0</v>
      </c>
      <c r="J22" s="626">
        <v>0.25600000000000001</v>
      </c>
      <c r="K22" s="626">
        <v>0.25600000000000001</v>
      </c>
      <c r="L22" s="626">
        <v>0.25600000000000001</v>
      </c>
      <c r="M22" s="244">
        <f t="shared" si="2"/>
        <v>3.1536000000000002E-2</v>
      </c>
      <c r="N22" s="458">
        <v>1</v>
      </c>
      <c r="O22" s="245">
        <v>30</v>
      </c>
      <c r="P22" s="227"/>
      <c r="Q22" s="268"/>
      <c r="R22" s="268" t="str">
        <f>R21</f>
        <v>Cooking</v>
      </c>
      <c r="S22" s="581" t="s">
        <v>819</v>
      </c>
      <c r="T22" s="246" t="s">
        <v>857</v>
      </c>
      <c r="U22" s="246">
        <v>2018</v>
      </c>
      <c r="V22" s="432" cm="1">
        <f t="array" ref="V22">_xlfn.IFNA(INDEX('Data manipulation'!$C$23:$N$128,MATCH($S22&amp;$R22,'Data manipulation'!$B$23:$B$128&amp;'Data manipulation'!$A$23:$A$128,0),MATCH($U22,'Data manipulation'!$C$22:$N$22,0))/1000,0)*SUMIFS('Regional split'!$F$4:$F$6,'Regional split'!$B$4:$B$6,V$4)</f>
        <v>1.739162960252647</v>
      </c>
      <c r="W22" s="432" cm="1">
        <f t="array" ref="W22">_xlfn.IFNA(INDEX('Data manipulation'!$C$23:$N$128,MATCH($S22&amp;$R22,'Data manipulation'!$B$23:$B$128&amp;'Data manipulation'!$A$23:$A$128,0),MATCH($U22,'Data manipulation'!$C$22:$N$22,0))/1000,0)*SUMIFS('Regional split'!$F$4:$F$6,'Regional split'!$B$4:$B$6,W$4)</f>
        <v>0</v>
      </c>
      <c r="X22" s="432" cm="1">
        <f t="array" ref="X22">_xlfn.IFNA(INDEX('Data manipulation'!$C$23:$N$128,MATCH($S22&amp;$R22,'Data manipulation'!$B$23:$B$128&amp;'Data manipulation'!$A$23:$A$128,0),MATCH($U22,'Data manipulation'!$C$22:$N$22,0))/1000,0)*SUMIFS('Regional split'!$F$4:$F$6,'Regional split'!$B$4:$B$6,X$4)</f>
        <v>0</v>
      </c>
      <c r="Y22" s="443">
        <f t="shared" si="40"/>
        <v>0.44522571782467768</v>
      </c>
      <c r="Z22" s="563">
        <f t="shared" si="41"/>
        <v>0</v>
      </c>
      <c r="AA22" s="444">
        <f>X22*L22</f>
        <v>0</v>
      </c>
      <c r="AC22" s="561"/>
      <c r="AD22" s="562"/>
      <c r="AE22" s="562"/>
    </row>
    <row r="23" spans="2:31" ht="18.5">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
      <c r="B24" s="227"/>
      <c r="C24" s="227"/>
    </row>
    <row r="25" spans="2:31" ht="21.5" thickBot="1">
      <c r="B25" s="501" t="s">
        <v>265</v>
      </c>
      <c r="C25" s="227"/>
      <c r="D25" s="228"/>
      <c r="E25" s="229" t="s">
        <v>161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5">
      <c r="B26" s="226"/>
      <c r="C26" s="227"/>
      <c r="D26" s="228"/>
      <c r="E26" s="229"/>
      <c r="F26" s="229"/>
      <c r="G26" s="271"/>
      <c r="H26" s="271"/>
      <c r="I26" s="271"/>
      <c r="J26" s="230"/>
      <c r="K26" s="230"/>
      <c r="L26" s="230"/>
      <c r="M26" s="232"/>
      <c r="N26" s="227"/>
      <c r="O26" s="227"/>
      <c r="P26" s="233"/>
      <c r="Q26" s="295"/>
      <c r="R26" s="233"/>
      <c r="S26" s="233"/>
      <c r="T26" s="266" t="s">
        <v>173</v>
      </c>
      <c r="U26" s="233"/>
      <c r="V26" s="233"/>
      <c r="W26" s="233"/>
      <c r="X26" s="227"/>
      <c r="Y26" s="227"/>
      <c r="Z26" s="227"/>
      <c r="AA26" s="227"/>
    </row>
    <row r="27" spans="2:31" ht="13.5"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6" t="s">
        <v>938</v>
      </c>
      <c r="W27" s="437" t="s">
        <v>948</v>
      </c>
      <c r="X27" s="438" t="s">
        <v>951</v>
      </c>
      <c r="Y27" s="436" t="s">
        <v>938</v>
      </c>
      <c r="Z27" s="437" t="s">
        <v>948</v>
      </c>
      <c r="AA27" s="438" t="s">
        <v>951</v>
      </c>
    </row>
    <row r="28" spans="2:31" ht="26">
      <c r="B28" s="238" t="s">
        <v>2</v>
      </c>
      <c r="C28" s="238" t="s">
        <v>26</v>
      </c>
      <c r="D28" s="238" t="s">
        <v>14</v>
      </c>
      <c r="E28" s="238" t="s">
        <v>15</v>
      </c>
      <c r="F28" s="421" t="s">
        <v>94</v>
      </c>
      <c r="G28" s="239" t="s">
        <v>926</v>
      </c>
      <c r="H28" s="239" t="s">
        <v>939</v>
      </c>
      <c r="I28" s="239" t="s">
        <v>952</v>
      </c>
      <c r="J28" s="240" t="s">
        <v>934</v>
      </c>
      <c r="K28" s="240" t="s">
        <v>947</v>
      </c>
      <c r="L28" s="240" t="s">
        <v>953</v>
      </c>
      <c r="M28" s="238" t="s">
        <v>0</v>
      </c>
      <c r="N28" s="238" t="s">
        <v>164</v>
      </c>
      <c r="O28" s="239" t="s">
        <v>93</v>
      </c>
      <c r="P28" s="227"/>
      <c r="Q28" s="227"/>
      <c r="R28" s="227"/>
      <c r="S28" s="227"/>
      <c r="T28" s="227"/>
      <c r="U28" s="227"/>
      <c r="V28" s="273" t="s">
        <v>75</v>
      </c>
      <c r="W28" s="272" t="s">
        <v>75</v>
      </c>
      <c r="X28" s="439" t="s">
        <v>75</v>
      </c>
      <c r="Y28" s="273" t="s">
        <v>71</v>
      </c>
      <c r="Z28" s="272" t="s">
        <v>71</v>
      </c>
      <c r="AA28" s="439" t="s">
        <v>71</v>
      </c>
    </row>
    <row r="29" spans="2:31" ht="21.5" thickBot="1">
      <c r="B29" s="242" t="s">
        <v>27</v>
      </c>
      <c r="C29" s="242"/>
      <c r="D29" s="242"/>
      <c r="E29" s="242"/>
      <c r="F29" s="243"/>
      <c r="G29" s="243" t="s">
        <v>65</v>
      </c>
      <c r="H29" s="243" t="s">
        <v>65</v>
      </c>
      <c r="I29" s="243" t="s">
        <v>65</v>
      </c>
      <c r="J29" s="243" t="s">
        <v>69</v>
      </c>
      <c r="K29" s="243" t="s">
        <v>69</v>
      </c>
      <c r="L29" s="243" t="s">
        <v>69</v>
      </c>
      <c r="M29" s="242"/>
      <c r="N29" s="242" t="s">
        <v>744</v>
      </c>
      <c r="O29" s="242" t="s">
        <v>94</v>
      </c>
      <c r="P29" s="227"/>
      <c r="Q29" s="227"/>
      <c r="R29" s="227"/>
      <c r="S29" s="227"/>
      <c r="T29" s="227"/>
      <c r="U29" s="227" t="s">
        <v>94</v>
      </c>
      <c r="V29" s="275" t="s">
        <v>48</v>
      </c>
      <c r="W29" s="457" t="s">
        <v>48</v>
      </c>
      <c r="X29" s="440" t="s">
        <v>48</v>
      </c>
      <c r="Y29" s="275" t="s">
        <v>70</v>
      </c>
      <c r="Z29" s="274" t="s">
        <v>70</v>
      </c>
      <c r="AA29" s="440" t="s">
        <v>70</v>
      </c>
    </row>
    <row r="30" spans="2:31" ht="15" customHeight="1">
      <c r="B30" s="233" t="str">
        <f>Processes!D43</f>
        <v>CATELCAE1</v>
      </c>
      <c r="C30" s="233" t="str">
        <f>Processes!E43</f>
        <v>Commercial Appliances Technology   - Electricity Appliances - Existing 1</v>
      </c>
      <c r="D30" s="230" t="str">
        <f>Commodities!$C$31</f>
        <v>COMELCA</v>
      </c>
      <c r="E30" s="259" t="str">
        <f>Commodities!$C$16</f>
        <v>CADEM</v>
      </c>
      <c r="F30" s="259">
        <v>2010</v>
      </c>
      <c r="G30" s="250">
        <f t="shared" ref="G30:I35" si="43">ROUNDUP(Y30/($M30*$N30)*$G$25,2)</f>
        <v>10150.43</v>
      </c>
      <c r="H30" s="250">
        <f t="shared" si="43"/>
        <v>0</v>
      </c>
      <c r="I30" s="250">
        <f t="shared" si="43"/>
        <v>0</v>
      </c>
      <c r="J30" s="460">
        <v>1</v>
      </c>
      <c r="K30" s="460">
        <v>1</v>
      </c>
      <c r="L30" s="460">
        <v>1</v>
      </c>
      <c r="M30" s="244">
        <f t="shared" ref="M30:M37" si="44">31.536/1000</f>
        <v>3.1536000000000002E-2</v>
      </c>
      <c r="N30" s="458">
        <v>0.8</v>
      </c>
      <c r="O30" s="245">
        <v>30</v>
      </c>
      <c r="P30" s="268"/>
      <c r="Q30" s="561">
        <f>SUM(G30:I30)*M30</f>
        <v>320.10396048000001</v>
      </c>
      <c r="R30" s="268" t="str">
        <f>B25</f>
        <v>Appliances</v>
      </c>
      <c r="S30" s="227" t="s">
        <v>73</v>
      </c>
      <c r="T30" s="254" t="s">
        <v>169</v>
      </c>
      <c r="U30" s="246">
        <v>2011</v>
      </c>
      <c r="V30" s="432" cm="1">
        <f t="array" ref="V30">_xlfn.IFNA(INDEX('Data manipulation'!$C$23:$N$128,MATCH($S30&amp;$R30,'Data manipulation'!$B$23:$B$128&amp;'Data manipulation'!$A$23:$A$128,0),MATCH($U30,'Data manipulation'!$C$22:$N$22,0))/1000,0)*SUMIFS('Regional split'!$F$4:$F$6,'Regional split'!$B$4:$B$6,V$4)</f>
        <v>251.06169229340028</v>
      </c>
      <c r="W30" s="432" cm="1">
        <f t="array" ref="W30">_xlfn.IFNA(INDEX('Data manipulation'!$C$23:$N$128,MATCH($S30&amp;$R30,'Data manipulation'!$B$23:$B$128&amp;'Data manipulation'!$A$23:$A$128,0),MATCH($U30,'Data manipulation'!$C$22:$N$22,0))/1000,0)*SUMIFS('Regional split'!$F$4:$F$6,'Regional split'!$B$4:$B$6,W$4)</f>
        <v>0</v>
      </c>
      <c r="X30" s="432" cm="1">
        <f t="array" ref="X30">_xlfn.IFNA(INDEX('Data manipulation'!$C$23:$N$128,MATCH($S30&amp;$R30,'Data manipulation'!$B$23:$B$128&amp;'Data manipulation'!$A$23:$A$128,0),MATCH($U30,'Data manipulation'!$C$22:$N$22,0))/1000,0)*SUMIFS('Regional split'!$F$4:$F$6,'Regional split'!$B$4:$B$6,X$4)</f>
        <v>0</v>
      </c>
      <c r="Y30" s="443">
        <f>V30*J30</f>
        <v>251.06169229340028</v>
      </c>
      <c r="Z30" s="251">
        <f t="shared" ref="Z30:Z35" si="45">W30*K30</f>
        <v>0</v>
      </c>
      <c r="AA30" s="444">
        <f t="shared" ref="AA30:AA35" si="46">X30*L30</f>
        <v>0</v>
      </c>
    </row>
    <row r="31" spans="2:31" ht="15" customHeight="1">
      <c r="B31" s="233" t="str">
        <f>Processes!D44</f>
        <v>CATGSLE1</v>
      </c>
      <c r="C31" s="233" t="str">
        <f>Processes!E44</f>
        <v>Commercial Appliances Technology   - Gasoline - Existing 1</v>
      </c>
      <c r="D31" s="230" t="str">
        <f>Commodities!$C$22</f>
        <v>COMGSL</v>
      </c>
      <c r="E31" s="259" t="str">
        <f>Commodities!$C$16</f>
        <v>CADEM</v>
      </c>
      <c r="F31" s="259">
        <v>2010</v>
      </c>
      <c r="G31" s="250">
        <f t="shared" si="43"/>
        <v>0</v>
      </c>
      <c r="H31" s="250">
        <f t="shared" si="43"/>
        <v>0</v>
      </c>
      <c r="I31" s="250">
        <f t="shared" si="43"/>
        <v>0</v>
      </c>
      <c r="J31" s="460">
        <v>0.15</v>
      </c>
      <c r="K31" s="460">
        <v>0.15</v>
      </c>
      <c r="L31" s="460">
        <v>0.15</v>
      </c>
      <c r="M31" s="244">
        <f t="shared" si="44"/>
        <v>3.1536000000000002E-2</v>
      </c>
      <c r="N31" s="458">
        <v>0.8</v>
      </c>
      <c r="O31" s="245">
        <v>30</v>
      </c>
      <c r="P31" s="227"/>
      <c r="Q31" s="268"/>
      <c r="R31" s="268" t="str">
        <f>R30</f>
        <v>Appliances</v>
      </c>
      <c r="S31" s="592" t="s">
        <v>842</v>
      </c>
      <c r="T31" s="254" t="s">
        <v>718</v>
      </c>
      <c r="U31" s="246">
        <v>2011</v>
      </c>
      <c r="V31" s="432" cm="1">
        <f t="array" ref="V31">_xlfn.IFNA(INDEX('Data manipulation'!$C$23:$N$128,MATCH($S31&amp;$R31,'Data manipulation'!$B$23:$B$128&amp;'Data manipulation'!$A$23:$A$128,0),MATCH($U31,'Data manipulation'!$C$22:$N$22,0))/1000,0)*SUMIFS('Regional split'!$F$4:$F$6,'Regional split'!$B$4:$B$6,V$4)</f>
        <v>0</v>
      </c>
      <c r="W31" s="432" cm="1">
        <f t="array" ref="W31">_xlfn.IFNA(INDEX('Data manipulation'!$C$23:$N$128,MATCH($S31&amp;$R31,'Data manipulation'!$B$23:$B$128&amp;'Data manipulation'!$A$23:$A$128,0),MATCH($U31,'Data manipulation'!$C$22:$N$22,0))/1000,0)*SUMIFS('Regional split'!$F$4:$F$6,'Regional split'!$B$4:$B$6,W$4)</f>
        <v>0</v>
      </c>
      <c r="X31" s="432" cm="1">
        <f t="array" ref="X31">_xlfn.IFNA(INDEX('Data manipulation'!$C$23:$N$128,MATCH($S31&amp;$R31,'Data manipulation'!$B$23:$B$128&amp;'Data manipulation'!$A$23:$A$128,0),MATCH($U31,'Data manipulation'!$C$22:$N$22,0))/1000,0)*SUMIFS('Regional split'!$F$4:$F$6,'Regional split'!$B$4:$B$6,X$4)</f>
        <v>0</v>
      </c>
      <c r="Y31" s="443">
        <f t="shared" ref="Y31" si="47">V31*J31</f>
        <v>0</v>
      </c>
      <c r="Z31" s="251">
        <f t="shared" si="45"/>
        <v>0</v>
      </c>
      <c r="AA31" s="444">
        <f t="shared" si="46"/>
        <v>0</v>
      </c>
    </row>
    <row r="32" spans="2:31" ht="14.5">
      <c r="B32" s="233" t="str">
        <f t="shared" ref="B32:E35" si="48">B30</f>
        <v>CATELCAE1</v>
      </c>
      <c r="C32" s="233" t="str">
        <f t="shared" si="48"/>
        <v>Commercial Appliances Technology   - Electricity Appliances - Existing 1</v>
      </c>
      <c r="D32" s="233" t="str">
        <f t="shared" si="48"/>
        <v>COMELCA</v>
      </c>
      <c r="E32" s="233" t="str">
        <f t="shared" si="48"/>
        <v>CADEM</v>
      </c>
      <c r="F32" s="259">
        <v>2015</v>
      </c>
      <c r="G32" s="250">
        <f>ROUNDUP(Y32/($M32*$N32)*$G$25,2)</f>
        <v>10480.32</v>
      </c>
      <c r="H32" s="250">
        <f t="shared" ref="H32:H33" si="49">ROUNDUP(Z32/($M32*$N32)*$G$25,2)</f>
        <v>0</v>
      </c>
      <c r="I32" s="250">
        <f t="shared" ref="I32:I33" si="50">ROUNDUP(AA32/($M32*$N32)*$G$25,2)</f>
        <v>0</v>
      </c>
      <c r="J32" s="460">
        <f t="shared" ref="J32:L35" si="51">J30</f>
        <v>1</v>
      </c>
      <c r="K32" s="460">
        <f t="shared" si="51"/>
        <v>1</v>
      </c>
      <c r="L32" s="460">
        <f t="shared" si="51"/>
        <v>1</v>
      </c>
      <c r="M32" s="244">
        <f t="shared" si="44"/>
        <v>3.1536000000000002E-2</v>
      </c>
      <c r="N32" s="458">
        <v>0.8</v>
      </c>
      <c r="O32" s="245">
        <v>30</v>
      </c>
      <c r="P32" s="227"/>
      <c r="Q32" s="227"/>
      <c r="R32" s="268" t="str">
        <f>R30</f>
        <v>Appliances</v>
      </c>
      <c r="S32" s="227" t="s">
        <v>73</v>
      </c>
      <c r="T32" s="254" t="s">
        <v>169</v>
      </c>
      <c r="U32" s="246">
        <v>2015</v>
      </c>
      <c r="V32" s="432" cm="1">
        <f t="array" ref="V32">_xlfn.IFNA(INDEX('Data manipulation'!$C$23:$N$128,MATCH($S32&amp;$R32,'Data manipulation'!$B$23:$B$128&amp;'Data manipulation'!$A$23:$A$128,0),MATCH($U32,'Data manipulation'!$C$22:$N$22,0))/1000,0)*SUMIFS('Regional split'!$F$4:$F$6,'Regional split'!$B$4:$B$6,V$4)</f>
        <v>259.22129859730302</v>
      </c>
      <c r="W32" s="432" cm="1">
        <f t="array" ref="W32">_xlfn.IFNA(INDEX('Data manipulation'!$C$23:$N$128,MATCH($S32&amp;$R32,'Data manipulation'!$B$23:$B$128&amp;'Data manipulation'!$A$23:$A$128,0),MATCH($U32,'Data manipulation'!$C$22:$N$22,0))/1000,0)*SUMIFS('Regional split'!$F$4:$F$6,'Regional split'!$B$4:$B$6,W$4)</f>
        <v>0</v>
      </c>
      <c r="X32" s="432" cm="1">
        <f t="array" ref="X32">_xlfn.IFNA(INDEX('Data manipulation'!$C$23:$N$128,MATCH($S32&amp;$R32,'Data manipulation'!$B$23:$B$128&amp;'Data manipulation'!$A$23:$A$128,0),MATCH($U32,'Data manipulation'!$C$22:$N$22,0))/1000,0)*SUMIFS('Regional split'!$F$4:$F$6,'Regional split'!$B$4:$B$6,X$4)</f>
        <v>0</v>
      </c>
      <c r="Y32" s="443">
        <f>V32*J32</f>
        <v>259.22129859730302</v>
      </c>
      <c r="Z32" s="251">
        <f t="shared" ref="Z32:Z33" si="52">W32*K32</f>
        <v>0</v>
      </c>
      <c r="AA32" s="444">
        <f t="shared" ref="AA32:AA33" si="53">X32*L32</f>
        <v>0</v>
      </c>
    </row>
    <row r="33" spans="2:27" ht="14.5">
      <c r="B33" s="233" t="str">
        <f t="shared" si="48"/>
        <v>CATGSLE1</v>
      </c>
      <c r="C33" s="233" t="str">
        <f t="shared" si="48"/>
        <v>Commercial Appliances Technology   - Gasoline - Existing 1</v>
      </c>
      <c r="D33" s="233" t="str">
        <f t="shared" si="48"/>
        <v>COMGSL</v>
      </c>
      <c r="E33" s="233" t="str">
        <f t="shared" si="48"/>
        <v>CADEM</v>
      </c>
      <c r="F33" s="259">
        <v>2015</v>
      </c>
      <c r="G33" s="250">
        <f>ROUNDUP(Y33/($M33*$N33)*$G$25,2)</f>
        <v>0</v>
      </c>
      <c r="H33" s="250">
        <f t="shared" si="49"/>
        <v>0</v>
      </c>
      <c r="I33" s="250">
        <f t="shared" si="50"/>
        <v>0</v>
      </c>
      <c r="J33" s="460">
        <f t="shared" si="51"/>
        <v>0.15</v>
      </c>
      <c r="K33" s="460">
        <f t="shared" si="51"/>
        <v>0.15</v>
      </c>
      <c r="L33" s="460">
        <f t="shared" si="51"/>
        <v>0.15</v>
      </c>
      <c r="M33" s="244">
        <f t="shared" si="44"/>
        <v>3.1536000000000002E-2</v>
      </c>
      <c r="N33" s="458">
        <v>0.8</v>
      </c>
      <c r="O33" s="245">
        <v>30</v>
      </c>
      <c r="P33" s="227"/>
      <c r="Q33" s="227"/>
      <c r="R33" s="268" t="str">
        <f>R31</f>
        <v>Appliances</v>
      </c>
      <c r="S33" s="592" t="s">
        <v>842</v>
      </c>
      <c r="T33" s="254" t="s">
        <v>718</v>
      </c>
      <c r="U33" s="246">
        <v>2015</v>
      </c>
      <c r="V33" s="432" cm="1">
        <f t="array" ref="V33">_xlfn.IFNA(INDEX('Data manipulation'!$C$23:$N$128,MATCH($S33&amp;$R33,'Data manipulation'!$B$23:$B$128&amp;'Data manipulation'!$A$23:$A$128,0),MATCH($U33,'Data manipulation'!$C$22:$N$22,0))/1000,0)*SUMIFS('Regional split'!$F$4:$F$6,'Regional split'!$B$4:$B$6,V$4)</f>
        <v>0</v>
      </c>
      <c r="W33" s="432" cm="1">
        <f t="array" ref="W33">_xlfn.IFNA(INDEX('Data manipulation'!$C$23:$N$128,MATCH($S33&amp;$R33,'Data manipulation'!$B$23:$B$128&amp;'Data manipulation'!$A$23:$A$128,0),MATCH($U33,'Data manipulation'!$C$22:$N$22,0))/1000,0)*SUMIFS('Regional split'!$F$4:$F$6,'Regional split'!$B$4:$B$6,W$4)</f>
        <v>0</v>
      </c>
      <c r="X33" s="432" cm="1">
        <f t="array" ref="X33">_xlfn.IFNA(INDEX('Data manipulation'!$C$23:$N$128,MATCH($S33&amp;$R33,'Data manipulation'!$B$23:$B$128&amp;'Data manipulation'!$A$23:$A$128,0),MATCH($U33,'Data manipulation'!$C$22:$N$22,0))/1000,0)*SUMIFS('Regional split'!$F$4:$F$6,'Regional split'!$B$4:$B$6,X$4)</f>
        <v>0</v>
      </c>
      <c r="Y33" s="443">
        <f t="shared" ref="Y33" si="54">V33*J33</f>
        <v>0</v>
      </c>
      <c r="Z33" s="251">
        <f t="shared" si="52"/>
        <v>0</v>
      </c>
      <c r="AA33" s="444">
        <f t="shared" si="53"/>
        <v>0</v>
      </c>
    </row>
    <row r="34" spans="2:27" ht="14.5">
      <c r="B34" s="233" t="str">
        <f t="shared" si="48"/>
        <v>CATELCAE1</v>
      </c>
      <c r="C34" s="233" t="str">
        <f t="shared" si="48"/>
        <v>Commercial Appliances Technology   - Electricity Appliances - Existing 1</v>
      </c>
      <c r="D34" s="233" t="str">
        <f t="shared" si="48"/>
        <v>COMELCA</v>
      </c>
      <c r="E34" s="233" t="str">
        <f t="shared" si="48"/>
        <v>CADEM</v>
      </c>
      <c r="F34" s="259">
        <v>2018</v>
      </c>
      <c r="G34" s="250">
        <f t="shared" si="43"/>
        <v>9939.23</v>
      </c>
      <c r="H34" s="250">
        <f t="shared" si="43"/>
        <v>0</v>
      </c>
      <c r="I34" s="250">
        <f t="shared" si="43"/>
        <v>0</v>
      </c>
      <c r="J34" s="460">
        <f t="shared" si="51"/>
        <v>1</v>
      </c>
      <c r="K34" s="460">
        <f t="shared" si="51"/>
        <v>1</v>
      </c>
      <c r="L34" s="460">
        <f t="shared" si="51"/>
        <v>1</v>
      </c>
      <c r="M34" s="244">
        <f t="shared" si="44"/>
        <v>3.1536000000000002E-2</v>
      </c>
      <c r="N34" s="458">
        <v>0.8</v>
      </c>
      <c r="O34" s="245">
        <v>30</v>
      </c>
      <c r="P34" s="227"/>
      <c r="Q34" s="227"/>
      <c r="R34" s="268" t="str">
        <f>R32</f>
        <v>Appliances</v>
      </c>
      <c r="S34" s="227" t="s">
        <v>73</v>
      </c>
      <c r="T34" s="254" t="s">
        <v>169</v>
      </c>
      <c r="U34" s="246">
        <v>2018</v>
      </c>
      <c r="V34" s="432" cm="1">
        <f t="array" ref="V34">_xlfn.IFNA(INDEX('Data manipulation'!$C$23:$N$128,MATCH($S34&amp;$R34,'Data manipulation'!$B$23:$B$128&amp;'Data manipulation'!$A$23:$A$128,0),MATCH($U34,'Data manipulation'!$C$22:$N$22,0))/1000,0)*SUMIFS('Regional split'!$F$4:$F$6,'Regional split'!$B$4:$B$6,V$4)</f>
        <v>245.83807074083413</v>
      </c>
      <c r="W34" s="432" cm="1">
        <f t="array" ref="W34">_xlfn.IFNA(INDEX('Data manipulation'!$C$23:$N$128,MATCH($S34&amp;$R34,'Data manipulation'!$B$23:$B$128&amp;'Data manipulation'!$A$23:$A$128,0),MATCH($U34,'Data manipulation'!$C$22:$N$22,0))/1000,0)*SUMIFS('Regional split'!$F$4:$F$6,'Regional split'!$B$4:$B$6,W$4)</f>
        <v>0</v>
      </c>
      <c r="X34" s="432" cm="1">
        <f t="array" ref="X34">_xlfn.IFNA(INDEX('Data manipulation'!$C$23:$N$128,MATCH($S34&amp;$R34,'Data manipulation'!$B$23:$B$128&amp;'Data manipulation'!$A$23:$A$128,0),MATCH($U34,'Data manipulation'!$C$22:$N$22,0))/1000,0)*SUMIFS('Regional split'!$F$4:$F$6,'Regional split'!$B$4:$B$6,X$4)</f>
        <v>0</v>
      </c>
      <c r="Y34" s="443">
        <f>V34*J34</f>
        <v>245.83807074083413</v>
      </c>
      <c r="Z34" s="251">
        <f t="shared" si="45"/>
        <v>0</v>
      </c>
      <c r="AA34" s="444">
        <f t="shared" si="46"/>
        <v>0</v>
      </c>
    </row>
    <row r="35" spans="2:27" ht="14.5">
      <c r="B35" s="233" t="str">
        <f t="shared" si="48"/>
        <v>CATGSLE1</v>
      </c>
      <c r="C35" s="233" t="str">
        <f t="shared" si="48"/>
        <v>Commercial Appliances Technology   - Gasoline - Existing 1</v>
      </c>
      <c r="D35" s="233" t="str">
        <f t="shared" si="48"/>
        <v>COMGSL</v>
      </c>
      <c r="E35" s="233" t="str">
        <f t="shared" si="48"/>
        <v>CADEM</v>
      </c>
      <c r="F35" s="259">
        <v>2018</v>
      </c>
      <c r="G35" s="250">
        <f t="shared" si="43"/>
        <v>0</v>
      </c>
      <c r="H35" s="250">
        <f t="shared" si="43"/>
        <v>0</v>
      </c>
      <c r="I35" s="250">
        <f t="shared" si="43"/>
        <v>0</v>
      </c>
      <c r="J35" s="460">
        <f t="shared" si="51"/>
        <v>0.15</v>
      </c>
      <c r="K35" s="460">
        <f t="shared" si="51"/>
        <v>0.15</v>
      </c>
      <c r="L35" s="460">
        <f t="shared" si="51"/>
        <v>0.15</v>
      </c>
      <c r="M35" s="244">
        <f t="shared" si="44"/>
        <v>3.1536000000000002E-2</v>
      </c>
      <c r="N35" s="458">
        <v>0.8</v>
      </c>
      <c r="O35" s="245">
        <v>30</v>
      </c>
      <c r="P35" s="227"/>
      <c r="Q35" s="227"/>
      <c r="R35" s="268" t="str">
        <f>R33</f>
        <v>Appliances</v>
      </c>
      <c r="S35" s="592" t="s">
        <v>842</v>
      </c>
      <c r="T35" s="254" t="s">
        <v>718</v>
      </c>
      <c r="U35" s="246">
        <v>2018</v>
      </c>
      <c r="V35" s="432" cm="1">
        <f t="array" ref="V35">_xlfn.IFNA(INDEX('Data manipulation'!$C$23:$N$128,MATCH($S35&amp;$R35,'Data manipulation'!$B$23:$B$128&amp;'Data manipulation'!$A$23:$A$128,0),MATCH($U35,'Data manipulation'!$C$22:$N$22,0))/1000,0)*SUMIFS('Regional split'!$F$4:$F$6,'Regional split'!$B$4:$B$6,V$4)</f>
        <v>0</v>
      </c>
      <c r="W35" s="432" cm="1">
        <f t="array" ref="W35">_xlfn.IFNA(INDEX('Data manipulation'!$C$23:$N$128,MATCH($S35&amp;$R35,'Data manipulation'!$B$23:$B$128&amp;'Data manipulation'!$A$23:$A$128,0),MATCH($U35,'Data manipulation'!$C$22:$N$22,0))/1000,0)*SUMIFS('Regional split'!$F$4:$F$6,'Regional split'!$B$4:$B$6,W$4)</f>
        <v>0</v>
      </c>
      <c r="X35" s="432" cm="1">
        <f t="array" ref="X35">_xlfn.IFNA(INDEX('Data manipulation'!$C$23:$N$128,MATCH($S35&amp;$R35,'Data manipulation'!$B$23:$B$128&amp;'Data manipulation'!$A$23:$A$128,0),MATCH($U35,'Data manipulation'!$C$22:$N$22,0))/1000,0)*SUMIFS('Regional split'!$F$4:$F$6,'Regional split'!$B$4:$B$6,X$4)</f>
        <v>0</v>
      </c>
      <c r="Y35" s="443">
        <f t="shared" ref="Y35" si="55">V35*J35</f>
        <v>0</v>
      </c>
      <c r="Z35" s="251">
        <f t="shared" si="45"/>
        <v>0</v>
      </c>
      <c r="AA35" s="444">
        <f t="shared" si="46"/>
        <v>0</v>
      </c>
    </row>
    <row r="36" spans="2:27" ht="14.5">
      <c r="B36" s="233" t="str">
        <f t="shared" ref="B36:E36" si="56">B34</f>
        <v>CATELCAE1</v>
      </c>
      <c r="C36" s="233" t="str">
        <f t="shared" si="56"/>
        <v>Commercial Appliances Technology   - Electricity Appliances - Existing 1</v>
      </c>
      <c r="D36" s="233" t="str">
        <f t="shared" si="56"/>
        <v>COMELCA</v>
      </c>
      <c r="E36" s="233" t="str">
        <f t="shared" si="56"/>
        <v>CADEM</v>
      </c>
      <c r="F36" s="567">
        <f>F34+O36</f>
        <v>2048</v>
      </c>
      <c r="G36" s="250">
        <v>0</v>
      </c>
      <c r="H36" s="250">
        <v>0</v>
      </c>
      <c r="I36" s="250">
        <v>0</v>
      </c>
      <c r="J36" s="460">
        <f t="shared" ref="J36:L36" si="57">J34</f>
        <v>1</v>
      </c>
      <c r="K36" s="460">
        <f t="shared" si="57"/>
        <v>1</v>
      </c>
      <c r="L36" s="460">
        <f t="shared" si="57"/>
        <v>1</v>
      </c>
      <c r="M36" s="244">
        <f t="shared" si="44"/>
        <v>3.1536000000000002E-2</v>
      </c>
      <c r="N36" s="458">
        <v>0.8</v>
      </c>
      <c r="O36" s="245">
        <v>30</v>
      </c>
      <c r="P36" s="227"/>
      <c r="Q36" s="227"/>
      <c r="R36" s="268" t="str">
        <f>R35</f>
        <v>Appliances</v>
      </c>
      <c r="S36" s="227" t="s">
        <v>73</v>
      </c>
      <c r="T36" s="254" t="s">
        <v>169</v>
      </c>
      <c r="U36" s="246">
        <v>2018</v>
      </c>
      <c r="V36" s="432" cm="1">
        <f t="array" ref="V36">_xlfn.IFNA(INDEX('Data manipulation'!$C$23:$N$128,MATCH($S36&amp;$R36,'Data manipulation'!$B$23:$B$128&amp;'Data manipulation'!$A$23:$A$128,0),MATCH($U36,'Data manipulation'!$C$22:$N$22,0))/1000,0)*SUMIFS('Regional split'!$F$4:$F$6,'Regional split'!$B$4:$B$6,V$4)</f>
        <v>245.83807074083413</v>
      </c>
      <c r="W36" s="432" cm="1">
        <f t="array" ref="W36">_xlfn.IFNA(INDEX('Data manipulation'!$C$23:$N$128,MATCH($S36&amp;$R36,'Data manipulation'!$B$23:$B$128&amp;'Data manipulation'!$A$23:$A$128,0),MATCH($U36,'Data manipulation'!$C$22:$N$22,0))/1000,0)*SUMIFS('Regional split'!$F$4:$F$6,'Regional split'!$B$4:$B$6,W$4)</f>
        <v>0</v>
      </c>
      <c r="X36" s="432" cm="1">
        <f t="array" ref="X36">_xlfn.IFNA(INDEX('Data manipulation'!$C$23:$N$128,MATCH($S36&amp;$R36,'Data manipulation'!$B$23:$B$128&amp;'Data manipulation'!$A$23:$A$128,0),MATCH($U36,'Data manipulation'!$C$22:$N$22,0))/1000,0)*SUMIFS('Regional split'!$F$4:$F$6,'Regional split'!$B$4:$B$6,X$4)</f>
        <v>0</v>
      </c>
      <c r="Y36" s="443">
        <f t="shared" ref="Y36:Y37" si="58">V36*J36</f>
        <v>245.83807074083413</v>
      </c>
      <c r="Z36" s="251">
        <f t="shared" ref="Z36:Z37" si="59">W36*K36</f>
        <v>0</v>
      </c>
      <c r="AA36" s="444">
        <f t="shared" ref="AA36:AA37" si="60">X36*L36</f>
        <v>0</v>
      </c>
    </row>
    <row r="37" spans="2:27" ht="14.5">
      <c r="B37" s="233" t="str">
        <f t="shared" ref="B37:E37" si="61">B35</f>
        <v>CATGSLE1</v>
      </c>
      <c r="C37" s="233" t="str">
        <f t="shared" si="61"/>
        <v>Commercial Appliances Technology   - Gasoline - Existing 1</v>
      </c>
      <c r="D37" s="233" t="str">
        <f t="shared" si="61"/>
        <v>COMGSL</v>
      </c>
      <c r="E37" s="233" t="str">
        <f t="shared" si="61"/>
        <v>CADEM</v>
      </c>
      <c r="F37" s="567">
        <f>F35+O37</f>
        <v>2048</v>
      </c>
      <c r="G37" s="250">
        <v>0</v>
      </c>
      <c r="H37" s="250">
        <v>0</v>
      </c>
      <c r="I37" s="250">
        <v>0</v>
      </c>
      <c r="J37" s="460">
        <f t="shared" ref="J37:L37" si="62">J35</f>
        <v>0.15</v>
      </c>
      <c r="K37" s="460">
        <f t="shared" si="62"/>
        <v>0.15</v>
      </c>
      <c r="L37" s="460">
        <f t="shared" si="62"/>
        <v>0.15</v>
      </c>
      <c r="M37" s="244">
        <f t="shared" si="44"/>
        <v>3.1536000000000002E-2</v>
      </c>
      <c r="N37" s="458">
        <v>0.8</v>
      </c>
      <c r="O37" s="245">
        <v>30</v>
      </c>
      <c r="P37" s="227"/>
      <c r="Q37" s="227"/>
      <c r="R37" s="268" t="str">
        <f>R36</f>
        <v>Appliances</v>
      </c>
      <c r="S37" s="592" t="s">
        <v>842</v>
      </c>
      <c r="T37" s="254" t="s">
        <v>718</v>
      </c>
      <c r="U37" s="246">
        <v>2018</v>
      </c>
      <c r="V37" s="432" cm="1">
        <f t="array" ref="V37">_xlfn.IFNA(INDEX('Data manipulation'!$C$23:$N$128,MATCH($S37&amp;$R37,'Data manipulation'!$B$23:$B$128&amp;'Data manipulation'!$A$23:$A$128,0),MATCH($U37,'Data manipulation'!$C$22:$N$22,0))/1000,0)*SUMIFS('Regional split'!$F$4:$F$6,'Regional split'!$B$4:$B$6,V$4)</f>
        <v>0</v>
      </c>
      <c r="W37" s="432" cm="1">
        <f t="array" ref="W37">_xlfn.IFNA(INDEX('Data manipulation'!$C$23:$N$128,MATCH($S37&amp;$R37,'Data manipulation'!$B$23:$B$128&amp;'Data manipulation'!$A$23:$A$128,0),MATCH($U37,'Data manipulation'!$C$22:$N$22,0))/1000,0)*SUMIFS('Regional split'!$F$4:$F$6,'Regional split'!$B$4:$B$6,W$4)</f>
        <v>0</v>
      </c>
      <c r="X37" s="432" cm="1">
        <f t="array" ref="X37">_xlfn.IFNA(INDEX('Data manipulation'!$C$23:$N$128,MATCH($S37&amp;$R37,'Data manipulation'!$B$23:$B$128&amp;'Data manipulation'!$A$23:$A$128,0),MATCH($U37,'Data manipulation'!$C$22:$N$22,0))/1000,0)*SUMIFS('Regional split'!$F$4:$F$6,'Regional split'!$B$4:$B$6,X$4)</f>
        <v>0</v>
      </c>
      <c r="Y37" s="443">
        <f t="shared" si="58"/>
        <v>0</v>
      </c>
      <c r="Z37" s="251">
        <f t="shared" si="59"/>
        <v>0</v>
      </c>
      <c r="AA37" s="444">
        <f t="shared" si="60"/>
        <v>0</v>
      </c>
    </row>
    <row r="38" spans="2:27" ht="13">
      <c r="B38" s="227"/>
      <c r="C38" s="227"/>
    </row>
    <row r="39" spans="2:27" ht="13">
      <c r="B39" s="227"/>
      <c r="C39" s="227"/>
    </row>
    <row r="40" spans="2:27" ht="21.5" thickBot="1">
      <c r="B40" s="501" t="s">
        <v>729</v>
      </c>
      <c r="C40" s="227"/>
      <c r="D40" s="228"/>
      <c r="E40" s="229" t="s">
        <v>161</v>
      </c>
      <c r="F40" s="229"/>
      <c r="G40" s="271">
        <v>1.02</v>
      </c>
      <c r="H40" s="271"/>
      <c r="I40" s="271"/>
      <c r="J40" s="230"/>
      <c r="K40" s="230"/>
      <c r="L40" s="230"/>
      <c r="M40" s="231"/>
      <c r="N40" s="232"/>
      <c r="O40" s="232"/>
      <c r="P40" s="227"/>
      <c r="Q40" s="227"/>
      <c r="R40" s="233"/>
      <c r="S40" s="295"/>
      <c r="T40" s="233"/>
      <c r="U40" s="233"/>
      <c r="V40" s="233"/>
      <c r="W40" s="233"/>
      <c r="X40" s="233"/>
      <c r="Y40" s="233"/>
      <c r="Z40" s="227"/>
      <c r="AA40" s="227"/>
    </row>
    <row r="41" spans="2:27" ht="14.5">
      <c r="B41" s="226"/>
      <c r="C41" s="227"/>
      <c r="D41" s="228"/>
      <c r="E41" s="229"/>
      <c r="F41" s="229"/>
      <c r="G41" s="271"/>
      <c r="H41" s="271"/>
      <c r="I41" s="271"/>
      <c r="J41" s="230"/>
      <c r="K41" s="230"/>
      <c r="L41" s="230"/>
      <c r="M41" s="232"/>
      <c r="N41" s="227"/>
      <c r="O41" s="227"/>
      <c r="P41" s="233"/>
      <c r="Q41" s="295"/>
      <c r="R41" s="233"/>
      <c r="S41" s="233"/>
      <c r="T41" s="266" t="s">
        <v>173</v>
      </c>
      <c r="U41" s="233"/>
      <c r="V41" s="233"/>
      <c r="W41" s="233"/>
      <c r="X41" s="227"/>
      <c r="Y41" s="227"/>
      <c r="Z41" s="227"/>
      <c r="AA41" s="227"/>
    </row>
    <row r="42" spans="2:27" ht="13.5"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6" t="s">
        <v>938</v>
      </c>
      <c r="W42" s="437" t="s">
        <v>948</v>
      </c>
      <c r="X42" s="438" t="s">
        <v>951</v>
      </c>
      <c r="Y42" s="436" t="s">
        <v>938</v>
      </c>
      <c r="Z42" s="437" t="s">
        <v>948</v>
      </c>
      <c r="AA42" s="438" t="s">
        <v>951</v>
      </c>
    </row>
    <row r="43" spans="2:27" ht="26">
      <c r="B43" s="238" t="s">
        <v>2</v>
      </c>
      <c r="C43" s="238" t="s">
        <v>26</v>
      </c>
      <c r="D43" s="238" t="s">
        <v>14</v>
      </c>
      <c r="E43" s="238" t="s">
        <v>15</v>
      </c>
      <c r="F43" s="421" t="s">
        <v>94</v>
      </c>
      <c r="G43" s="239" t="s">
        <v>926</v>
      </c>
      <c r="H43" s="239" t="s">
        <v>939</v>
      </c>
      <c r="I43" s="239" t="s">
        <v>952</v>
      </c>
      <c r="J43" s="240" t="s">
        <v>934</v>
      </c>
      <c r="K43" s="240" t="s">
        <v>947</v>
      </c>
      <c r="L43" s="240" t="s">
        <v>953</v>
      </c>
      <c r="M43" s="238" t="s">
        <v>0</v>
      </c>
      <c r="N43" s="238" t="s">
        <v>164</v>
      </c>
      <c r="O43" s="239" t="s">
        <v>93</v>
      </c>
      <c r="P43" s="227"/>
      <c r="Q43" s="227"/>
      <c r="R43" s="227"/>
      <c r="S43" s="227"/>
      <c r="T43" s="227"/>
      <c r="U43" s="227"/>
      <c r="V43" s="273" t="s">
        <v>75</v>
      </c>
      <c r="W43" s="272" t="s">
        <v>75</v>
      </c>
      <c r="X43" s="439" t="s">
        <v>75</v>
      </c>
      <c r="Y43" s="273" t="s">
        <v>71</v>
      </c>
      <c r="Z43" s="272" t="s">
        <v>71</v>
      </c>
      <c r="AA43" s="439" t="s">
        <v>71</v>
      </c>
    </row>
    <row r="44" spans="2:27" ht="21.5" thickBot="1">
      <c r="B44" s="242" t="s">
        <v>27</v>
      </c>
      <c r="C44" s="242"/>
      <c r="D44" s="242"/>
      <c r="E44" s="242"/>
      <c r="F44" s="243"/>
      <c r="G44" s="243" t="s">
        <v>65</v>
      </c>
      <c r="H44" s="243" t="s">
        <v>65</v>
      </c>
      <c r="I44" s="243" t="s">
        <v>65</v>
      </c>
      <c r="J44" s="243" t="s">
        <v>69</v>
      </c>
      <c r="K44" s="243" t="s">
        <v>69</v>
      </c>
      <c r="L44" s="243" t="s">
        <v>69</v>
      </c>
      <c r="M44" s="242"/>
      <c r="N44" s="242" t="s">
        <v>744</v>
      </c>
      <c r="O44" s="242" t="s">
        <v>94</v>
      </c>
      <c r="P44" s="227"/>
      <c r="Q44" s="227"/>
      <c r="R44" s="227"/>
      <c r="S44" s="227"/>
      <c r="T44" s="227"/>
      <c r="U44" s="227" t="s">
        <v>94</v>
      </c>
      <c r="V44" s="275" t="s">
        <v>48</v>
      </c>
      <c r="W44" s="457" t="s">
        <v>48</v>
      </c>
      <c r="X44" s="440" t="s">
        <v>48</v>
      </c>
      <c r="Y44" s="275" t="s">
        <v>70</v>
      </c>
      <c r="Z44" s="274" t="s">
        <v>70</v>
      </c>
      <c r="AA44" s="440" t="s">
        <v>70</v>
      </c>
    </row>
    <row r="45" spans="2:27" ht="15" thickBot="1">
      <c r="B45" s="233" t="str">
        <f>Processes!D45</f>
        <v>CWTLPGE1</v>
      </c>
      <c r="C45" s="233" t="str">
        <f>Processes!E45</f>
        <v>Commercial Water Hot Technology   - LPG - Existing 1</v>
      </c>
      <c r="D45" s="230" t="str">
        <f>Commodities!$C$20</f>
        <v>COMLPG</v>
      </c>
      <c r="E45" s="230" t="str">
        <f>Commodities!$C$15</f>
        <v>CWDEM</v>
      </c>
      <c r="F45" s="230">
        <v>2010</v>
      </c>
      <c r="G45" s="250">
        <f>ROUNDUP(Y45/($M45*$N45)*$G$2,2)</f>
        <v>70.680000000000007</v>
      </c>
      <c r="H45" s="250">
        <f t="shared" ref="H45:H68" si="63">ROUNDUP(Z45/($M45*$N45)*$G$2,2)</f>
        <v>0</v>
      </c>
      <c r="I45" s="250">
        <f t="shared" ref="I45:I68" si="64">ROUNDUP(AA45/($M45*$N45)*$G$2,2)</f>
        <v>0</v>
      </c>
      <c r="J45" s="460">
        <v>0.95</v>
      </c>
      <c r="K45" s="460">
        <v>0.95</v>
      </c>
      <c r="L45" s="460">
        <v>0.95</v>
      </c>
      <c r="M45" s="244">
        <f t="shared" ref="M45:M76" si="65">31.536/1000</f>
        <v>3.1536000000000002E-2</v>
      </c>
      <c r="N45" s="458">
        <v>1</v>
      </c>
      <c r="O45" s="245">
        <v>30</v>
      </c>
      <c r="P45" s="227"/>
      <c r="Q45" s="268"/>
      <c r="R45" s="268" t="str">
        <f>B40</f>
        <v>Hot Water</v>
      </c>
      <c r="S45" s="591" t="str">
        <f>'Data manipulation'!B46</f>
        <v>Liquefied petroleum gas</v>
      </c>
      <c r="T45" s="246" t="s">
        <v>759</v>
      </c>
      <c r="U45" s="246">
        <v>2011</v>
      </c>
      <c r="V45" s="432" cm="1">
        <f t="array" ref="V45">_xlfn.IFNA(INDEX('Data manipulation'!$C$23:$N$128,MATCH($S45&amp;$R45,'Data manipulation'!$B$23:$B$128&amp;'Data manipulation'!$A$23:$A$128,0),MATCH($U45,'Data manipulation'!$C$22:$N$22,0))/1000,0)*SUMIFS('Regional split'!$F$4:$F$6,'Regional split'!$B$4:$B$6,V$4)</f>
        <v>2.2999497039576213</v>
      </c>
      <c r="W45" s="432" cm="1">
        <f t="array" ref="W45">_xlfn.IFNA(INDEX('Data manipulation'!$C$23:$N$128,MATCH($S45&amp;$R45,'Data manipulation'!$B$23:$B$128&amp;'Data manipulation'!$A$23:$A$128,0),MATCH($U45,'Data manipulation'!$C$22:$N$22,0))/1000,0)*SUMIFS('Regional split'!$F$4:$F$6,'Regional split'!$B$4:$B$6,W$4)</f>
        <v>0</v>
      </c>
      <c r="X45" s="432" cm="1">
        <f t="array" ref="X45">_xlfn.IFNA(INDEX('Data manipulation'!$C$23:$N$128,MATCH($S45&amp;$R45,'Data manipulation'!$B$23:$B$128&amp;'Data manipulation'!$A$23:$A$128,0),MATCH($U45,'Data manipulation'!$C$22:$N$22,0))/1000,0)*SUMIFS('Regional split'!$F$4:$F$6,'Regional split'!$B$4:$B$6,X$4)</f>
        <v>0</v>
      </c>
      <c r="Y45" s="443">
        <f t="shared" ref="Y45" si="66">V45*J45</f>
        <v>2.1849522187597401</v>
      </c>
      <c r="Z45" s="251">
        <f t="shared" ref="Z45:Z62" si="67">W45*K45</f>
        <v>0</v>
      </c>
      <c r="AA45" s="444">
        <f t="shared" ref="AA45:AA62" si="68">X45*L45</f>
        <v>0</v>
      </c>
    </row>
    <row r="46" spans="2:27" ht="15" customHeight="1">
      <c r="B46" s="233" t="str">
        <f>Processes!D46</f>
        <v>CWTNGAE1</v>
      </c>
      <c r="C46" s="233" t="str">
        <f>Processes!E46</f>
        <v>Commercial Water Hot Technology   - Natural Gas - Existing 1</v>
      </c>
      <c r="D46" s="230" t="str">
        <f>Commodities!$C$18&amp;","&amp;Commodities!$C$19</f>
        <v>COMNGA,COMBGA</v>
      </c>
      <c r="E46" s="230" t="str">
        <f>Commodities!$C$15</f>
        <v>CWDEM</v>
      </c>
      <c r="F46" s="230">
        <v>2010</v>
      </c>
      <c r="G46" s="250">
        <f t="shared" ref="G46:G68" si="69">ROUNDUP(Y46/($M46*$N46)*$G$2,2)</f>
        <v>1726.39</v>
      </c>
      <c r="H46" s="250">
        <f t="shared" si="63"/>
        <v>0</v>
      </c>
      <c r="I46" s="250">
        <f t="shared" si="64"/>
        <v>0</v>
      </c>
      <c r="J46" s="459">
        <v>0.72</v>
      </c>
      <c r="K46" s="459">
        <v>0.72</v>
      </c>
      <c r="L46" s="459">
        <v>0.72</v>
      </c>
      <c r="M46" s="244">
        <f t="shared" si="65"/>
        <v>3.1536000000000002E-2</v>
      </c>
      <c r="N46" s="458">
        <v>1</v>
      </c>
      <c r="O46" s="245">
        <v>30</v>
      </c>
      <c r="P46" s="227"/>
      <c r="Q46" s="268"/>
      <c r="R46" s="268" t="str">
        <f t="shared" ref="R46:R52" si="70">R45</f>
        <v>Hot Water</v>
      </c>
      <c r="S46" s="592" t="s">
        <v>843</v>
      </c>
      <c r="T46" s="246" t="s">
        <v>167</v>
      </c>
      <c r="U46" s="246">
        <v>2011</v>
      </c>
      <c r="V46" s="432" cm="1">
        <f t="array" ref="V46">_xlfn.IFNA(INDEX('Data manipulation'!$C$23:$N$128,MATCH($S46&amp;$R46,'Data manipulation'!$B$23:$B$128&amp;'Data manipulation'!$A$23:$A$128,0),MATCH($U46,'Data manipulation'!$C$22:$N$22,0))/1000,0)*SUMIFS('Regional split'!$F$4:$F$6,'Regional split'!$B$4:$B$6,V$4)</f>
        <v>74.133041667124814</v>
      </c>
      <c r="W46" s="432" cm="1">
        <f t="array" ref="W46">_xlfn.IFNA(INDEX('Data manipulation'!$C$23:$N$128,MATCH($S46&amp;$R46,'Data manipulation'!$B$23:$B$128&amp;'Data manipulation'!$A$23:$A$128,0),MATCH($U46,'Data manipulation'!$C$22:$N$22,0))/1000,0)*SUMIFS('Regional split'!$F$4:$F$6,'Regional split'!$B$4:$B$6,W$4)</f>
        <v>0</v>
      </c>
      <c r="X46" s="432" cm="1">
        <f t="array" ref="X46">_xlfn.IFNA(INDEX('Data manipulation'!$C$23:$N$128,MATCH($S46&amp;$R46,'Data manipulation'!$B$23:$B$128&amp;'Data manipulation'!$A$23:$A$128,0),MATCH($U46,'Data manipulation'!$C$22:$N$22,0))/1000,0)*SUMIFS('Regional split'!$F$4:$F$6,'Regional split'!$B$4:$B$6,X$4)</f>
        <v>0</v>
      </c>
      <c r="Y46" s="443">
        <f t="shared" ref="Y46:Y53" si="71">V46*J46</f>
        <v>53.375790000329864</v>
      </c>
      <c r="Z46" s="251">
        <f t="shared" si="67"/>
        <v>0</v>
      </c>
      <c r="AA46" s="444">
        <f t="shared" si="68"/>
        <v>0</v>
      </c>
    </row>
    <row r="47" spans="2:27" ht="15" customHeight="1">
      <c r="B47" s="233" t="str">
        <f>Processes!D47</f>
        <v>CWTDSLE1</v>
      </c>
      <c r="C47" s="233" t="str">
        <f>Processes!E47</f>
        <v>Commercial Water Hot Technology   - Diesel - Existing 1</v>
      </c>
      <c r="D47" s="230" t="str">
        <f>Commodities!$C$21&amp;","&amp;Commodities!C38</f>
        <v>COMDSL,COMDSB</v>
      </c>
      <c r="E47" s="230" t="str">
        <f>Commodities!$C$15</f>
        <v>CWDEM</v>
      </c>
      <c r="F47" s="230">
        <v>2010</v>
      </c>
      <c r="G47" s="250">
        <f t="shared" ref="G47" si="72">ROUNDUP(Y47/($M47*$N47)*$G$2,2)</f>
        <v>982.96</v>
      </c>
      <c r="H47" s="250">
        <f t="shared" ref="H47" si="73">ROUNDUP(Z47/($M47*$N47)*$G$2,2)</f>
        <v>0</v>
      </c>
      <c r="I47" s="250">
        <f t="shared" ref="I47" si="74">ROUNDUP(AA47/($M47*$N47)*$G$2,2)</f>
        <v>0</v>
      </c>
      <c r="J47" s="460">
        <v>0.71</v>
      </c>
      <c r="K47" s="460">
        <v>0.71</v>
      </c>
      <c r="L47" s="460">
        <v>0.71</v>
      </c>
      <c r="M47" s="244">
        <f t="shared" si="65"/>
        <v>3.1536000000000002E-2</v>
      </c>
      <c r="N47" s="458">
        <v>1</v>
      </c>
      <c r="O47" s="245">
        <v>30</v>
      </c>
      <c r="P47" s="227"/>
      <c r="Q47" s="268"/>
      <c r="R47" s="268" t="str">
        <f t="shared" si="70"/>
        <v>Hot Water</v>
      </c>
      <c r="S47" s="592" t="str">
        <f>'Data manipulation'!B49</f>
        <v>Gas oil and diesel oil</v>
      </c>
      <c r="T47" s="246" t="s">
        <v>852</v>
      </c>
      <c r="U47" s="246">
        <v>2011</v>
      </c>
      <c r="V47" s="432" cm="1">
        <f t="array" ref="V47">_xlfn.IFNA(INDEX('Data manipulation'!$C$23:$N$128,MATCH($S47&amp;$R47,'Data manipulation'!$B$23:$B$128&amp;'Data manipulation'!$A$23:$A$128,0),MATCH($U47,'Data manipulation'!$C$22:$N$22,0))/1000,0)*SUMIFS('Regional split'!$F$4:$F$6,'Regional split'!$B$4:$B$6,V$4)</f>
        <v>42.803667519323355</v>
      </c>
      <c r="W47" s="432" cm="1">
        <f t="array" ref="W47">_xlfn.IFNA(INDEX('Data manipulation'!$C$23:$N$128,MATCH($S47&amp;$R47,'Data manipulation'!$B$23:$B$128&amp;'Data manipulation'!$A$23:$A$128,0),MATCH($U47,'Data manipulation'!$C$22:$N$22,0))/1000,0)*SUMIFS('Regional split'!$F$4:$F$6,'Regional split'!$B$4:$B$6,W$4)</f>
        <v>0</v>
      </c>
      <c r="X47" s="432" cm="1">
        <f t="array" ref="X47">_xlfn.IFNA(INDEX('Data manipulation'!$C$23:$N$128,MATCH($S47&amp;$R47,'Data manipulation'!$B$23:$B$128&amp;'Data manipulation'!$A$23:$A$128,0),MATCH($U47,'Data manipulation'!$C$22:$N$22,0))/1000,0)*SUMIFS('Regional split'!$F$4:$F$6,'Regional split'!$B$4:$B$6,X$4)</f>
        <v>0</v>
      </c>
      <c r="Y47" s="443">
        <f t="shared" si="71"/>
        <v>30.390603938719579</v>
      </c>
      <c r="Z47" s="251">
        <f t="shared" ref="Z47" si="75">W47*K47</f>
        <v>0</v>
      </c>
      <c r="AA47" s="444">
        <f t="shared" ref="AA47" si="76">X47*L47</f>
        <v>0</v>
      </c>
    </row>
    <row r="48" spans="2:27" ht="15" customHeight="1">
      <c r="B48" s="233" t="str">
        <f>Processes!D48</f>
        <v>CWTSOLE1</v>
      </c>
      <c r="C48" s="233" t="str">
        <f>Processes!E48</f>
        <v>Commercial Water Hot Technology   - Solar - Existing 1</v>
      </c>
      <c r="D48" s="230" t="str">
        <f>Commodities!$C$27</f>
        <v>COMSOL</v>
      </c>
      <c r="E48" s="230" t="str">
        <f>Commodities!$C$15</f>
        <v>CWDEM</v>
      </c>
      <c r="F48" s="230">
        <v>2010</v>
      </c>
      <c r="G48" s="250">
        <f t="shared" ref="G48" si="77">ROUNDUP(Y48/($M48*$N48)*$G$2,2)</f>
        <v>32.159999999999997</v>
      </c>
      <c r="H48" s="250">
        <f t="shared" ref="H48" si="78">ROUNDUP(Z48/($M48*$N48)*$G$2,2)</f>
        <v>0</v>
      </c>
      <c r="I48" s="250">
        <f t="shared" ref="I48" si="79">ROUNDUP(AA48/($M48*$N48)*$G$2,2)</f>
        <v>0</v>
      </c>
      <c r="J48" s="460">
        <v>1</v>
      </c>
      <c r="K48" s="460">
        <v>1</v>
      </c>
      <c r="L48" s="460">
        <v>1</v>
      </c>
      <c r="M48" s="244">
        <f t="shared" si="65"/>
        <v>3.1536000000000002E-2</v>
      </c>
      <c r="N48" s="458">
        <v>1</v>
      </c>
      <c r="O48" s="245">
        <v>30</v>
      </c>
      <c r="P48" s="227"/>
      <c r="Q48" s="268"/>
      <c r="R48" s="268" t="str">
        <f t="shared" si="70"/>
        <v>Hot Water</v>
      </c>
      <c r="S48" s="581" t="s">
        <v>818</v>
      </c>
      <c r="T48" s="246" t="s">
        <v>168</v>
      </c>
      <c r="U48" s="246">
        <v>2011</v>
      </c>
      <c r="V48" s="432" cm="1">
        <f t="array" ref="V48">_xlfn.IFNA(INDEX('Data manipulation'!$C$23:$N$128,MATCH($S48&amp;$R48,'Data manipulation'!$B$23:$B$128&amp;'Data manipulation'!$A$23:$A$128,0),MATCH($U48,'Data manipulation'!$C$22:$N$22,0))/1000,0)*SUMIFS('Regional split'!$F$4:$F$6,'Regional split'!$B$4:$B$6,V$4)</f>
        <v>0.99413600000000002</v>
      </c>
      <c r="W48" s="432" cm="1">
        <f t="array" ref="W48">_xlfn.IFNA(INDEX('Data manipulation'!$C$23:$N$128,MATCH($S48&amp;$R48,'Data manipulation'!$B$23:$B$128&amp;'Data manipulation'!$A$23:$A$128,0),MATCH($U48,'Data manipulation'!$C$22:$N$22,0))/1000,0)*SUMIFS('Regional split'!$F$4:$F$6,'Regional split'!$B$4:$B$6,W$4)</f>
        <v>0</v>
      </c>
      <c r="X48" s="432" cm="1">
        <f t="array" ref="X48">_xlfn.IFNA(INDEX('Data manipulation'!$C$23:$N$128,MATCH($S48&amp;$R48,'Data manipulation'!$B$23:$B$128&amp;'Data manipulation'!$A$23:$A$128,0),MATCH($U48,'Data manipulation'!$C$22:$N$22,0))/1000,0)*SUMIFS('Regional split'!$F$4:$F$6,'Regional split'!$B$4:$B$6,X$4)</f>
        <v>0</v>
      </c>
      <c r="Y48" s="443">
        <f t="shared" si="71"/>
        <v>0.99413600000000002</v>
      </c>
      <c r="Z48" s="251">
        <f t="shared" ref="Z48" si="80">W48*K48</f>
        <v>0</v>
      </c>
      <c r="AA48" s="444">
        <f t="shared" ref="AA48" si="81">X48*L48</f>
        <v>0</v>
      </c>
    </row>
    <row r="49" spans="2:27" ht="15" customHeight="1">
      <c r="B49" s="233" t="str">
        <f>Processes!D49</f>
        <v>CWTELCHE1</v>
      </c>
      <c r="C49" s="233" t="str">
        <f>Processes!E49</f>
        <v>Commercial Water Hot Technology   - Electricity Heating - Existing 1</v>
      </c>
      <c r="D49" s="230" t="str">
        <f>Commodities!$C$29</f>
        <v>COMELCH</v>
      </c>
      <c r="E49" s="230" t="str">
        <f>Commodities!$C$15</f>
        <v>CWDEM</v>
      </c>
      <c r="F49" s="230">
        <v>2010</v>
      </c>
      <c r="G49" s="250">
        <f t="shared" ref="G49" si="82">ROUNDUP(Y49/($M49*$N49)*$G$2,2)</f>
        <v>10.91</v>
      </c>
      <c r="H49" s="250">
        <f t="shared" ref="H49" si="83">ROUNDUP(Z49/($M49*$N49)*$G$2,2)</f>
        <v>0</v>
      </c>
      <c r="I49" s="250">
        <f t="shared" ref="I49" si="84">ROUNDUP(AA49/($M49*$N49)*$G$2,2)</f>
        <v>0</v>
      </c>
      <c r="J49" s="460">
        <v>2.3199999999999998</v>
      </c>
      <c r="K49" s="460">
        <v>2.3199999999999998</v>
      </c>
      <c r="L49" s="460">
        <v>2.3199999999999998</v>
      </c>
      <c r="M49" s="244">
        <f t="shared" si="65"/>
        <v>3.1536000000000002E-2</v>
      </c>
      <c r="N49" s="458">
        <v>1</v>
      </c>
      <c r="O49" s="245">
        <v>30</v>
      </c>
      <c r="P49" s="227"/>
      <c r="Q49" s="268"/>
      <c r="R49" s="268" t="str">
        <f t="shared" si="70"/>
        <v>Hot Water</v>
      </c>
      <c r="S49" s="581" t="s">
        <v>817</v>
      </c>
      <c r="T49" s="246" t="s">
        <v>853</v>
      </c>
      <c r="U49" s="246">
        <v>2011</v>
      </c>
      <c r="V49" s="432" cm="1">
        <f t="array" ref="V49">_xlfn.IFNA(INDEX('Data manipulation'!$C$23:$N$128,MATCH($S49&amp;$R49,'Data manipulation'!$B$23:$B$128&amp;'Data manipulation'!$A$23:$A$128,0),MATCH($U49,'Data manipulation'!$C$22:$N$22,0))/1000,0)*SUMIFS('Regional split'!$F$4:$F$6,'Regional split'!$B$4:$B$6,V$4)</f>
        <v>0.14535000000000003</v>
      </c>
      <c r="W49" s="432" cm="1">
        <f t="array" ref="W49">_xlfn.IFNA(INDEX('Data manipulation'!$C$23:$N$128,MATCH($S49&amp;$R49,'Data manipulation'!$B$23:$B$128&amp;'Data manipulation'!$A$23:$A$128,0),MATCH($U49,'Data manipulation'!$C$22:$N$22,0))/1000,0)*SUMIFS('Regional split'!$F$4:$F$6,'Regional split'!$B$4:$B$6,W$4)</f>
        <v>0</v>
      </c>
      <c r="X49" s="432" cm="1">
        <f t="array" ref="X49">_xlfn.IFNA(INDEX('Data manipulation'!$C$23:$N$128,MATCH($S49&amp;$R49,'Data manipulation'!$B$23:$B$128&amp;'Data manipulation'!$A$23:$A$128,0),MATCH($U49,'Data manipulation'!$C$22:$N$22,0))/1000,0)*SUMIFS('Regional split'!$F$4:$F$6,'Regional split'!$B$4:$B$6,X$4)</f>
        <v>0</v>
      </c>
      <c r="Y49" s="443">
        <f t="shared" si="71"/>
        <v>0.33721200000000007</v>
      </c>
      <c r="Z49" s="251">
        <f t="shared" ref="Z49" si="85">W49*K49</f>
        <v>0</v>
      </c>
      <c r="AA49" s="444">
        <f t="shared" ref="AA49" si="86">X49*L49</f>
        <v>0</v>
      </c>
    </row>
    <row r="50" spans="2:27" ht="15" customHeight="1">
      <c r="B50" s="233" t="str">
        <f>Processes!D50</f>
        <v>CWTFIWE1</v>
      </c>
      <c r="C50" s="233" t="str">
        <f>Processes!E50</f>
        <v>Commercial Water Hot Technology   - Fire wood - Existing 1</v>
      </c>
      <c r="D50" s="230" t="str">
        <f>Commodities!$C$24</f>
        <v>COMFIW</v>
      </c>
      <c r="E50" s="230" t="str">
        <f>Commodities!$C$15</f>
        <v>CWDEM</v>
      </c>
      <c r="F50" s="230">
        <v>2010</v>
      </c>
      <c r="G50" s="250">
        <f t="shared" ref="G50" si="87">ROUNDUP(Y50/($M50*$N50)*$G$2,2)</f>
        <v>144.01999999999998</v>
      </c>
      <c r="H50" s="250">
        <f t="shared" ref="H50" si="88">ROUNDUP(Z50/($M50*$N50)*$G$2,2)</f>
        <v>0</v>
      </c>
      <c r="I50" s="250">
        <f t="shared" ref="I50" si="89">ROUNDUP(AA50/($M50*$N50)*$G$2,2)</f>
        <v>0</v>
      </c>
      <c r="J50" s="460">
        <v>0.65</v>
      </c>
      <c r="K50" s="460">
        <v>0.65</v>
      </c>
      <c r="L50" s="460">
        <v>0.65</v>
      </c>
      <c r="M50" s="244">
        <f t="shared" si="65"/>
        <v>3.1536000000000002E-2</v>
      </c>
      <c r="N50" s="458">
        <v>1</v>
      </c>
      <c r="O50" s="245">
        <v>30</v>
      </c>
      <c r="P50" s="227"/>
      <c r="Q50" s="268"/>
      <c r="R50" s="268" t="str">
        <f t="shared" si="70"/>
        <v>Hot Water</v>
      </c>
      <c r="S50" s="581" t="s">
        <v>816</v>
      </c>
      <c r="T50" s="246" t="s">
        <v>199</v>
      </c>
      <c r="U50" s="246">
        <v>2011</v>
      </c>
      <c r="V50" s="432" cm="1">
        <f t="array" ref="V50">_xlfn.IFNA(INDEX('Data manipulation'!$C$23:$N$128,MATCH($S50&amp;$R50,'Data manipulation'!$B$23:$B$128&amp;'Data manipulation'!$A$23:$A$128,0),MATCH($U50,'Data manipulation'!$C$22:$N$22,0))/1000,0)*SUMIFS('Regional split'!$F$4:$F$6,'Regional split'!$B$4:$B$6,V$4)</f>
        <v>6.8499763296911622</v>
      </c>
      <c r="W50" s="432" cm="1">
        <f t="array" ref="W50">_xlfn.IFNA(INDEX('Data manipulation'!$C$23:$N$128,MATCH($S50&amp;$R50,'Data manipulation'!$B$23:$B$128&amp;'Data manipulation'!$A$23:$A$128,0),MATCH($U50,'Data manipulation'!$C$22:$N$22,0))/1000,0)*SUMIFS('Regional split'!$F$4:$F$6,'Regional split'!$B$4:$B$6,W$4)</f>
        <v>0</v>
      </c>
      <c r="X50" s="432" cm="1">
        <f t="array" ref="X50">_xlfn.IFNA(INDEX('Data manipulation'!$C$23:$N$128,MATCH($S50&amp;$R50,'Data manipulation'!$B$23:$B$128&amp;'Data manipulation'!$A$23:$A$128,0),MATCH($U50,'Data manipulation'!$C$22:$N$22,0))/1000,0)*SUMIFS('Regional split'!$F$4:$F$6,'Regional split'!$B$4:$B$6,X$4)</f>
        <v>0</v>
      </c>
      <c r="Y50" s="443">
        <f t="shared" si="71"/>
        <v>4.452484614299256</v>
      </c>
      <c r="Z50" s="251">
        <f t="shared" ref="Z50" si="90">W50*K50</f>
        <v>0</v>
      </c>
      <c r="AA50" s="444">
        <f t="shared" ref="AA50" si="91">X50*L50</f>
        <v>0</v>
      </c>
    </row>
    <row r="51" spans="2:27" ht="15" customHeight="1">
      <c r="B51" s="233" t="str">
        <f>Processes!D51</f>
        <v>CWTELCWE1</v>
      </c>
      <c r="C51" s="233" t="str">
        <f>Processes!E51</f>
        <v>Commercial Water Hot Technology   - Electricity Water Heating - Existing 1</v>
      </c>
      <c r="D51" s="230" t="str">
        <f>Commodities!$C$33</f>
        <v>COMELCW</v>
      </c>
      <c r="E51" s="230" t="str">
        <f>Commodities!$C$15</f>
        <v>CWDEM</v>
      </c>
      <c r="F51" s="230">
        <v>2010</v>
      </c>
      <c r="G51" s="250">
        <f t="shared" ref="G51" si="92">ROUNDUP(Y51/($M51*$N51)*$G$2,2)</f>
        <v>1823.1</v>
      </c>
      <c r="H51" s="250">
        <f t="shared" ref="H51" si="93">ROUNDUP(Z51/($M51*$N51)*$G$2,2)</f>
        <v>0</v>
      </c>
      <c r="I51" s="250">
        <f t="shared" ref="I51" si="94">ROUNDUP(AA51/($M51*$N51)*$G$2,2)</f>
        <v>0</v>
      </c>
      <c r="J51" s="460">
        <v>1</v>
      </c>
      <c r="K51" s="460">
        <v>1</v>
      </c>
      <c r="L51" s="460">
        <v>1</v>
      </c>
      <c r="M51" s="244">
        <f t="shared" si="65"/>
        <v>3.1536000000000002E-2</v>
      </c>
      <c r="N51" s="458">
        <v>1</v>
      </c>
      <c r="O51" s="245">
        <v>30</v>
      </c>
      <c r="P51" s="227"/>
      <c r="Q51" s="268"/>
      <c r="R51" s="268" t="str">
        <f t="shared" si="70"/>
        <v>Hot Water</v>
      </c>
      <c r="S51" s="581" t="s">
        <v>73</v>
      </c>
      <c r="T51" s="246" t="s">
        <v>856</v>
      </c>
      <c r="U51" s="246">
        <v>2011</v>
      </c>
      <c r="V51" s="432" cm="1">
        <f t="array" ref="V51">_xlfn.IFNA(INDEX('Data manipulation'!$C$23:$N$128,MATCH($S51&amp;$R51,'Data manipulation'!$B$23:$B$128&amp;'Data manipulation'!$A$23:$A$128,0),MATCH($U51,'Data manipulation'!$C$22:$N$22,0))/1000,0)*SUMIFS('Regional split'!$F$4:$F$6,'Regional split'!$B$4:$B$6,V$4)</f>
        <v>56.365857009207268</v>
      </c>
      <c r="W51" s="432" cm="1">
        <f t="array" ref="W51">_xlfn.IFNA(INDEX('Data manipulation'!$C$23:$N$128,MATCH($S51&amp;$R51,'Data manipulation'!$B$23:$B$128&amp;'Data manipulation'!$A$23:$A$128,0),MATCH($U51,'Data manipulation'!$C$22:$N$22,0))/1000,0)*SUMIFS('Regional split'!$F$4:$F$6,'Regional split'!$B$4:$B$6,W$4)</f>
        <v>0</v>
      </c>
      <c r="X51" s="432" cm="1">
        <f t="array" ref="X51">_xlfn.IFNA(INDEX('Data manipulation'!$C$23:$N$128,MATCH($S51&amp;$R51,'Data manipulation'!$B$23:$B$128&amp;'Data manipulation'!$A$23:$A$128,0),MATCH($U51,'Data manipulation'!$C$22:$N$22,0))/1000,0)*SUMIFS('Regional split'!$F$4:$F$6,'Regional split'!$B$4:$B$6,X$4)</f>
        <v>0</v>
      </c>
      <c r="Y51" s="443">
        <f t="shared" si="71"/>
        <v>56.365857009207268</v>
      </c>
      <c r="Z51" s="251">
        <f t="shared" ref="Z51" si="95">W51*K51</f>
        <v>0</v>
      </c>
      <c r="AA51" s="444">
        <f t="shared" ref="AA51" si="96">X51*L51</f>
        <v>0</v>
      </c>
    </row>
    <row r="52" spans="2:27" ht="15" customHeight="1">
      <c r="B52" s="233" t="str">
        <f>Processes!D52</f>
        <v>CWTHCEE1</v>
      </c>
      <c r="C52" s="233" t="str">
        <f>Processes!E52</f>
        <v>Commercial Water Hot Technology   - District heating Central - Existing 1</v>
      </c>
      <c r="D52" s="230" t="str">
        <f>Commodities!$C$33</f>
        <v>COMELCW</v>
      </c>
      <c r="E52" s="230" t="str">
        <f>Commodities!$C$15</f>
        <v>CWDEM</v>
      </c>
      <c r="F52" s="230">
        <v>2010</v>
      </c>
      <c r="G52" s="250">
        <f t="shared" ref="G52" si="97">ROUNDUP(Y52/($M52*$N52)*$G$2,2)</f>
        <v>229.17999999999998</v>
      </c>
      <c r="H52" s="250">
        <f t="shared" ref="H52" si="98">ROUNDUP(Z52/($M52*$N52)*$G$2,2)</f>
        <v>0</v>
      </c>
      <c r="I52" s="250">
        <f t="shared" ref="I52" si="99">ROUNDUP(AA52/($M52*$N52)*$G$2,2)</f>
        <v>0</v>
      </c>
      <c r="J52" s="460">
        <v>0.95</v>
      </c>
      <c r="K52" s="460">
        <v>0.95</v>
      </c>
      <c r="L52" s="460">
        <v>0.95</v>
      </c>
      <c r="M52" s="244">
        <f t="shared" si="65"/>
        <v>3.1536000000000002E-2</v>
      </c>
      <c r="N52" s="458">
        <v>1</v>
      </c>
      <c r="O52" s="245">
        <v>30</v>
      </c>
      <c r="P52" s="227"/>
      <c r="Q52" s="268"/>
      <c r="R52" s="268" t="str">
        <f t="shared" si="70"/>
        <v>Hot Water</v>
      </c>
      <c r="S52" s="581" t="s">
        <v>198</v>
      </c>
      <c r="T52" s="246" t="s">
        <v>198</v>
      </c>
      <c r="U52" s="246">
        <v>2011</v>
      </c>
      <c r="V52" s="432" cm="1">
        <f t="array" ref="V52">_xlfn.IFNA(INDEX('Data manipulation'!$C$23:$N$128,MATCH($S52&amp;$R52,'Data manipulation'!$B$23:$B$128&amp;'Data manipulation'!$A$23:$A$128,0),MATCH($U52,'Data manipulation'!$C$22:$N$22,0))/1000,0)*SUMIFS('Regional split'!$F$4:$F$6,'Regional split'!$B$4:$B$6,V$4)</f>
        <v>7.4585133656390692</v>
      </c>
      <c r="W52" s="432" cm="1">
        <f t="array" ref="W52">_xlfn.IFNA(INDEX('Data manipulation'!$C$23:$N$128,MATCH($S52&amp;$R52,'Data manipulation'!$B$23:$B$128&amp;'Data manipulation'!$A$23:$A$128,0),MATCH($U52,'Data manipulation'!$C$22:$N$22,0))/1000,0)*SUMIFS('Regional split'!$F$4:$F$6,'Regional split'!$B$4:$B$6,W$4)</f>
        <v>0</v>
      </c>
      <c r="X52" s="432" cm="1">
        <f t="array" ref="X52">_xlfn.IFNA(INDEX('Data manipulation'!$C$23:$N$128,MATCH($S52&amp;$R52,'Data manipulation'!$B$23:$B$128&amp;'Data manipulation'!$A$23:$A$128,0),MATCH($U52,'Data manipulation'!$C$22:$N$22,0))/1000,0)*SUMIFS('Regional split'!$F$4:$F$6,'Regional split'!$B$4:$B$6,X$4)</f>
        <v>0</v>
      </c>
      <c r="Y52" s="443">
        <f t="shared" si="71"/>
        <v>7.0855876973571155</v>
      </c>
      <c r="Z52" s="251">
        <f t="shared" ref="Z52" si="100">W52*K52</f>
        <v>0</v>
      </c>
      <c r="AA52" s="444">
        <f t="shared" ref="AA52" si="101">X52*L52</f>
        <v>0</v>
      </c>
    </row>
    <row r="53" spans="2:27" ht="14.5">
      <c r="B53" s="233" t="str">
        <f t="shared" ref="B53:E54" si="102">B45</f>
        <v>CWTLPGE1</v>
      </c>
      <c r="C53" s="233" t="str">
        <f t="shared" si="102"/>
        <v>Commercial Water Hot Technology   - LPG - Existing 1</v>
      </c>
      <c r="D53" s="233" t="str">
        <f t="shared" si="102"/>
        <v>COMLPG</v>
      </c>
      <c r="E53" s="233" t="str">
        <f t="shared" si="102"/>
        <v>CWDEM</v>
      </c>
      <c r="F53" s="259">
        <v>2015</v>
      </c>
      <c r="G53" s="250">
        <f>ROUNDUP(Y53/($M53*$N53)*$G$25,2)</f>
        <v>80.790000000000006</v>
      </c>
      <c r="H53" s="250">
        <f t="shared" ref="H53:H54" si="103">ROUNDUP(Z53/($M53*$N53)*$G$25,2)</f>
        <v>0</v>
      </c>
      <c r="I53" s="250">
        <f t="shared" ref="I53:I54" si="104">ROUNDUP(AA53/($M53*$N53)*$G$25,2)</f>
        <v>0</v>
      </c>
      <c r="J53" s="460">
        <f t="shared" ref="J53:L54" si="105">J45</f>
        <v>0.95</v>
      </c>
      <c r="K53" s="460">
        <f t="shared" si="105"/>
        <v>0.95</v>
      </c>
      <c r="L53" s="460">
        <f t="shared" si="105"/>
        <v>0.95</v>
      </c>
      <c r="M53" s="244">
        <f t="shared" si="65"/>
        <v>3.1536000000000002E-2</v>
      </c>
      <c r="N53" s="458">
        <v>0.8</v>
      </c>
      <c r="O53" s="245">
        <v>30</v>
      </c>
      <c r="P53" s="227"/>
      <c r="Q53" s="227"/>
      <c r="R53" s="268" t="str">
        <f>R45</f>
        <v>Hot Water</v>
      </c>
      <c r="S53" s="591" t="str">
        <f>'Data manipulation'!B46</f>
        <v>Liquefied petroleum gas</v>
      </c>
      <c r="T53" s="246" t="s">
        <v>759</v>
      </c>
      <c r="U53" s="246">
        <v>2015</v>
      </c>
      <c r="V53" s="432" cm="1">
        <f t="array" ref="V53">_xlfn.IFNA(INDEX('Data manipulation'!$C$23:$N$128,MATCH($S53&amp;$R53,'Data manipulation'!$B$23:$B$128&amp;'Data manipulation'!$A$23:$A$128,0),MATCH($U53,'Data manipulation'!$C$22:$N$22,0))/1000,0)*SUMIFS('Regional split'!$F$4:$F$6,'Regional split'!$B$4:$B$6,V$4)</f>
        <v>2.1033554124185736</v>
      </c>
      <c r="W53" s="432" cm="1">
        <f t="array" ref="W53">_xlfn.IFNA(INDEX('Data manipulation'!$C$23:$N$128,MATCH($S53&amp;$R53,'Data manipulation'!$B$23:$B$128&amp;'Data manipulation'!$A$23:$A$128,0),MATCH($U53,'Data manipulation'!$C$22:$N$22,0))/1000,0)*SUMIFS('Regional split'!$F$4:$F$6,'Regional split'!$B$4:$B$6,W$4)</f>
        <v>0</v>
      </c>
      <c r="X53" s="432" cm="1">
        <f t="array" ref="X53">_xlfn.IFNA(INDEX('Data manipulation'!$C$23:$N$128,MATCH($S53&amp;$R53,'Data manipulation'!$B$23:$B$128&amp;'Data manipulation'!$A$23:$A$128,0),MATCH($U53,'Data manipulation'!$C$22:$N$22,0))/1000,0)*SUMIFS('Regional split'!$F$4:$F$6,'Regional split'!$B$4:$B$6,X$4)</f>
        <v>0</v>
      </c>
      <c r="Y53" s="443">
        <f t="shared" si="71"/>
        <v>1.9981876417976447</v>
      </c>
      <c r="Z53" s="251">
        <f t="shared" si="67"/>
        <v>0</v>
      </c>
      <c r="AA53" s="444">
        <f t="shared" si="68"/>
        <v>0</v>
      </c>
    </row>
    <row r="54" spans="2:27" ht="14.5">
      <c r="B54" s="233" t="str">
        <f t="shared" si="102"/>
        <v>CWTNGAE1</v>
      </c>
      <c r="C54" s="233" t="str">
        <f t="shared" si="102"/>
        <v>Commercial Water Hot Technology   - Natural Gas - Existing 1</v>
      </c>
      <c r="D54" s="233" t="str">
        <f t="shared" si="102"/>
        <v>COMNGA,COMBGA</v>
      </c>
      <c r="E54" s="233" t="str">
        <f t="shared" si="102"/>
        <v>CWDEM</v>
      </c>
      <c r="F54" s="259">
        <v>2015</v>
      </c>
      <c r="G54" s="250">
        <f>ROUNDUP(Y54/($M54*$N54)*$G$25,2)</f>
        <v>2585.2000000000003</v>
      </c>
      <c r="H54" s="250">
        <f t="shared" si="103"/>
        <v>0</v>
      </c>
      <c r="I54" s="250">
        <f t="shared" si="104"/>
        <v>0</v>
      </c>
      <c r="J54" s="460">
        <f t="shared" si="105"/>
        <v>0.72</v>
      </c>
      <c r="K54" s="460">
        <f t="shared" si="105"/>
        <v>0.72</v>
      </c>
      <c r="L54" s="460">
        <f t="shared" si="105"/>
        <v>0.72</v>
      </c>
      <c r="M54" s="244">
        <f t="shared" si="65"/>
        <v>3.1536000000000002E-2</v>
      </c>
      <c r="N54" s="458">
        <v>0.8</v>
      </c>
      <c r="O54" s="245">
        <v>30</v>
      </c>
      <c r="P54" s="227"/>
      <c r="Q54" s="227"/>
      <c r="R54" s="268" t="str">
        <f>R46</f>
        <v>Hot Water</v>
      </c>
      <c r="S54" s="592" t="s">
        <v>843</v>
      </c>
      <c r="T54" s="246" t="s">
        <v>167</v>
      </c>
      <c r="U54" s="246">
        <v>2015</v>
      </c>
      <c r="V54" s="432" cm="1">
        <f t="array" ref="V54">_xlfn.IFNA(INDEX('Data manipulation'!$C$23:$N$128,MATCH($S54&amp;$R54,'Data manipulation'!$B$23:$B$128&amp;'Data manipulation'!$A$23:$A$128,0),MATCH($U54,'Data manipulation'!$C$22:$N$22,0))/1000,0)*SUMIFS('Regional split'!$F$4:$F$6,'Regional split'!$B$4:$B$6,V$4)</f>
        <v>88.808935688363135</v>
      </c>
      <c r="W54" s="432" cm="1">
        <f t="array" ref="W54">_xlfn.IFNA(INDEX('Data manipulation'!$C$23:$N$128,MATCH($S54&amp;$R54,'Data manipulation'!$B$23:$B$128&amp;'Data manipulation'!$A$23:$A$128,0),MATCH($U54,'Data manipulation'!$C$22:$N$22,0))/1000,0)*SUMIFS('Regional split'!$F$4:$F$6,'Regional split'!$B$4:$B$6,W$4)</f>
        <v>0</v>
      </c>
      <c r="X54" s="432" cm="1">
        <f t="array" ref="X54">_xlfn.IFNA(INDEX('Data manipulation'!$C$23:$N$128,MATCH($S54&amp;$R54,'Data manipulation'!$B$23:$B$128&amp;'Data manipulation'!$A$23:$A$128,0),MATCH($U54,'Data manipulation'!$C$22:$N$22,0))/1000,0)*SUMIFS('Regional split'!$F$4:$F$6,'Regional split'!$B$4:$B$6,X$4)</f>
        <v>0</v>
      </c>
      <c r="Y54" s="443">
        <f t="shared" ref="Y54" si="106">V54*J54</f>
        <v>63.942433695621453</v>
      </c>
      <c r="Z54" s="251">
        <f t="shared" si="67"/>
        <v>0</v>
      </c>
      <c r="AA54" s="444">
        <f t="shared" si="68"/>
        <v>0</v>
      </c>
    </row>
    <row r="55" spans="2:27" ht="15" customHeight="1">
      <c r="B55" s="233" t="str">
        <f>B47</f>
        <v>CWTDSLE1</v>
      </c>
      <c r="C55" s="233" t="str">
        <f t="shared" ref="C55:E55" si="107">C47</f>
        <v>Commercial Water Hot Technology   - Diesel - Existing 1</v>
      </c>
      <c r="D55" s="233" t="str">
        <f t="shared" si="107"/>
        <v>COMDSL,COMDSB</v>
      </c>
      <c r="E55" s="233" t="str">
        <f t="shared" si="107"/>
        <v>CWDEM</v>
      </c>
      <c r="F55" s="259">
        <v>2015</v>
      </c>
      <c r="G55" s="250">
        <f t="shared" ref="G55:G60" si="108">ROUNDUP(Y55/($M55*$N55)*$G$2,2)</f>
        <v>0</v>
      </c>
      <c r="H55" s="250">
        <f t="shared" ref="H55:H60" si="109">ROUNDUP(Z55/($M55*$N55)*$G$2,2)</f>
        <v>0</v>
      </c>
      <c r="I55" s="250">
        <f t="shared" ref="I55:I60" si="110">ROUNDUP(AA55/($M55*$N55)*$G$2,2)</f>
        <v>0</v>
      </c>
      <c r="J55" s="460">
        <v>0.71</v>
      </c>
      <c r="K55" s="460">
        <v>0.71</v>
      </c>
      <c r="L55" s="460">
        <v>0.71</v>
      </c>
      <c r="M55" s="244">
        <f t="shared" si="65"/>
        <v>3.1536000000000002E-2</v>
      </c>
      <c r="N55" s="458">
        <v>1</v>
      </c>
      <c r="O55" s="245">
        <v>30</v>
      </c>
      <c r="P55" s="227"/>
      <c r="Q55" s="268"/>
      <c r="R55" s="268" t="str">
        <f t="shared" ref="R55:R60" si="111">R54</f>
        <v>Hot Water</v>
      </c>
      <c r="S55" s="592" t="s">
        <v>842</v>
      </c>
      <c r="T55" s="246" t="s">
        <v>852</v>
      </c>
      <c r="U55" s="246">
        <v>2015</v>
      </c>
      <c r="V55" s="432" cm="1">
        <f t="array" ref="V55">_xlfn.IFNA(INDEX('Data manipulation'!$C$23:$N$128,MATCH($S55&amp;$R55,'Data manipulation'!$B$23:$B$128&amp;'Data manipulation'!$A$23:$A$128,0),MATCH($U55,'Data manipulation'!$C$22:$N$22,0))/1000,0)*SUMIFS('Regional split'!$F$4:$F$6,'Regional split'!$B$4:$B$6,V$4)</f>
        <v>0</v>
      </c>
      <c r="W55" s="432" cm="1">
        <f t="array" ref="W55">_xlfn.IFNA(INDEX('Data manipulation'!$C$23:$N$128,MATCH($S55&amp;$R55,'Data manipulation'!$B$23:$B$128&amp;'Data manipulation'!$A$23:$A$128,0),MATCH($U55,'Data manipulation'!$C$22:$N$22,0))/1000,0)*SUMIFS('Regional split'!$F$4:$F$6,'Regional split'!$B$4:$B$6,W$4)</f>
        <v>0</v>
      </c>
      <c r="X55" s="432" cm="1">
        <f t="array" ref="X55">_xlfn.IFNA(INDEX('Data manipulation'!$C$23:$N$128,MATCH($S55&amp;$R55,'Data manipulation'!$B$23:$B$128&amp;'Data manipulation'!$A$23:$A$128,0),MATCH($U55,'Data manipulation'!$C$22:$N$22,0))/1000,0)*SUMIFS('Regional split'!$F$4:$F$6,'Regional split'!$B$4:$B$6,X$4)</f>
        <v>0</v>
      </c>
      <c r="Y55" s="443">
        <f t="shared" ref="Y55:Y76" si="112">V55*J55</f>
        <v>0</v>
      </c>
      <c r="Z55" s="251">
        <f t="shared" si="67"/>
        <v>0</v>
      </c>
      <c r="AA55" s="444">
        <f t="shared" si="68"/>
        <v>0</v>
      </c>
    </row>
    <row r="56" spans="2:27" ht="15" customHeight="1">
      <c r="B56" s="233" t="str">
        <f t="shared" ref="B56:E60" si="113">B48</f>
        <v>CWTSOLE1</v>
      </c>
      <c r="C56" s="233" t="str">
        <f t="shared" si="113"/>
        <v>Commercial Water Hot Technology   - Solar - Existing 1</v>
      </c>
      <c r="D56" s="233" t="str">
        <f t="shared" si="113"/>
        <v>COMSOL</v>
      </c>
      <c r="E56" s="233" t="str">
        <f t="shared" si="113"/>
        <v>CWDEM</v>
      </c>
      <c r="F56" s="259">
        <v>2015</v>
      </c>
      <c r="G56" s="250">
        <f t="shared" si="108"/>
        <v>34.04</v>
      </c>
      <c r="H56" s="250">
        <f t="shared" si="109"/>
        <v>0</v>
      </c>
      <c r="I56" s="250">
        <f t="shared" si="110"/>
        <v>0</v>
      </c>
      <c r="J56" s="460">
        <v>1</v>
      </c>
      <c r="K56" s="460">
        <v>1</v>
      </c>
      <c r="L56" s="460">
        <v>1</v>
      </c>
      <c r="M56" s="244">
        <f t="shared" si="65"/>
        <v>3.1536000000000002E-2</v>
      </c>
      <c r="N56" s="458">
        <v>1</v>
      </c>
      <c r="O56" s="245">
        <v>30</v>
      </c>
      <c r="P56" s="227"/>
      <c r="Q56" s="268"/>
      <c r="R56" s="268" t="str">
        <f t="shared" si="111"/>
        <v>Hot Water</v>
      </c>
      <c r="S56" s="581" t="s">
        <v>818</v>
      </c>
      <c r="T56" s="246" t="s">
        <v>168</v>
      </c>
      <c r="U56" s="246">
        <v>2015</v>
      </c>
      <c r="V56" s="432" cm="1">
        <f t="array" ref="V56">_xlfn.IFNA(INDEX('Data manipulation'!$C$23:$N$128,MATCH($S56&amp;$R56,'Data manipulation'!$B$23:$B$128&amp;'Data manipulation'!$A$23:$A$128,0),MATCH($U56,'Data manipulation'!$C$22:$N$22,0))/1000,0)*SUMIFS('Regional split'!$F$4:$F$6,'Regional split'!$B$4:$B$6,V$4)</f>
        <v>1.0523589999999998</v>
      </c>
      <c r="W56" s="432" cm="1">
        <f t="array" ref="W56">_xlfn.IFNA(INDEX('Data manipulation'!$C$23:$N$128,MATCH($S56&amp;$R56,'Data manipulation'!$B$23:$B$128&amp;'Data manipulation'!$A$23:$A$128,0),MATCH($U56,'Data manipulation'!$C$22:$N$22,0))/1000,0)*SUMIFS('Regional split'!$F$4:$F$6,'Regional split'!$B$4:$B$6,W$4)</f>
        <v>0</v>
      </c>
      <c r="X56" s="432" cm="1">
        <f t="array" ref="X56">_xlfn.IFNA(INDEX('Data manipulation'!$C$23:$N$128,MATCH($S56&amp;$R56,'Data manipulation'!$B$23:$B$128&amp;'Data manipulation'!$A$23:$A$128,0),MATCH($U56,'Data manipulation'!$C$22:$N$22,0))/1000,0)*SUMIFS('Regional split'!$F$4:$F$6,'Regional split'!$B$4:$B$6,X$4)</f>
        <v>0</v>
      </c>
      <c r="Y56" s="443">
        <f t="shared" si="112"/>
        <v>1.0523589999999998</v>
      </c>
      <c r="Z56" s="251">
        <f t="shared" si="67"/>
        <v>0</v>
      </c>
      <c r="AA56" s="444">
        <f t="shared" si="68"/>
        <v>0</v>
      </c>
    </row>
    <row r="57" spans="2:27" ht="15" customHeight="1">
      <c r="B57" s="233" t="str">
        <f t="shared" si="113"/>
        <v>CWTELCHE1</v>
      </c>
      <c r="C57" s="233" t="str">
        <f t="shared" si="113"/>
        <v>Commercial Water Hot Technology   - Electricity Heating - Existing 1</v>
      </c>
      <c r="D57" s="233" t="str">
        <f t="shared" si="113"/>
        <v>COMELCH</v>
      </c>
      <c r="E57" s="233" t="str">
        <f t="shared" si="113"/>
        <v>CWDEM</v>
      </c>
      <c r="F57" s="259">
        <v>2015</v>
      </c>
      <c r="G57" s="250">
        <f t="shared" si="108"/>
        <v>16.59</v>
      </c>
      <c r="H57" s="250">
        <f t="shared" si="109"/>
        <v>0</v>
      </c>
      <c r="I57" s="250">
        <f t="shared" si="110"/>
        <v>0</v>
      </c>
      <c r="J57" s="460">
        <v>2.3199999999999998</v>
      </c>
      <c r="K57" s="460">
        <v>2.3199999999999998</v>
      </c>
      <c r="L57" s="460">
        <v>2.3199999999999998</v>
      </c>
      <c r="M57" s="244">
        <f t="shared" si="65"/>
        <v>3.1536000000000002E-2</v>
      </c>
      <c r="N57" s="458">
        <v>1</v>
      </c>
      <c r="O57" s="245">
        <v>30</v>
      </c>
      <c r="P57" s="227"/>
      <c r="Q57" s="268"/>
      <c r="R57" s="268" t="str">
        <f t="shared" si="111"/>
        <v>Hot Water</v>
      </c>
      <c r="S57" s="581" t="s">
        <v>817</v>
      </c>
      <c r="T57" s="246" t="s">
        <v>853</v>
      </c>
      <c r="U57" s="246">
        <v>2015</v>
      </c>
      <c r="V57" s="432" cm="1">
        <f t="array" ref="V57">_xlfn.IFNA(INDEX('Data manipulation'!$C$23:$N$128,MATCH($S57&amp;$R57,'Data manipulation'!$B$23:$B$128&amp;'Data manipulation'!$A$23:$A$128,0),MATCH($U57,'Data manipulation'!$C$22:$N$22,0))/1000,0)*SUMIFS('Regional split'!$F$4:$F$6,'Regional split'!$B$4:$B$6,V$4)</f>
        <v>0.22104000000000001</v>
      </c>
      <c r="W57" s="432" cm="1">
        <f t="array" ref="W57">_xlfn.IFNA(INDEX('Data manipulation'!$C$23:$N$128,MATCH($S57&amp;$R57,'Data manipulation'!$B$23:$B$128&amp;'Data manipulation'!$A$23:$A$128,0),MATCH($U57,'Data manipulation'!$C$22:$N$22,0))/1000,0)*SUMIFS('Regional split'!$F$4:$F$6,'Regional split'!$B$4:$B$6,W$4)</f>
        <v>0</v>
      </c>
      <c r="X57" s="432" cm="1">
        <f t="array" ref="X57">_xlfn.IFNA(INDEX('Data manipulation'!$C$23:$N$128,MATCH($S57&amp;$R57,'Data manipulation'!$B$23:$B$128&amp;'Data manipulation'!$A$23:$A$128,0),MATCH($U57,'Data manipulation'!$C$22:$N$22,0))/1000,0)*SUMIFS('Regional split'!$F$4:$F$6,'Regional split'!$B$4:$B$6,X$4)</f>
        <v>0</v>
      </c>
      <c r="Y57" s="443">
        <f t="shared" si="112"/>
        <v>0.51281279999999996</v>
      </c>
      <c r="Z57" s="251">
        <f t="shared" si="67"/>
        <v>0</v>
      </c>
      <c r="AA57" s="444">
        <f t="shared" si="68"/>
        <v>0</v>
      </c>
    </row>
    <row r="58" spans="2:27" ht="15" customHeight="1">
      <c r="B58" s="233" t="str">
        <f t="shared" si="113"/>
        <v>CWTFIWE1</v>
      </c>
      <c r="C58" s="233" t="str">
        <f t="shared" si="113"/>
        <v>Commercial Water Hot Technology   - Fire wood - Existing 1</v>
      </c>
      <c r="D58" s="233" t="str">
        <f t="shared" si="113"/>
        <v>COMFIW</v>
      </c>
      <c r="E58" s="233" t="str">
        <f t="shared" si="113"/>
        <v>CWDEM</v>
      </c>
      <c r="F58" s="259">
        <v>2015</v>
      </c>
      <c r="G58" s="250">
        <f t="shared" si="108"/>
        <v>152.87</v>
      </c>
      <c r="H58" s="250">
        <f t="shared" si="109"/>
        <v>0</v>
      </c>
      <c r="I58" s="250">
        <f t="shared" si="110"/>
        <v>0</v>
      </c>
      <c r="J58" s="460">
        <v>0.65</v>
      </c>
      <c r="K58" s="460">
        <v>0.65</v>
      </c>
      <c r="L58" s="460">
        <v>0.65</v>
      </c>
      <c r="M58" s="244">
        <f t="shared" si="65"/>
        <v>3.1536000000000002E-2</v>
      </c>
      <c r="N58" s="458">
        <v>1</v>
      </c>
      <c r="O58" s="245">
        <v>30</v>
      </c>
      <c r="P58" s="227"/>
      <c r="Q58" s="268"/>
      <c r="R58" s="268" t="str">
        <f t="shared" si="111"/>
        <v>Hot Water</v>
      </c>
      <c r="S58" s="581" t="s">
        <v>816</v>
      </c>
      <c r="T58" s="246" t="s">
        <v>199</v>
      </c>
      <c r="U58" s="246">
        <v>2015</v>
      </c>
      <c r="V58" s="432" cm="1">
        <f t="array" ref="V58">_xlfn.IFNA(INDEX('Data manipulation'!$C$23:$N$128,MATCH($S58&amp;$R58,'Data manipulation'!$B$23:$B$128&amp;'Data manipulation'!$A$23:$A$128,0),MATCH($U58,'Data manipulation'!$C$22:$N$22,0))/1000,0)*SUMIFS('Regional split'!$F$4:$F$6,'Regional split'!$B$4:$B$6,V$4)</f>
        <v>7.2711816450162781</v>
      </c>
      <c r="W58" s="432" cm="1">
        <f t="array" ref="W58">_xlfn.IFNA(INDEX('Data manipulation'!$C$23:$N$128,MATCH($S58&amp;$R58,'Data manipulation'!$B$23:$B$128&amp;'Data manipulation'!$A$23:$A$128,0),MATCH($U58,'Data manipulation'!$C$22:$N$22,0))/1000,0)*SUMIFS('Regional split'!$F$4:$F$6,'Regional split'!$B$4:$B$6,W$4)</f>
        <v>0</v>
      </c>
      <c r="X58" s="432" cm="1">
        <f t="array" ref="X58">_xlfn.IFNA(INDEX('Data manipulation'!$C$23:$N$128,MATCH($S58&amp;$R58,'Data manipulation'!$B$23:$B$128&amp;'Data manipulation'!$A$23:$A$128,0),MATCH($U58,'Data manipulation'!$C$22:$N$22,0))/1000,0)*SUMIFS('Regional split'!$F$4:$F$6,'Regional split'!$B$4:$B$6,X$4)</f>
        <v>0</v>
      </c>
      <c r="Y58" s="443">
        <f t="shared" si="112"/>
        <v>4.7262680692605805</v>
      </c>
      <c r="Z58" s="251">
        <f t="shared" si="67"/>
        <v>0</v>
      </c>
      <c r="AA58" s="444">
        <f t="shared" si="68"/>
        <v>0</v>
      </c>
    </row>
    <row r="59" spans="2:27" ht="15" customHeight="1">
      <c r="B59" s="233" t="str">
        <f t="shared" si="113"/>
        <v>CWTELCWE1</v>
      </c>
      <c r="C59" s="233" t="str">
        <f t="shared" si="113"/>
        <v>Commercial Water Hot Technology   - Electricity Water Heating - Existing 1</v>
      </c>
      <c r="D59" s="233" t="str">
        <f t="shared" si="113"/>
        <v>COMELCW</v>
      </c>
      <c r="E59" s="233" t="str">
        <f t="shared" si="113"/>
        <v>CWDEM</v>
      </c>
      <c r="F59" s="259">
        <v>2015</v>
      </c>
      <c r="G59" s="250">
        <f t="shared" si="108"/>
        <v>1882.35</v>
      </c>
      <c r="H59" s="250">
        <f t="shared" si="109"/>
        <v>0</v>
      </c>
      <c r="I59" s="250">
        <f t="shared" si="110"/>
        <v>0</v>
      </c>
      <c r="J59" s="460">
        <v>1</v>
      </c>
      <c r="K59" s="460">
        <v>1</v>
      </c>
      <c r="L59" s="460">
        <v>1</v>
      </c>
      <c r="M59" s="244">
        <f t="shared" si="65"/>
        <v>3.1536000000000002E-2</v>
      </c>
      <c r="N59" s="458">
        <v>1</v>
      </c>
      <c r="O59" s="245">
        <v>30</v>
      </c>
      <c r="P59" s="227"/>
      <c r="Q59" s="268"/>
      <c r="R59" s="268" t="str">
        <f t="shared" si="111"/>
        <v>Hot Water</v>
      </c>
      <c r="S59" s="581" t="s">
        <v>73</v>
      </c>
      <c r="T59" s="246" t="s">
        <v>856</v>
      </c>
      <c r="U59" s="246">
        <v>2015</v>
      </c>
      <c r="V59" s="432" cm="1">
        <f t="array" ref="V59">_xlfn.IFNA(INDEX('Data manipulation'!$C$23:$N$128,MATCH($S59&amp;$R59,'Data manipulation'!$B$23:$B$128&amp;'Data manipulation'!$A$23:$A$128,0),MATCH($U59,'Data manipulation'!$C$22:$N$22,0))/1000,0)*SUMIFS('Regional split'!$F$4:$F$6,'Regional split'!$B$4:$B$6,V$4)</f>
        <v>58.197770105848562</v>
      </c>
      <c r="W59" s="432" cm="1">
        <f t="array" ref="W59">_xlfn.IFNA(INDEX('Data manipulation'!$C$23:$N$128,MATCH($S59&amp;$R59,'Data manipulation'!$B$23:$B$128&amp;'Data manipulation'!$A$23:$A$128,0),MATCH($U59,'Data manipulation'!$C$22:$N$22,0))/1000,0)*SUMIFS('Regional split'!$F$4:$F$6,'Regional split'!$B$4:$B$6,W$4)</f>
        <v>0</v>
      </c>
      <c r="X59" s="432" cm="1">
        <f t="array" ref="X59">_xlfn.IFNA(INDEX('Data manipulation'!$C$23:$N$128,MATCH($S59&amp;$R59,'Data manipulation'!$B$23:$B$128&amp;'Data manipulation'!$A$23:$A$128,0),MATCH($U59,'Data manipulation'!$C$22:$N$22,0))/1000,0)*SUMIFS('Regional split'!$F$4:$F$6,'Regional split'!$B$4:$B$6,X$4)</f>
        <v>0</v>
      </c>
      <c r="Y59" s="443">
        <f t="shared" si="112"/>
        <v>58.197770105848562</v>
      </c>
      <c r="Z59" s="251">
        <f t="shared" si="67"/>
        <v>0</v>
      </c>
      <c r="AA59" s="444">
        <f t="shared" si="68"/>
        <v>0</v>
      </c>
    </row>
    <row r="60" spans="2:27" ht="15" customHeight="1">
      <c r="B60" s="233" t="str">
        <f t="shared" si="113"/>
        <v>CWTHCEE1</v>
      </c>
      <c r="C60" s="233" t="str">
        <f t="shared" si="113"/>
        <v>Commercial Water Hot Technology   - District heating Central - Existing 1</v>
      </c>
      <c r="D60" s="233" t="str">
        <f t="shared" si="113"/>
        <v>COMELCW</v>
      </c>
      <c r="E60" s="233" t="str">
        <f t="shared" si="113"/>
        <v>CWDEM</v>
      </c>
      <c r="F60" s="259">
        <v>2015</v>
      </c>
      <c r="G60" s="250">
        <f t="shared" si="108"/>
        <v>155.48999999999998</v>
      </c>
      <c r="H60" s="250">
        <f t="shared" si="109"/>
        <v>0</v>
      </c>
      <c r="I60" s="250">
        <f t="shared" si="110"/>
        <v>0</v>
      </c>
      <c r="J60" s="460">
        <v>0.95</v>
      </c>
      <c r="K60" s="460">
        <v>0.95</v>
      </c>
      <c r="L60" s="460">
        <v>0.95</v>
      </c>
      <c r="M60" s="244">
        <f t="shared" si="65"/>
        <v>3.1536000000000002E-2</v>
      </c>
      <c r="N60" s="458">
        <v>1</v>
      </c>
      <c r="O60" s="245">
        <v>30</v>
      </c>
      <c r="P60" s="227"/>
      <c r="Q60" s="268"/>
      <c r="R60" s="268" t="str">
        <f t="shared" si="111"/>
        <v>Hot Water</v>
      </c>
      <c r="S60" s="581" t="s">
        <v>198</v>
      </c>
      <c r="T60" s="246" t="s">
        <v>198</v>
      </c>
      <c r="U60" s="246">
        <v>2015</v>
      </c>
      <c r="V60" s="432" cm="1">
        <f t="array" ref="V60">_xlfn.IFNA(INDEX('Data manipulation'!$C$23:$N$128,MATCH($S60&amp;$R60,'Data manipulation'!$B$23:$B$128&amp;'Data manipulation'!$A$23:$A$128,0),MATCH($U60,'Data manipulation'!$C$22:$N$22,0))/1000,0)*SUMIFS('Regional split'!$F$4:$F$6,'Regional split'!$B$4:$B$6,V$4)</f>
        <v>5.0603217205670061</v>
      </c>
      <c r="W60" s="432" cm="1">
        <f t="array" ref="W60">_xlfn.IFNA(INDEX('Data manipulation'!$C$23:$N$128,MATCH($S60&amp;$R60,'Data manipulation'!$B$23:$B$128&amp;'Data manipulation'!$A$23:$A$128,0),MATCH($U60,'Data manipulation'!$C$22:$N$22,0))/1000,0)*SUMIFS('Regional split'!$F$4:$F$6,'Regional split'!$B$4:$B$6,W$4)</f>
        <v>0</v>
      </c>
      <c r="X60" s="432" cm="1">
        <f t="array" ref="X60">_xlfn.IFNA(INDEX('Data manipulation'!$C$23:$N$128,MATCH($S60&amp;$R60,'Data manipulation'!$B$23:$B$128&amp;'Data manipulation'!$A$23:$A$128,0),MATCH($U60,'Data manipulation'!$C$22:$N$22,0))/1000,0)*SUMIFS('Regional split'!$F$4:$F$6,'Regional split'!$B$4:$B$6,X$4)</f>
        <v>0</v>
      </c>
      <c r="Y60" s="443">
        <f t="shared" si="112"/>
        <v>4.8073056345386558</v>
      </c>
      <c r="Z60" s="251">
        <f t="shared" si="67"/>
        <v>0</v>
      </c>
      <c r="AA60" s="444">
        <f t="shared" si="68"/>
        <v>0</v>
      </c>
    </row>
    <row r="61" spans="2:27" ht="14.5">
      <c r="B61" s="233" t="str">
        <f t="shared" ref="B61:E62" si="114">B45</f>
        <v>CWTLPGE1</v>
      </c>
      <c r="C61" s="233" t="str">
        <f t="shared" si="114"/>
        <v>Commercial Water Hot Technology   - LPG - Existing 1</v>
      </c>
      <c r="D61" s="233" t="str">
        <f t="shared" si="114"/>
        <v>COMLPG</v>
      </c>
      <c r="E61" s="233" t="str">
        <f t="shared" si="114"/>
        <v>CWDEM</v>
      </c>
      <c r="F61" s="230">
        <v>2018</v>
      </c>
      <c r="G61" s="250">
        <f t="shared" si="69"/>
        <v>33.769999999999996</v>
      </c>
      <c r="H61" s="250">
        <f t="shared" si="63"/>
        <v>0</v>
      </c>
      <c r="I61" s="250">
        <f t="shared" si="64"/>
        <v>0</v>
      </c>
      <c r="J61" s="460">
        <f t="shared" ref="J61:L62" si="115">J45</f>
        <v>0.95</v>
      </c>
      <c r="K61" s="460">
        <f t="shared" si="115"/>
        <v>0.95</v>
      </c>
      <c r="L61" s="460">
        <f t="shared" si="115"/>
        <v>0.95</v>
      </c>
      <c r="M61" s="244">
        <f t="shared" si="65"/>
        <v>3.1536000000000002E-2</v>
      </c>
      <c r="N61" s="458">
        <v>1</v>
      </c>
      <c r="O61" s="245">
        <v>30</v>
      </c>
      <c r="P61" s="227"/>
      <c r="Q61" s="227"/>
      <c r="R61" s="268" t="str">
        <f>R46</f>
        <v>Hot Water</v>
      </c>
      <c r="S61" s="591" t="str">
        <f>'Data manipulation'!B46</f>
        <v>Liquefied petroleum gas</v>
      </c>
      <c r="T61" s="246" t="s">
        <v>759</v>
      </c>
      <c r="U61" s="246">
        <v>2018</v>
      </c>
      <c r="V61" s="432" cm="1">
        <f t="array" ref="V61">_xlfn.IFNA(INDEX('Data manipulation'!$C$23:$N$128,MATCH($S61&amp;$R61,'Data manipulation'!$B$23:$B$128&amp;'Data manipulation'!$A$23:$A$128,0),MATCH($U61,'Data manipulation'!$C$22:$N$22,0))/1000,0)*SUMIFS('Regional split'!$F$4:$F$6,'Regional split'!$B$4:$B$6,V$4)</f>
        <v>1.0987219999999998</v>
      </c>
      <c r="W61" s="432" cm="1">
        <f t="array" ref="W61">_xlfn.IFNA(INDEX('Data manipulation'!$C$23:$N$128,MATCH($S61&amp;$R61,'Data manipulation'!$B$23:$B$128&amp;'Data manipulation'!$A$23:$A$128,0),MATCH($U61,'Data manipulation'!$C$22:$N$22,0))/1000,0)*SUMIFS('Regional split'!$F$4:$F$6,'Regional split'!$B$4:$B$6,W$4)</f>
        <v>0</v>
      </c>
      <c r="X61" s="432" cm="1">
        <f t="array" ref="X61">_xlfn.IFNA(INDEX('Data manipulation'!$C$23:$N$128,MATCH($S61&amp;$R61,'Data manipulation'!$B$23:$B$128&amp;'Data manipulation'!$A$23:$A$128,0),MATCH($U61,'Data manipulation'!$C$22:$N$22,0))/1000,0)*SUMIFS('Regional split'!$F$4:$F$6,'Regional split'!$B$4:$B$6,X$4)</f>
        <v>0</v>
      </c>
      <c r="Y61" s="443">
        <f t="shared" si="112"/>
        <v>1.0437858999999998</v>
      </c>
      <c r="Z61" s="251">
        <f t="shared" si="67"/>
        <v>0</v>
      </c>
      <c r="AA61" s="444">
        <f t="shared" si="68"/>
        <v>0</v>
      </c>
    </row>
    <row r="62" spans="2:27" ht="14.5">
      <c r="B62" s="233" t="str">
        <f t="shared" si="114"/>
        <v>CWTNGAE1</v>
      </c>
      <c r="C62" s="233" t="str">
        <f t="shared" si="114"/>
        <v>Commercial Water Hot Technology   - Natural Gas - Existing 1</v>
      </c>
      <c r="D62" s="233" t="str">
        <f t="shared" si="114"/>
        <v>COMNGA,COMBGA</v>
      </c>
      <c r="E62" s="233" t="str">
        <f t="shared" si="114"/>
        <v>CWDEM</v>
      </c>
      <c r="F62" s="230">
        <v>2018</v>
      </c>
      <c r="G62" s="250">
        <f t="shared" si="69"/>
        <v>2302.0200000000004</v>
      </c>
      <c r="H62" s="250">
        <f t="shared" si="63"/>
        <v>0</v>
      </c>
      <c r="I62" s="250">
        <f t="shared" si="64"/>
        <v>0</v>
      </c>
      <c r="J62" s="460">
        <f t="shared" si="115"/>
        <v>0.72</v>
      </c>
      <c r="K62" s="460">
        <f t="shared" si="115"/>
        <v>0.72</v>
      </c>
      <c r="L62" s="460">
        <f t="shared" si="115"/>
        <v>0.72</v>
      </c>
      <c r="M62" s="244">
        <f t="shared" si="65"/>
        <v>3.1536000000000002E-2</v>
      </c>
      <c r="N62" s="458">
        <v>1</v>
      </c>
      <c r="O62" s="245">
        <v>30</v>
      </c>
      <c r="P62" s="227"/>
      <c r="Q62" s="227"/>
      <c r="R62" s="268" t="str">
        <f t="shared" ref="R62:R70" si="116">R61</f>
        <v>Hot Water</v>
      </c>
      <c r="S62" s="592" t="s">
        <v>843</v>
      </c>
      <c r="T62" s="246" t="s">
        <v>167</v>
      </c>
      <c r="U62" s="246">
        <v>2018</v>
      </c>
      <c r="V62" s="432" cm="1">
        <f t="array" ref="V62">_xlfn.IFNA(INDEX('Data manipulation'!$C$23:$N$128,MATCH($S62&amp;$R62,'Data manipulation'!$B$23:$B$128&amp;'Data manipulation'!$A$23:$A$128,0),MATCH($U62,'Data manipulation'!$C$22:$N$22,0))/1000,0)*SUMIFS('Regional split'!$F$4:$F$6,'Regional split'!$B$4:$B$6,V$4)</f>
        <v>98.85141137085067</v>
      </c>
      <c r="W62" s="432" cm="1">
        <f t="array" ref="W62">_xlfn.IFNA(INDEX('Data manipulation'!$C$23:$N$128,MATCH($S62&amp;$R62,'Data manipulation'!$B$23:$B$128&amp;'Data manipulation'!$A$23:$A$128,0),MATCH($U62,'Data manipulation'!$C$22:$N$22,0))/1000,0)*SUMIFS('Regional split'!$F$4:$F$6,'Regional split'!$B$4:$B$6,W$4)</f>
        <v>0</v>
      </c>
      <c r="X62" s="432" cm="1">
        <f t="array" ref="X62">_xlfn.IFNA(INDEX('Data manipulation'!$C$23:$N$128,MATCH($S62&amp;$R62,'Data manipulation'!$B$23:$B$128&amp;'Data manipulation'!$A$23:$A$128,0),MATCH($U62,'Data manipulation'!$C$22:$N$22,0))/1000,0)*SUMIFS('Regional split'!$F$4:$F$6,'Regional split'!$B$4:$B$6,X$4)</f>
        <v>0</v>
      </c>
      <c r="Y62" s="443">
        <f t="shared" si="112"/>
        <v>71.173016187012479</v>
      </c>
      <c r="Z62" s="251">
        <f t="shared" si="67"/>
        <v>0</v>
      </c>
      <c r="AA62" s="444">
        <f t="shared" si="68"/>
        <v>0</v>
      </c>
    </row>
    <row r="63" spans="2:27" ht="15" customHeight="1">
      <c r="B63" s="233" t="str">
        <f>B55</f>
        <v>CWTDSLE1</v>
      </c>
      <c r="C63" s="233" t="str">
        <f t="shared" ref="C63:E63" si="117">C55</f>
        <v>Commercial Water Hot Technology   - Diesel - Existing 1</v>
      </c>
      <c r="D63" s="233" t="str">
        <f t="shared" si="117"/>
        <v>COMDSL,COMDSB</v>
      </c>
      <c r="E63" s="233" t="str">
        <f t="shared" si="117"/>
        <v>CWDEM</v>
      </c>
      <c r="F63" s="230">
        <v>2018</v>
      </c>
      <c r="G63" s="250">
        <f t="shared" si="69"/>
        <v>0</v>
      </c>
      <c r="H63" s="250">
        <f t="shared" si="63"/>
        <v>0</v>
      </c>
      <c r="I63" s="250">
        <f t="shared" si="64"/>
        <v>0</v>
      </c>
      <c r="J63" s="460">
        <v>0.71</v>
      </c>
      <c r="K63" s="460">
        <v>0.71</v>
      </c>
      <c r="L63" s="460">
        <v>0.71</v>
      </c>
      <c r="M63" s="244">
        <f t="shared" si="65"/>
        <v>3.1536000000000002E-2</v>
      </c>
      <c r="N63" s="458">
        <v>1</v>
      </c>
      <c r="O63" s="245">
        <v>30</v>
      </c>
      <c r="P63" s="227"/>
      <c r="Q63" s="268"/>
      <c r="R63" s="268" t="str">
        <f t="shared" ref="R63:R68" si="118">R62</f>
        <v>Hot Water</v>
      </c>
      <c r="S63" s="592" t="s">
        <v>842</v>
      </c>
      <c r="T63" s="246" t="s">
        <v>852</v>
      </c>
      <c r="U63" s="246">
        <v>2018</v>
      </c>
      <c r="V63" s="432" cm="1">
        <f t="array" ref="V63">_xlfn.IFNA(INDEX('Data manipulation'!$C$23:$N$128,MATCH($S63&amp;$R63,'Data manipulation'!$B$23:$B$128&amp;'Data manipulation'!$A$23:$A$128,0),MATCH($U63,'Data manipulation'!$C$22:$N$22,0))/1000,0)*SUMIFS('Regional split'!$F$4:$F$6,'Regional split'!$B$4:$B$6,V$4)</f>
        <v>0</v>
      </c>
      <c r="W63" s="432" cm="1">
        <f t="array" ref="W63">_xlfn.IFNA(INDEX('Data manipulation'!$C$23:$N$128,MATCH($S63&amp;$R63,'Data manipulation'!$B$23:$B$128&amp;'Data manipulation'!$A$23:$A$128,0),MATCH($U63,'Data manipulation'!$C$22:$N$22,0))/1000,0)*SUMIFS('Regional split'!$F$4:$F$6,'Regional split'!$B$4:$B$6,W$4)</f>
        <v>0</v>
      </c>
      <c r="X63" s="432" cm="1">
        <f t="array" ref="X63">_xlfn.IFNA(INDEX('Data manipulation'!$C$23:$N$128,MATCH($S63&amp;$R63,'Data manipulation'!$B$23:$B$128&amp;'Data manipulation'!$A$23:$A$128,0),MATCH($U63,'Data manipulation'!$C$22:$N$22,0))/1000,0)*SUMIFS('Regional split'!$F$4:$F$6,'Regional split'!$B$4:$B$6,X$4)</f>
        <v>0</v>
      </c>
      <c r="Y63" s="443">
        <f t="shared" si="112"/>
        <v>0</v>
      </c>
      <c r="Z63" s="251">
        <f t="shared" ref="Z63:Z68" si="119">W63*K63</f>
        <v>0</v>
      </c>
      <c r="AA63" s="444">
        <f t="shared" ref="AA63:AA68" si="120">X63*L63</f>
        <v>0</v>
      </c>
    </row>
    <row r="64" spans="2:27" ht="15" customHeight="1">
      <c r="B64" s="233" t="str">
        <f t="shared" ref="B64:E64" si="121">B56</f>
        <v>CWTSOLE1</v>
      </c>
      <c r="C64" s="233" t="str">
        <f t="shared" si="121"/>
        <v>Commercial Water Hot Technology   - Solar - Existing 1</v>
      </c>
      <c r="D64" s="233" t="str">
        <f t="shared" si="121"/>
        <v>COMSOL</v>
      </c>
      <c r="E64" s="233" t="str">
        <f t="shared" si="121"/>
        <v>CWDEM</v>
      </c>
      <c r="F64" s="230">
        <v>2018</v>
      </c>
      <c r="G64" s="250">
        <f t="shared" si="69"/>
        <v>37.53</v>
      </c>
      <c r="H64" s="250">
        <f t="shared" si="63"/>
        <v>0</v>
      </c>
      <c r="I64" s="250">
        <f t="shared" si="64"/>
        <v>0</v>
      </c>
      <c r="J64" s="460">
        <v>1</v>
      </c>
      <c r="K64" s="460">
        <v>1</v>
      </c>
      <c r="L64" s="460">
        <v>1</v>
      </c>
      <c r="M64" s="244">
        <f t="shared" si="65"/>
        <v>3.1536000000000002E-2</v>
      </c>
      <c r="N64" s="458">
        <v>1</v>
      </c>
      <c r="O64" s="245">
        <v>30</v>
      </c>
      <c r="P64" s="227"/>
      <c r="Q64" s="268"/>
      <c r="R64" s="268" t="str">
        <f t="shared" si="118"/>
        <v>Hot Water</v>
      </c>
      <c r="S64" s="581" t="s">
        <v>818</v>
      </c>
      <c r="T64" s="246" t="s">
        <v>168</v>
      </c>
      <c r="U64" s="246">
        <v>2018</v>
      </c>
      <c r="V64" s="432" cm="1">
        <f t="array" ref="V64">_xlfn.IFNA(INDEX('Data manipulation'!$C$23:$N$128,MATCH($S64&amp;$R64,'Data manipulation'!$B$23:$B$128&amp;'Data manipulation'!$A$23:$A$128,0),MATCH($U64,'Data manipulation'!$C$22:$N$22,0))/1000,0)*SUMIFS('Regional split'!$F$4:$F$6,'Regional split'!$B$4:$B$6,V$4)</f>
        <v>1.160115</v>
      </c>
      <c r="W64" s="432" cm="1">
        <f t="array" ref="W64">_xlfn.IFNA(INDEX('Data manipulation'!$C$23:$N$128,MATCH($S64&amp;$R64,'Data manipulation'!$B$23:$B$128&amp;'Data manipulation'!$A$23:$A$128,0),MATCH($U64,'Data manipulation'!$C$22:$N$22,0))/1000,0)*SUMIFS('Regional split'!$F$4:$F$6,'Regional split'!$B$4:$B$6,W$4)</f>
        <v>0</v>
      </c>
      <c r="X64" s="432" cm="1">
        <f t="array" ref="X64">_xlfn.IFNA(INDEX('Data manipulation'!$C$23:$N$128,MATCH($S64&amp;$R64,'Data manipulation'!$B$23:$B$128&amp;'Data manipulation'!$A$23:$A$128,0),MATCH($U64,'Data manipulation'!$C$22:$N$22,0))/1000,0)*SUMIFS('Regional split'!$F$4:$F$6,'Regional split'!$B$4:$B$6,X$4)</f>
        <v>0</v>
      </c>
      <c r="Y64" s="443">
        <f t="shared" si="112"/>
        <v>1.160115</v>
      </c>
      <c r="Z64" s="251">
        <f t="shared" si="119"/>
        <v>0</v>
      </c>
      <c r="AA64" s="444">
        <f t="shared" si="120"/>
        <v>0</v>
      </c>
    </row>
    <row r="65" spans="2:27" ht="15" customHeight="1">
      <c r="B65" s="233" t="str">
        <f t="shared" ref="B65:E65" si="122">B57</f>
        <v>CWTELCHE1</v>
      </c>
      <c r="C65" s="233" t="str">
        <f t="shared" si="122"/>
        <v>Commercial Water Hot Technology   - Electricity Heating - Existing 1</v>
      </c>
      <c r="D65" s="233" t="str">
        <f t="shared" si="122"/>
        <v>COMELCH</v>
      </c>
      <c r="E65" s="233" t="str">
        <f t="shared" si="122"/>
        <v>CWDEM</v>
      </c>
      <c r="F65" s="230">
        <v>2018</v>
      </c>
      <c r="G65" s="250">
        <f t="shared" si="69"/>
        <v>24.73</v>
      </c>
      <c r="H65" s="250">
        <f t="shared" si="63"/>
        <v>0</v>
      </c>
      <c r="I65" s="250">
        <f t="shared" si="64"/>
        <v>0</v>
      </c>
      <c r="J65" s="460">
        <v>2.3199999999999998</v>
      </c>
      <c r="K65" s="460">
        <v>2.3199999999999998</v>
      </c>
      <c r="L65" s="460">
        <v>2.3199999999999998</v>
      </c>
      <c r="M65" s="244">
        <f t="shared" si="65"/>
        <v>3.1536000000000002E-2</v>
      </c>
      <c r="N65" s="458">
        <v>1</v>
      </c>
      <c r="O65" s="245">
        <v>30</v>
      </c>
      <c r="P65" s="227"/>
      <c r="Q65" s="268"/>
      <c r="R65" s="268" t="str">
        <f t="shared" si="118"/>
        <v>Hot Water</v>
      </c>
      <c r="S65" s="581" t="s">
        <v>817</v>
      </c>
      <c r="T65" s="246" t="s">
        <v>853</v>
      </c>
      <c r="U65" s="246">
        <v>2018</v>
      </c>
      <c r="V65" s="432" cm="1">
        <f t="array" ref="V65">_xlfn.IFNA(INDEX('Data manipulation'!$C$23:$N$128,MATCH($S65&amp;$R65,'Data manipulation'!$B$23:$B$128&amp;'Data manipulation'!$A$23:$A$128,0),MATCH($U65,'Data manipulation'!$C$22:$N$22,0))/1000,0)*SUMIFS('Regional split'!$F$4:$F$6,'Regional split'!$B$4:$B$6,V$4)</f>
        <v>0.32949000000000006</v>
      </c>
      <c r="W65" s="432" cm="1">
        <f t="array" ref="W65">_xlfn.IFNA(INDEX('Data manipulation'!$C$23:$N$128,MATCH($S65&amp;$R65,'Data manipulation'!$B$23:$B$128&amp;'Data manipulation'!$A$23:$A$128,0),MATCH($U65,'Data manipulation'!$C$22:$N$22,0))/1000,0)*SUMIFS('Regional split'!$F$4:$F$6,'Regional split'!$B$4:$B$6,W$4)</f>
        <v>0</v>
      </c>
      <c r="X65" s="432" cm="1">
        <f t="array" ref="X65">_xlfn.IFNA(INDEX('Data manipulation'!$C$23:$N$128,MATCH($S65&amp;$R65,'Data manipulation'!$B$23:$B$128&amp;'Data manipulation'!$A$23:$A$128,0),MATCH($U65,'Data manipulation'!$C$22:$N$22,0))/1000,0)*SUMIFS('Regional split'!$F$4:$F$6,'Regional split'!$B$4:$B$6,X$4)</f>
        <v>0</v>
      </c>
      <c r="Y65" s="443">
        <f t="shared" si="112"/>
        <v>0.76441680000000012</v>
      </c>
      <c r="Z65" s="251">
        <f t="shared" si="119"/>
        <v>0</v>
      </c>
      <c r="AA65" s="444">
        <f t="shared" si="120"/>
        <v>0</v>
      </c>
    </row>
    <row r="66" spans="2:27" ht="15" customHeight="1">
      <c r="B66" s="233" t="str">
        <f t="shared" ref="B66:E66" si="123">B58</f>
        <v>CWTFIWE1</v>
      </c>
      <c r="C66" s="233" t="str">
        <f t="shared" si="123"/>
        <v>Commercial Water Hot Technology   - Fire wood - Existing 1</v>
      </c>
      <c r="D66" s="233" t="str">
        <f t="shared" si="123"/>
        <v>COMFIW</v>
      </c>
      <c r="E66" s="233" t="str">
        <f t="shared" si="123"/>
        <v>CWDEM</v>
      </c>
      <c r="F66" s="230">
        <v>2018</v>
      </c>
      <c r="G66" s="250">
        <f t="shared" si="69"/>
        <v>171.47</v>
      </c>
      <c r="H66" s="250">
        <f t="shared" si="63"/>
        <v>0</v>
      </c>
      <c r="I66" s="250">
        <f t="shared" si="64"/>
        <v>0</v>
      </c>
      <c r="J66" s="460">
        <v>0.65</v>
      </c>
      <c r="K66" s="460">
        <v>0.65</v>
      </c>
      <c r="L66" s="460">
        <v>0.65</v>
      </c>
      <c r="M66" s="244">
        <f t="shared" si="65"/>
        <v>3.1536000000000002E-2</v>
      </c>
      <c r="N66" s="458">
        <v>1</v>
      </c>
      <c r="O66" s="245">
        <v>30</v>
      </c>
      <c r="P66" s="227"/>
      <c r="Q66" s="268"/>
      <c r="R66" s="268" t="str">
        <f t="shared" si="118"/>
        <v>Hot Water</v>
      </c>
      <c r="S66" s="581" t="s">
        <v>816</v>
      </c>
      <c r="T66" s="246" t="s">
        <v>199</v>
      </c>
      <c r="U66" s="246">
        <v>2018</v>
      </c>
      <c r="V66" s="432" cm="1">
        <f t="array" ref="V66">_xlfn.IFNA(INDEX('Data manipulation'!$C$23:$N$128,MATCH($S66&amp;$R66,'Data manipulation'!$B$23:$B$128&amp;'Data manipulation'!$A$23:$A$128,0),MATCH($U66,'Data manipulation'!$C$22:$N$22,0))/1000,0)*SUMIFS('Regional split'!$F$4:$F$6,'Regional split'!$B$4:$B$6,V$4)</f>
        <v>8.1559231469320181</v>
      </c>
      <c r="W66" s="432" cm="1">
        <f t="array" ref="W66">_xlfn.IFNA(INDEX('Data manipulation'!$C$23:$N$128,MATCH($S66&amp;$R66,'Data manipulation'!$B$23:$B$128&amp;'Data manipulation'!$A$23:$A$128,0),MATCH($U66,'Data manipulation'!$C$22:$N$22,0))/1000,0)*SUMIFS('Regional split'!$F$4:$F$6,'Regional split'!$B$4:$B$6,W$4)</f>
        <v>0</v>
      </c>
      <c r="X66" s="432" cm="1">
        <f t="array" ref="X66">_xlfn.IFNA(INDEX('Data manipulation'!$C$23:$N$128,MATCH($S66&amp;$R66,'Data manipulation'!$B$23:$B$128&amp;'Data manipulation'!$A$23:$A$128,0),MATCH($U66,'Data manipulation'!$C$22:$N$22,0))/1000,0)*SUMIFS('Regional split'!$F$4:$F$6,'Regional split'!$B$4:$B$6,X$4)</f>
        <v>0</v>
      </c>
      <c r="Y66" s="443">
        <f t="shared" si="112"/>
        <v>5.3013500455058118</v>
      </c>
      <c r="Z66" s="251">
        <f t="shared" si="119"/>
        <v>0</v>
      </c>
      <c r="AA66" s="444">
        <f t="shared" si="120"/>
        <v>0</v>
      </c>
    </row>
    <row r="67" spans="2:27" ht="15" customHeight="1">
      <c r="B67" s="233" t="str">
        <f t="shared" ref="B67:E67" si="124">B59</f>
        <v>CWTELCWE1</v>
      </c>
      <c r="C67" s="233" t="str">
        <f t="shared" si="124"/>
        <v>Commercial Water Hot Technology   - Electricity Water Heating - Existing 1</v>
      </c>
      <c r="D67" s="233" t="str">
        <f t="shared" si="124"/>
        <v>COMELCW</v>
      </c>
      <c r="E67" s="233" t="str">
        <f t="shared" si="124"/>
        <v>CWDEM</v>
      </c>
      <c r="F67" s="230">
        <v>2018</v>
      </c>
      <c r="G67" s="250">
        <f t="shared" si="69"/>
        <v>1785.17</v>
      </c>
      <c r="H67" s="250">
        <f t="shared" si="63"/>
        <v>0</v>
      </c>
      <c r="I67" s="250">
        <f t="shared" si="64"/>
        <v>0</v>
      </c>
      <c r="J67" s="460">
        <v>1</v>
      </c>
      <c r="K67" s="460">
        <v>1</v>
      </c>
      <c r="L67" s="460">
        <v>1</v>
      </c>
      <c r="M67" s="244">
        <f t="shared" si="65"/>
        <v>3.1536000000000002E-2</v>
      </c>
      <c r="N67" s="458">
        <v>1</v>
      </c>
      <c r="O67" s="245">
        <v>30</v>
      </c>
      <c r="P67" s="227"/>
      <c r="Q67" s="268"/>
      <c r="R67" s="268" t="str">
        <f t="shared" si="118"/>
        <v>Hot Water</v>
      </c>
      <c r="S67" s="581" t="s">
        <v>73</v>
      </c>
      <c r="T67" s="246" t="s">
        <v>856</v>
      </c>
      <c r="U67" s="246">
        <v>2018</v>
      </c>
      <c r="V67" s="432" cm="1">
        <f t="array" ref="V67">_xlfn.IFNA(INDEX('Data manipulation'!$C$23:$N$128,MATCH($S67&amp;$R67,'Data manipulation'!$B$23:$B$128&amp;'Data manipulation'!$A$23:$A$128,0),MATCH($U67,'Data manipulation'!$C$22:$N$22,0))/1000,0)*SUMIFS('Regional split'!$F$4:$F$6,'Regional split'!$B$4:$B$6,V$4)</f>
        <v>55.193101807836008</v>
      </c>
      <c r="W67" s="432" cm="1">
        <f t="array" ref="W67">_xlfn.IFNA(INDEX('Data manipulation'!$C$23:$N$128,MATCH($S67&amp;$R67,'Data manipulation'!$B$23:$B$128&amp;'Data manipulation'!$A$23:$A$128,0),MATCH($U67,'Data manipulation'!$C$22:$N$22,0))/1000,0)*SUMIFS('Regional split'!$F$4:$F$6,'Regional split'!$B$4:$B$6,W$4)</f>
        <v>0</v>
      </c>
      <c r="X67" s="432" cm="1">
        <f t="array" ref="X67">_xlfn.IFNA(INDEX('Data manipulation'!$C$23:$N$128,MATCH($S67&amp;$R67,'Data manipulation'!$B$23:$B$128&amp;'Data manipulation'!$A$23:$A$128,0),MATCH($U67,'Data manipulation'!$C$22:$N$22,0))/1000,0)*SUMIFS('Regional split'!$F$4:$F$6,'Regional split'!$B$4:$B$6,X$4)</f>
        <v>0</v>
      </c>
      <c r="Y67" s="443">
        <f t="shared" si="112"/>
        <v>55.193101807836008</v>
      </c>
      <c r="Z67" s="251">
        <f t="shared" si="119"/>
        <v>0</v>
      </c>
      <c r="AA67" s="444">
        <f t="shared" si="120"/>
        <v>0</v>
      </c>
    </row>
    <row r="68" spans="2:27" ht="15" customHeight="1">
      <c r="B68" s="233" t="str">
        <f t="shared" ref="B68:E68" si="125">B60</f>
        <v>CWTHCEE1</v>
      </c>
      <c r="C68" s="233" t="str">
        <f t="shared" si="125"/>
        <v>Commercial Water Hot Technology   - District heating Central - Existing 1</v>
      </c>
      <c r="D68" s="233" t="str">
        <f t="shared" si="125"/>
        <v>COMELCW</v>
      </c>
      <c r="E68" s="233" t="str">
        <f t="shared" si="125"/>
        <v>CWDEM</v>
      </c>
      <c r="F68" s="230">
        <v>2018</v>
      </c>
      <c r="G68" s="250">
        <f t="shared" si="69"/>
        <v>150.62</v>
      </c>
      <c r="H68" s="250">
        <f t="shared" si="63"/>
        <v>0</v>
      </c>
      <c r="I68" s="250">
        <f t="shared" si="64"/>
        <v>0</v>
      </c>
      <c r="J68" s="460">
        <v>0.95</v>
      </c>
      <c r="K68" s="460">
        <v>0.95</v>
      </c>
      <c r="L68" s="460">
        <v>0.95</v>
      </c>
      <c r="M68" s="244">
        <f t="shared" si="65"/>
        <v>3.1536000000000002E-2</v>
      </c>
      <c r="N68" s="458">
        <v>1</v>
      </c>
      <c r="O68" s="245">
        <v>30</v>
      </c>
      <c r="P68" s="227"/>
      <c r="Q68" s="268"/>
      <c r="R68" s="268" t="str">
        <f t="shared" si="118"/>
        <v>Hot Water</v>
      </c>
      <c r="S68" s="581" t="s">
        <v>198</v>
      </c>
      <c r="T68" s="246" t="s">
        <v>198</v>
      </c>
      <c r="U68" s="246">
        <v>2018</v>
      </c>
      <c r="V68" s="432" cm="1">
        <f t="array" ref="V68">_xlfn.IFNA(INDEX('Data manipulation'!$C$23:$N$128,MATCH($S68&amp;$R68,'Data manipulation'!$B$23:$B$128&amp;'Data manipulation'!$A$23:$A$128,0),MATCH($U68,'Data manipulation'!$C$22:$N$22,0))/1000,0)*SUMIFS('Regional split'!$F$4:$F$6,'Regional split'!$B$4:$B$6,V$4)</f>
        <v>4.9018011915891275</v>
      </c>
      <c r="W68" s="432" cm="1">
        <f t="array" ref="W68">_xlfn.IFNA(INDEX('Data manipulation'!$C$23:$N$128,MATCH($S68&amp;$R68,'Data manipulation'!$B$23:$B$128&amp;'Data manipulation'!$A$23:$A$128,0),MATCH($U68,'Data manipulation'!$C$22:$N$22,0))/1000,0)*SUMIFS('Regional split'!$F$4:$F$6,'Regional split'!$B$4:$B$6,W$4)</f>
        <v>0</v>
      </c>
      <c r="X68" s="432" cm="1">
        <f t="array" ref="X68">_xlfn.IFNA(INDEX('Data manipulation'!$C$23:$N$128,MATCH($S68&amp;$R68,'Data manipulation'!$B$23:$B$128&amp;'Data manipulation'!$A$23:$A$128,0),MATCH($U68,'Data manipulation'!$C$22:$N$22,0))/1000,0)*SUMIFS('Regional split'!$F$4:$F$6,'Regional split'!$B$4:$B$6,X$4)</f>
        <v>0</v>
      </c>
      <c r="Y68" s="443">
        <f t="shared" si="112"/>
        <v>4.6567111320096712</v>
      </c>
      <c r="Z68" s="251">
        <f t="shared" si="119"/>
        <v>0</v>
      </c>
      <c r="AA68" s="444">
        <f t="shared" si="120"/>
        <v>0</v>
      </c>
    </row>
    <row r="69" spans="2:27" ht="14.5">
      <c r="B69" s="233" t="str">
        <f t="shared" ref="B69:E69" si="126">B61</f>
        <v>CWTLPGE1</v>
      </c>
      <c r="C69" s="233" t="str">
        <f t="shared" si="126"/>
        <v>Commercial Water Hot Technology   - LPG - Existing 1</v>
      </c>
      <c r="D69" s="233" t="str">
        <f t="shared" si="126"/>
        <v>COMLPG</v>
      </c>
      <c r="E69" s="233" t="str">
        <f t="shared" si="126"/>
        <v>CWDEM</v>
      </c>
      <c r="F69" s="566">
        <f>F61+O69</f>
        <v>2048</v>
      </c>
      <c r="G69" s="625">
        <v>0</v>
      </c>
      <c r="H69" s="625">
        <v>0</v>
      </c>
      <c r="I69" s="625">
        <v>0</v>
      </c>
      <c r="J69" s="460">
        <f t="shared" ref="J69:L69" si="127">J61</f>
        <v>0.95</v>
      </c>
      <c r="K69" s="460">
        <f t="shared" si="127"/>
        <v>0.95</v>
      </c>
      <c r="L69" s="460">
        <f t="shared" si="127"/>
        <v>0.95</v>
      </c>
      <c r="M69" s="244">
        <f t="shared" si="65"/>
        <v>3.1536000000000002E-2</v>
      </c>
      <c r="N69" s="458">
        <v>1</v>
      </c>
      <c r="O69" s="245">
        <v>30</v>
      </c>
      <c r="P69" s="227"/>
      <c r="Q69" s="227"/>
      <c r="R69" s="268" t="str">
        <f>R62</f>
        <v>Hot Water</v>
      </c>
      <c r="S69" s="591" t="str">
        <f>'Data manipulation'!B46</f>
        <v>Liquefied petroleum gas</v>
      </c>
      <c r="T69" s="246" t="s">
        <v>759</v>
      </c>
      <c r="U69" s="246">
        <v>2018</v>
      </c>
      <c r="V69" s="432" cm="1">
        <f t="array" ref="V69">_xlfn.IFNA(INDEX('Data manipulation'!$C$23:$N$128,MATCH($S69&amp;$R69,'Data manipulation'!$B$23:$B$128&amp;'Data manipulation'!$A$23:$A$128,0),MATCH($U69,'Data manipulation'!$C$22:$N$22,0))/1000,0)*SUMIFS('Regional split'!$F$4:$F$6,'Regional split'!$B$4:$B$6,V$4)</f>
        <v>1.0987219999999998</v>
      </c>
      <c r="W69" s="432" cm="1">
        <f t="array" ref="W69">_xlfn.IFNA(INDEX('Data manipulation'!$C$23:$N$128,MATCH($S69&amp;$R69,'Data manipulation'!$B$23:$B$128&amp;'Data manipulation'!$A$23:$A$128,0),MATCH($U69,'Data manipulation'!$C$22:$N$22,0))/1000,0)*SUMIFS('Regional split'!$F$4:$F$6,'Regional split'!$B$4:$B$6,W$4)</f>
        <v>0</v>
      </c>
      <c r="X69" s="432" cm="1">
        <f t="array" ref="X69">_xlfn.IFNA(INDEX('Data manipulation'!$C$23:$N$128,MATCH($S69&amp;$R69,'Data manipulation'!$B$23:$B$128&amp;'Data manipulation'!$A$23:$A$128,0),MATCH($U69,'Data manipulation'!$C$22:$N$22,0))/1000,0)*SUMIFS('Regional split'!$F$4:$F$6,'Regional split'!$B$4:$B$6,X$4)</f>
        <v>0</v>
      </c>
      <c r="Y69" s="443">
        <f t="shared" si="112"/>
        <v>1.0437858999999998</v>
      </c>
      <c r="Z69" s="251">
        <f t="shared" ref="Z69:Z76" si="128">W69*K69</f>
        <v>0</v>
      </c>
      <c r="AA69" s="444">
        <f t="shared" ref="AA69:AA76" si="129">X69*L69</f>
        <v>0</v>
      </c>
    </row>
    <row r="70" spans="2:27" ht="14.5">
      <c r="B70" s="233" t="str">
        <f t="shared" ref="B70:E70" si="130">B62</f>
        <v>CWTNGAE1</v>
      </c>
      <c r="C70" s="233" t="str">
        <f t="shared" si="130"/>
        <v>Commercial Water Hot Technology   - Natural Gas - Existing 1</v>
      </c>
      <c r="D70" s="233" t="str">
        <f t="shared" si="130"/>
        <v>COMNGA,COMBGA</v>
      </c>
      <c r="E70" s="233" t="str">
        <f t="shared" si="130"/>
        <v>CWDEM</v>
      </c>
      <c r="F70" s="566">
        <f t="shared" ref="F70:F76" si="131">F62+O70</f>
        <v>2048</v>
      </c>
      <c r="G70" s="625">
        <v>0</v>
      </c>
      <c r="H70" s="625">
        <v>0</v>
      </c>
      <c r="I70" s="625">
        <v>0</v>
      </c>
      <c r="J70" s="460">
        <f t="shared" ref="J70:L70" si="132">J62</f>
        <v>0.72</v>
      </c>
      <c r="K70" s="460">
        <f t="shared" si="132"/>
        <v>0.72</v>
      </c>
      <c r="L70" s="460">
        <f t="shared" si="132"/>
        <v>0.72</v>
      </c>
      <c r="M70" s="244">
        <f t="shared" si="65"/>
        <v>3.1536000000000002E-2</v>
      </c>
      <c r="N70" s="458">
        <v>1</v>
      </c>
      <c r="O70" s="245">
        <v>30</v>
      </c>
      <c r="P70" s="227"/>
      <c r="Q70" s="227"/>
      <c r="R70" s="268" t="str">
        <f t="shared" si="116"/>
        <v>Hot Water</v>
      </c>
      <c r="S70" s="592" t="s">
        <v>843</v>
      </c>
      <c r="T70" s="246" t="s">
        <v>167</v>
      </c>
      <c r="U70" s="246">
        <v>2018</v>
      </c>
      <c r="V70" s="432" cm="1">
        <f t="array" ref="V70">_xlfn.IFNA(INDEX('Data manipulation'!$C$23:$N$128,MATCH($S70&amp;$R70,'Data manipulation'!$B$23:$B$128&amp;'Data manipulation'!$A$23:$A$128,0),MATCH($U70,'Data manipulation'!$C$22:$N$22,0))/1000,0)*SUMIFS('Regional split'!$F$4:$F$6,'Regional split'!$B$4:$B$6,V$4)</f>
        <v>98.85141137085067</v>
      </c>
      <c r="W70" s="432" cm="1">
        <f t="array" ref="W70">_xlfn.IFNA(INDEX('Data manipulation'!$C$23:$N$128,MATCH($S70&amp;$R70,'Data manipulation'!$B$23:$B$128&amp;'Data manipulation'!$A$23:$A$128,0),MATCH($U70,'Data manipulation'!$C$22:$N$22,0))/1000,0)*SUMIFS('Regional split'!$F$4:$F$6,'Regional split'!$B$4:$B$6,W$4)</f>
        <v>0</v>
      </c>
      <c r="X70" s="432" cm="1">
        <f t="array" ref="X70">_xlfn.IFNA(INDEX('Data manipulation'!$C$23:$N$128,MATCH($S70&amp;$R70,'Data manipulation'!$B$23:$B$128&amp;'Data manipulation'!$A$23:$A$128,0),MATCH($U70,'Data manipulation'!$C$22:$N$22,0))/1000,0)*SUMIFS('Regional split'!$F$4:$F$6,'Regional split'!$B$4:$B$6,X$4)</f>
        <v>0</v>
      </c>
      <c r="Y70" s="443">
        <f t="shared" si="112"/>
        <v>71.173016187012479</v>
      </c>
      <c r="Z70" s="251">
        <f t="shared" si="128"/>
        <v>0</v>
      </c>
      <c r="AA70" s="444">
        <f t="shared" si="129"/>
        <v>0</v>
      </c>
    </row>
    <row r="71" spans="2:27" ht="15" customHeight="1">
      <c r="B71" s="233" t="str">
        <f>B63</f>
        <v>CWTDSLE1</v>
      </c>
      <c r="C71" s="233" t="str">
        <f t="shared" ref="C71:E71" si="133">C63</f>
        <v>Commercial Water Hot Technology   - Diesel - Existing 1</v>
      </c>
      <c r="D71" s="233" t="str">
        <f t="shared" si="133"/>
        <v>COMDSL,COMDSB</v>
      </c>
      <c r="E71" s="233" t="str">
        <f t="shared" si="133"/>
        <v>CWDEM</v>
      </c>
      <c r="F71" s="566">
        <f t="shared" si="131"/>
        <v>2048</v>
      </c>
      <c r="G71" s="625">
        <v>0</v>
      </c>
      <c r="H71" s="625">
        <v>0</v>
      </c>
      <c r="I71" s="625">
        <v>0</v>
      </c>
      <c r="J71" s="460">
        <v>0.71</v>
      </c>
      <c r="K71" s="460">
        <v>0.71</v>
      </c>
      <c r="L71" s="460">
        <v>0.71</v>
      </c>
      <c r="M71" s="244">
        <f t="shared" si="65"/>
        <v>3.1536000000000002E-2</v>
      </c>
      <c r="N71" s="458">
        <v>1</v>
      </c>
      <c r="O71" s="245">
        <v>30</v>
      </c>
      <c r="P71" s="227"/>
      <c r="Q71" s="268"/>
      <c r="R71" s="268" t="str">
        <f t="shared" ref="R71:R76" si="134">R70</f>
        <v>Hot Water</v>
      </c>
      <c r="S71" s="592" t="s">
        <v>842</v>
      </c>
      <c r="T71" s="246" t="s">
        <v>852</v>
      </c>
      <c r="U71" s="246">
        <v>2018</v>
      </c>
      <c r="V71" s="432" cm="1">
        <f t="array" ref="V71">_xlfn.IFNA(INDEX('Data manipulation'!$C$23:$N$128,MATCH($S71&amp;$R71,'Data manipulation'!$B$23:$B$128&amp;'Data manipulation'!$A$23:$A$128,0),MATCH($U71,'Data manipulation'!$C$22:$N$22,0))/1000,0)*SUMIFS('Regional split'!$F$4:$F$6,'Regional split'!$B$4:$B$6,V$4)</f>
        <v>0</v>
      </c>
      <c r="W71" s="432" cm="1">
        <f t="array" ref="W71">_xlfn.IFNA(INDEX('Data manipulation'!$C$23:$N$128,MATCH($S71&amp;$R71,'Data manipulation'!$B$23:$B$128&amp;'Data manipulation'!$A$23:$A$128,0),MATCH($U71,'Data manipulation'!$C$22:$N$22,0))/1000,0)*SUMIFS('Regional split'!$F$4:$F$6,'Regional split'!$B$4:$B$6,W$4)</f>
        <v>0</v>
      </c>
      <c r="X71" s="432" cm="1">
        <f t="array" ref="X71">_xlfn.IFNA(INDEX('Data manipulation'!$C$23:$N$128,MATCH($S71&amp;$R71,'Data manipulation'!$B$23:$B$128&amp;'Data manipulation'!$A$23:$A$128,0),MATCH($U71,'Data manipulation'!$C$22:$N$22,0))/1000,0)*SUMIFS('Regional split'!$F$4:$F$6,'Regional split'!$B$4:$B$6,X$4)</f>
        <v>0</v>
      </c>
      <c r="Y71" s="443">
        <f t="shared" si="112"/>
        <v>0</v>
      </c>
      <c r="Z71" s="251">
        <f t="shared" si="128"/>
        <v>0</v>
      </c>
      <c r="AA71" s="444">
        <f t="shared" si="129"/>
        <v>0</v>
      </c>
    </row>
    <row r="72" spans="2:27" ht="15" customHeight="1">
      <c r="B72" s="233" t="str">
        <f t="shared" ref="B72:E72" si="135">B64</f>
        <v>CWTSOLE1</v>
      </c>
      <c r="C72" s="233" t="str">
        <f t="shared" si="135"/>
        <v>Commercial Water Hot Technology   - Solar - Existing 1</v>
      </c>
      <c r="D72" s="233" t="str">
        <f t="shared" si="135"/>
        <v>COMSOL</v>
      </c>
      <c r="E72" s="233" t="str">
        <f t="shared" si="135"/>
        <v>CWDEM</v>
      </c>
      <c r="F72" s="566">
        <f t="shared" si="131"/>
        <v>2048</v>
      </c>
      <c r="G72" s="625">
        <v>0</v>
      </c>
      <c r="H72" s="625">
        <v>0</v>
      </c>
      <c r="I72" s="625">
        <v>0</v>
      </c>
      <c r="J72" s="460">
        <v>1</v>
      </c>
      <c r="K72" s="460">
        <v>1</v>
      </c>
      <c r="L72" s="460">
        <v>1</v>
      </c>
      <c r="M72" s="244">
        <f t="shared" si="65"/>
        <v>3.1536000000000002E-2</v>
      </c>
      <c r="N72" s="458">
        <v>1</v>
      </c>
      <c r="O72" s="245">
        <v>30</v>
      </c>
      <c r="P72" s="227"/>
      <c r="Q72" s="268"/>
      <c r="R72" s="268" t="str">
        <f t="shared" si="134"/>
        <v>Hot Water</v>
      </c>
      <c r="S72" s="581" t="s">
        <v>818</v>
      </c>
      <c r="T72" s="246" t="s">
        <v>168</v>
      </c>
      <c r="U72" s="246">
        <v>2018</v>
      </c>
      <c r="V72" s="432" cm="1">
        <f t="array" ref="V72">_xlfn.IFNA(INDEX('Data manipulation'!$C$23:$N$128,MATCH($S72&amp;$R72,'Data manipulation'!$B$23:$B$128&amp;'Data manipulation'!$A$23:$A$128,0),MATCH($U72,'Data manipulation'!$C$22:$N$22,0))/1000,0)*SUMIFS('Regional split'!$F$4:$F$6,'Regional split'!$B$4:$B$6,V$4)</f>
        <v>1.160115</v>
      </c>
      <c r="W72" s="432" cm="1">
        <f t="array" ref="W72">_xlfn.IFNA(INDEX('Data manipulation'!$C$23:$N$128,MATCH($S72&amp;$R72,'Data manipulation'!$B$23:$B$128&amp;'Data manipulation'!$A$23:$A$128,0),MATCH($U72,'Data manipulation'!$C$22:$N$22,0))/1000,0)*SUMIFS('Regional split'!$F$4:$F$6,'Regional split'!$B$4:$B$6,W$4)</f>
        <v>0</v>
      </c>
      <c r="X72" s="432" cm="1">
        <f t="array" ref="X72">_xlfn.IFNA(INDEX('Data manipulation'!$C$23:$N$128,MATCH($S72&amp;$R72,'Data manipulation'!$B$23:$B$128&amp;'Data manipulation'!$A$23:$A$128,0),MATCH($U72,'Data manipulation'!$C$22:$N$22,0))/1000,0)*SUMIFS('Regional split'!$F$4:$F$6,'Regional split'!$B$4:$B$6,X$4)</f>
        <v>0</v>
      </c>
      <c r="Y72" s="443">
        <f t="shared" si="112"/>
        <v>1.160115</v>
      </c>
      <c r="Z72" s="251">
        <f t="shared" si="128"/>
        <v>0</v>
      </c>
      <c r="AA72" s="444">
        <f t="shared" si="129"/>
        <v>0</v>
      </c>
    </row>
    <row r="73" spans="2:27" ht="15" customHeight="1">
      <c r="B73" s="233" t="str">
        <f t="shared" ref="B73:E73" si="136">B65</f>
        <v>CWTELCHE1</v>
      </c>
      <c r="C73" s="233" t="str">
        <f t="shared" si="136"/>
        <v>Commercial Water Hot Technology   - Electricity Heating - Existing 1</v>
      </c>
      <c r="D73" s="233" t="str">
        <f t="shared" si="136"/>
        <v>COMELCH</v>
      </c>
      <c r="E73" s="233" t="str">
        <f t="shared" si="136"/>
        <v>CWDEM</v>
      </c>
      <c r="F73" s="566">
        <f t="shared" si="131"/>
        <v>2048</v>
      </c>
      <c r="G73" s="625">
        <v>0</v>
      </c>
      <c r="H73" s="625">
        <v>0</v>
      </c>
      <c r="I73" s="625">
        <v>0</v>
      </c>
      <c r="J73" s="460">
        <v>2.3199999999999998</v>
      </c>
      <c r="K73" s="460">
        <v>2.3199999999999998</v>
      </c>
      <c r="L73" s="460">
        <v>2.3199999999999998</v>
      </c>
      <c r="M73" s="244">
        <f t="shared" si="65"/>
        <v>3.1536000000000002E-2</v>
      </c>
      <c r="N73" s="458">
        <v>1</v>
      </c>
      <c r="O73" s="245">
        <v>30</v>
      </c>
      <c r="P73" s="227"/>
      <c r="Q73" s="268"/>
      <c r="R73" s="268" t="str">
        <f t="shared" si="134"/>
        <v>Hot Water</v>
      </c>
      <c r="S73" s="581" t="s">
        <v>817</v>
      </c>
      <c r="T73" s="246" t="s">
        <v>853</v>
      </c>
      <c r="U73" s="246">
        <v>2018</v>
      </c>
      <c r="V73" s="432" cm="1">
        <f t="array" ref="V73">_xlfn.IFNA(INDEX('Data manipulation'!$C$23:$N$128,MATCH($S73&amp;$R73,'Data manipulation'!$B$23:$B$128&amp;'Data manipulation'!$A$23:$A$128,0),MATCH($U73,'Data manipulation'!$C$22:$N$22,0))/1000,0)*SUMIFS('Regional split'!$F$4:$F$6,'Regional split'!$B$4:$B$6,V$4)</f>
        <v>0.32949000000000006</v>
      </c>
      <c r="W73" s="432" cm="1">
        <f t="array" ref="W73">_xlfn.IFNA(INDEX('Data manipulation'!$C$23:$N$128,MATCH($S73&amp;$R73,'Data manipulation'!$B$23:$B$128&amp;'Data manipulation'!$A$23:$A$128,0),MATCH($U73,'Data manipulation'!$C$22:$N$22,0))/1000,0)*SUMIFS('Regional split'!$F$4:$F$6,'Regional split'!$B$4:$B$6,W$4)</f>
        <v>0</v>
      </c>
      <c r="X73" s="432" cm="1">
        <f t="array" ref="X73">_xlfn.IFNA(INDEX('Data manipulation'!$C$23:$N$128,MATCH($S73&amp;$R73,'Data manipulation'!$B$23:$B$128&amp;'Data manipulation'!$A$23:$A$128,0),MATCH($U73,'Data manipulation'!$C$22:$N$22,0))/1000,0)*SUMIFS('Regional split'!$F$4:$F$6,'Regional split'!$B$4:$B$6,X$4)</f>
        <v>0</v>
      </c>
      <c r="Y73" s="443">
        <f t="shared" si="112"/>
        <v>0.76441680000000012</v>
      </c>
      <c r="Z73" s="251">
        <f t="shared" si="128"/>
        <v>0</v>
      </c>
      <c r="AA73" s="444">
        <f t="shared" si="129"/>
        <v>0</v>
      </c>
    </row>
    <row r="74" spans="2:27" ht="15" customHeight="1">
      <c r="B74" s="233" t="str">
        <f t="shared" ref="B74:E74" si="137">B66</f>
        <v>CWTFIWE1</v>
      </c>
      <c r="C74" s="233" t="str">
        <f t="shared" si="137"/>
        <v>Commercial Water Hot Technology   - Fire wood - Existing 1</v>
      </c>
      <c r="D74" s="233" t="str">
        <f t="shared" si="137"/>
        <v>COMFIW</v>
      </c>
      <c r="E74" s="233" t="str">
        <f t="shared" si="137"/>
        <v>CWDEM</v>
      </c>
      <c r="F74" s="566">
        <f t="shared" si="131"/>
        <v>2048</v>
      </c>
      <c r="G74" s="625">
        <v>0</v>
      </c>
      <c r="H74" s="625">
        <v>0</v>
      </c>
      <c r="I74" s="625">
        <v>0</v>
      </c>
      <c r="J74" s="460">
        <v>0.65</v>
      </c>
      <c r="K74" s="460">
        <v>0.65</v>
      </c>
      <c r="L74" s="460">
        <v>0.65</v>
      </c>
      <c r="M74" s="244">
        <f t="shared" si="65"/>
        <v>3.1536000000000002E-2</v>
      </c>
      <c r="N74" s="458">
        <v>1</v>
      </c>
      <c r="O74" s="245">
        <v>30</v>
      </c>
      <c r="P74" s="227"/>
      <c r="Q74" s="268"/>
      <c r="R74" s="268" t="str">
        <f t="shared" si="134"/>
        <v>Hot Water</v>
      </c>
      <c r="S74" s="581" t="s">
        <v>816</v>
      </c>
      <c r="T74" s="246" t="s">
        <v>199</v>
      </c>
      <c r="U74" s="246">
        <v>2018</v>
      </c>
      <c r="V74" s="432" cm="1">
        <f t="array" ref="V74">_xlfn.IFNA(INDEX('Data manipulation'!$C$23:$N$128,MATCH($S74&amp;$R74,'Data manipulation'!$B$23:$B$128&amp;'Data manipulation'!$A$23:$A$128,0),MATCH($U74,'Data manipulation'!$C$22:$N$22,0))/1000,0)*SUMIFS('Regional split'!$F$4:$F$6,'Regional split'!$B$4:$B$6,V$4)</f>
        <v>8.1559231469320181</v>
      </c>
      <c r="W74" s="432" cm="1">
        <f t="array" ref="W74">_xlfn.IFNA(INDEX('Data manipulation'!$C$23:$N$128,MATCH($S74&amp;$R74,'Data manipulation'!$B$23:$B$128&amp;'Data manipulation'!$A$23:$A$128,0),MATCH($U74,'Data manipulation'!$C$22:$N$22,0))/1000,0)*SUMIFS('Regional split'!$F$4:$F$6,'Regional split'!$B$4:$B$6,W$4)</f>
        <v>0</v>
      </c>
      <c r="X74" s="432" cm="1">
        <f t="array" ref="X74">_xlfn.IFNA(INDEX('Data manipulation'!$C$23:$N$128,MATCH($S74&amp;$R74,'Data manipulation'!$B$23:$B$128&amp;'Data manipulation'!$A$23:$A$128,0),MATCH($U74,'Data manipulation'!$C$22:$N$22,0))/1000,0)*SUMIFS('Regional split'!$F$4:$F$6,'Regional split'!$B$4:$B$6,X$4)</f>
        <v>0</v>
      </c>
      <c r="Y74" s="443">
        <f t="shared" si="112"/>
        <v>5.3013500455058118</v>
      </c>
      <c r="Z74" s="251">
        <f t="shared" si="128"/>
        <v>0</v>
      </c>
      <c r="AA74" s="444">
        <f t="shared" si="129"/>
        <v>0</v>
      </c>
    </row>
    <row r="75" spans="2:27" ht="15" customHeight="1">
      <c r="B75" s="233" t="str">
        <f t="shared" ref="B75:E75" si="138">B67</f>
        <v>CWTELCWE1</v>
      </c>
      <c r="C75" s="233" t="str">
        <f t="shared" si="138"/>
        <v>Commercial Water Hot Technology   - Electricity Water Heating - Existing 1</v>
      </c>
      <c r="D75" s="233" t="str">
        <f t="shared" si="138"/>
        <v>COMELCW</v>
      </c>
      <c r="E75" s="233" t="str">
        <f t="shared" si="138"/>
        <v>CWDEM</v>
      </c>
      <c r="F75" s="566">
        <f t="shared" si="131"/>
        <v>2048</v>
      </c>
      <c r="G75" s="625">
        <v>0</v>
      </c>
      <c r="H75" s="625">
        <v>0</v>
      </c>
      <c r="I75" s="625">
        <v>0</v>
      </c>
      <c r="J75" s="460">
        <v>1</v>
      </c>
      <c r="K75" s="460">
        <v>1</v>
      </c>
      <c r="L75" s="460">
        <v>1</v>
      </c>
      <c r="M75" s="244">
        <f t="shared" si="65"/>
        <v>3.1536000000000002E-2</v>
      </c>
      <c r="N75" s="458">
        <v>1</v>
      </c>
      <c r="O75" s="245">
        <v>30</v>
      </c>
      <c r="P75" s="227"/>
      <c r="Q75" s="268"/>
      <c r="R75" s="268" t="str">
        <f t="shared" si="134"/>
        <v>Hot Water</v>
      </c>
      <c r="S75" s="581" t="s">
        <v>73</v>
      </c>
      <c r="T75" s="246" t="s">
        <v>856</v>
      </c>
      <c r="U75" s="246">
        <v>2018</v>
      </c>
      <c r="V75" s="432" cm="1">
        <f t="array" ref="V75">_xlfn.IFNA(INDEX('Data manipulation'!$C$23:$N$128,MATCH($S75&amp;$R75,'Data manipulation'!$B$23:$B$128&amp;'Data manipulation'!$A$23:$A$128,0),MATCH($U75,'Data manipulation'!$C$22:$N$22,0))/1000,0)*SUMIFS('Regional split'!$F$4:$F$6,'Regional split'!$B$4:$B$6,V$4)</f>
        <v>55.193101807836008</v>
      </c>
      <c r="W75" s="432" cm="1">
        <f t="array" ref="W75">_xlfn.IFNA(INDEX('Data manipulation'!$C$23:$N$128,MATCH($S75&amp;$R75,'Data manipulation'!$B$23:$B$128&amp;'Data manipulation'!$A$23:$A$128,0),MATCH($U75,'Data manipulation'!$C$22:$N$22,0))/1000,0)*SUMIFS('Regional split'!$F$4:$F$6,'Regional split'!$B$4:$B$6,W$4)</f>
        <v>0</v>
      </c>
      <c r="X75" s="432" cm="1">
        <f t="array" ref="X75">_xlfn.IFNA(INDEX('Data manipulation'!$C$23:$N$128,MATCH($S75&amp;$R75,'Data manipulation'!$B$23:$B$128&amp;'Data manipulation'!$A$23:$A$128,0),MATCH($U75,'Data manipulation'!$C$22:$N$22,0))/1000,0)*SUMIFS('Regional split'!$F$4:$F$6,'Regional split'!$B$4:$B$6,X$4)</f>
        <v>0</v>
      </c>
      <c r="Y75" s="443">
        <f t="shared" si="112"/>
        <v>55.193101807836008</v>
      </c>
      <c r="Z75" s="251">
        <f t="shared" si="128"/>
        <v>0</v>
      </c>
      <c r="AA75" s="444">
        <f t="shared" si="129"/>
        <v>0</v>
      </c>
    </row>
    <row r="76" spans="2:27" ht="15" customHeight="1">
      <c r="B76" s="233" t="str">
        <f t="shared" ref="B76:E76" si="139">B68</f>
        <v>CWTHCEE1</v>
      </c>
      <c r="C76" s="233" t="str">
        <f t="shared" si="139"/>
        <v>Commercial Water Hot Technology   - District heating Central - Existing 1</v>
      </c>
      <c r="D76" s="233" t="str">
        <f t="shared" si="139"/>
        <v>COMELCW</v>
      </c>
      <c r="E76" s="233" t="str">
        <f t="shared" si="139"/>
        <v>CWDEM</v>
      </c>
      <c r="F76" s="566">
        <f t="shared" si="131"/>
        <v>2048</v>
      </c>
      <c r="G76" s="625">
        <v>0</v>
      </c>
      <c r="H76" s="625">
        <v>0</v>
      </c>
      <c r="I76" s="625">
        <v>0</v>
      </c>
      <c r="J76" s="460">
        <v>0.95</v>
      </c>
      <c r="K76" s="460">
        <v>0.95</v>
      </c>
      <c r="L76" s="460">
        <v>0.95</v>
      </c>
      <c r="M76" s="244">
        <f t="shared" si="65"/>
        <v>3.1536000000000002E-2</v>
      </c>
      <c r="N76" s="458">
        <v>1</v>
      </c>
      <c r="O76" s="245">
        <v>30</v>
      </c>
      <c r="P76" s="227"/>
      <c r="Q76" s="268"/>
      <c r="R76" s="268" t="str">
        <f t="shared" si="134"/>
        <v>Hot Water</v>
      </c>
      <c r="S76" s="581" t="s">
        <v>198</v>
      </c>
      <c r="T76" s="246" t="s">
        <v>198</v>
      </c>
      <c r="U76" s="246">
        <v>2018</v>
      </c>
      <c r="V76" s="432" cm="1">
        <f t="array" ref="V76">_xlfn.IFNA(INDEX('Data manipulation'!$C$23:$N$128,MATCH($S76&amp;$R76,'Data manipulation'!$B$23:$B$128&amp;'Data manipulation'!$A$23:$A$128,0),MATCH($U76,'Data manipulation'!$C$22:$N$22,0))/1000,0)*SUMIFS('Regional split'!$F$4:$F$6,'Regional split'!$B$4:$B$6,V$4)</f>
        <v>4.9018011915891275</v>
      </c>
      <c r="W76" s="432" cm="1">
        <f t="array" ref="W76">_xlfn.IFNA(INDEX('Data manipulation'!$C$23:$N$128,MATCH($S76&amp;$R76,'Data manipulation'!$B$23:$B$128&amp;'Data manipulation'!$A$23:$A$128,0),MATCH($U76,'Data manipulation'!$C$22:$N$22,0))/1000,0)*SUMIFS('Regional split'!$F$4:$F$6,'Regional split'!$B$4:$B$6,W$4)</f>
        <v>0</v>
      </c>
      <c r="X76" s="432" cm="1">
        <f t="array" ref="X76">_xlfn.IFNA(INDEX('Data manipulation'!$C$23:$N$128,MATCH($S76&amp;$R76,'Data manipulation'!$B$23:$B$128&amp;'Data manipulation'!$A$23:$A$128,0),MATCH($U76,'Data manipulation'!$C$22:$N$22,0))/1000,0)*SUMIFS('Regional split'!$F$4:$F$6,'Regional split'!$B$4:$B$6,X$4)</f>
        <v>0</v>
      </c>
      <c r="Y76" s="443">
        <f t="shared" si="112"/>
        <v>4.6567111320096712</v>
      </c>
      <c r="Z76" s="251">
        <f t="shared" si="128"/>
        <v>0</v>
      </c>
      <c r="AA76" s="444">
        <f t="shared" si="129"/>
        <v>0</v>
      </c>
    </row>
  </sheetData>
  <phoneticPr fontId="124"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4E4CA-DA96-4B42-A10F-4F4D485FFFCF}">
  <sheetPr>
    <tabColor rgb="FF92D050"/>
  </sheetPr>
  <dimension ref="B2:AD1576"/>
  <sheetViews>
    <sheetView zoomScale="80" zoomScaleNormal="80" workbookViewId="0">
      <selection activeCell="H14" sqref="H14"/>
    </sheetView>
  </sheetViews>
  <sheetFormatPr defaultColWidth="8.81640625" defaultRowHeight="13"/>
  <cols>
    <col min="2" max="2" width="13.36328125" bestFit="1" customWidth="1"/>
    <col min="3" max="3" width="66.81640625" bestFit="1" customWidth="1"/>
    <col min="4" max="4" width="10.453125" style="227" bestFit="1" customWidth="1"/>
    <col min="5" max="5" width="13.453125" style="227" bestFit="1" customWidth="1"/>
    <col min="6" max="6" width="14" bestFit="1" customWidth="1"/>
    <col min="7" max="7" width="9.453125" bestFit="1" customWidth="1"/>
    <col min="21" max="21" width="16.1796875" bestFit="1" customWidth="1"/>
    <col min="22" max="22" width="14.6328125" bestFit="1" customWidth="1"/>
    <col min="23" max="23" width="6.6328125" customWidth="1"/>
  </cols>
  <sheetData>
    <row r="2" spans="2:30" ht="15" thickBot="1">
      <c r="B2" s="226"/>
      <c r="C2" s="227"/>
      <c r="F2" s="228"/>
      <c r="G2" s="229" t="s">
        <v>161</v>
      </c>
      <c r="H2" s="229"/>
      <c r="I2" s="271">
        <v>1.05</v>
      </c>
      <c r="J2" s="271"/>
      <c r="K2" s="271"/>
      <c r="L2" s="230"/>
      <c r="M2" s="230"/>
      <c r="N2" s="230"/>
      <c r="O2" s="231"/>
      <c r="P2" s="232"/>
      <c r="Q2" s="232"/>
      <c r="R2" s="227"/>
      <c r="S2" s="227"/>
      <c r="T2" s="233"/>
      <c r="U2" s="295"/>
      <c r="V2" s="233"/>
      <c r="W2" s="233"/>
      <c r="X2" s="233"/>
      <c r="Y2" s="233"/>
      <c r="Z2" s="233"/>
      <c r="AA2" s="233"/>
      <c r="AB2" s="227"/>
      <c r="AC2" s="227"/>
    </row>
    <row r="3" spans="2:30" ht="14.5">
      <c r="B3" s="226"/>
      <c r="C3" s="227"/>
      <c r="F3" s="228"/>
      <c r="G3" s="229"/>
      <c r="H3" s="229"/>
      <c r="I3" s="271"/>
      <c r="J3" s="271"/>
      <c r="K3" s="271"/>
      <c r="L3" s="230"/>
      <c r="M3" s="230"/>
      <c r="N3" s="230"/>
      <c r="O3" s="232"/>
      <c r="P3" s="227"/>
      <c r="Q3" s="227"/>
      <c r="R3" s="233"/>
      <c r="S3" s="295"/>
      <c r="T3" s="233"/>
      <c r="U3" s="233"/>
      <c r="V3" s="266" t="s">
        <v>173</v>
      </c>
      <c r="W3" s="233"/>
      <c r="X3" s="233"/>
      <c r="Y3" s="233"/>
      <c r="Z3" s="227"/>
      <c r="AA3" s="227"/>
      <c r="AB3" s="227"/>
      <c r="AC3" s="227"/>
    </row>
    <row r="4" spans="2:30" ht="13.5" thickBot="1">
      <c r="B4" s="227"/>
      <c r="C4" s="227"/>
      <c r="F4" s="230"/>
      <c r="G4" s="230"/>
      <c r="H4" s="234" t="s">
        <v>8</v>
      </c>
      <c r="I4" s="230"/>
      <c r="J4" s="234"/>
      <c r="K4" s="234"/>
      <c r="L4" s="234"/>
      <c r="M4" s="234"/>
      <c r="N4" s="234"/>
      <c r="O4" s="235"/>
      <c r="P4" s="227"/>
      <c r="Q4" s="233"/>
      <c r="R4" s="233"/>
      <c r="S4" s="268"/>
      <c r="T4" s="233"/>
      <c r="U4" s="233"/>
      <c r="V4" s="267">
        <v>3.5999999999999999E-3</v>
      </c>
      <c r="W4" s="233"/>
      <c r="X4" s="436" t="s">
        <v>938</v>
      </c>
      <c r="Y4" s="437" t="s">
        <v>948</v>
      </c>
      <c r="Z4" s="438" t="s">
        <v>951</v>
      </c>
      <c r="AA4" s="436" t="s">
        <v>938</v>
      </c>
      <c r="AB4" s="437" t="s">
        <v>948</v>
      </c>
      <c r="AC4" s="438" t="s">
        <v>951</v>
      </c>
    </row>
    <row r="5" spans="2:30" ht="26">
      <c r="B5" s="238" t="s">
        <v>2</v>
      </c>
      <c r="C5" s="238" t="s">
        <v>26</v>
      </c>
      <c r="D5" s="421" t="s">
        <v>745</v>
      </c>
      <c r="E5" s="421" t="s">
        <v>746</v>
      </c>
      <c r="F5" s="238" t="s">
        <v>14</v>
      </c>
      <c r="G5" s="238" t="s">
        <v>15</v>
      </c>
      <c r="H5" s="421" t="s">
        <v>94</v>
      </c>
      <c r="I5" s="239" t="s">
        <v>926</v>
      </c>
      <c r="J5" s="239" t="s">
        <v>939</v>
      </c>
      <c r="K5" s="239" t="s">
        <v>952</v>
      </c>
      <c r="L5" s="240" t="s">
        <v>934</v>
      </c>
      <c r="M5" s="240" t="s">
        <v>947</v>
      </c>
      <c r="N5" s="240" t="s">
        <v>953</v>
      </c>
      <c r="O5" s="238" t="s">
        <v>0</v>
      </c>
      <c r="P5" s="238" t="s">
        <v>164</v>
      </c>
      <c r="Q5" s="239" t="s">
        <v>93</v>
      </c>
      <c r="R5" s="227"/>
      <c r="S5" s="227"/>
      <c r="T5" s="227"/>
      <c r="U5" s="227"/>
      <c r="V5" s="227"/>
      <c r="W5" s="227"/>
      <c r="X5" s="273" t="s">
        <v>75</v>
      </c>
      <c r="Y5" s="272" t="s">
        <v>75</v>
      </c>
      <c r="Z5" s="439" t="s">
        <v>75</v>
      </c>
      <c r="AA5" s="273" t="s">
        <v>71</v>
      </c>
      <c r="AB5" s="272" t="s">
        <v>71</v>
      </c>
      <c r="AC5" s="439" t="s">
        <v>71</v>
      </c>
    </row>
    <row r="6" spans="2:30" ht="21.5" thickBot="1">
      <c r="B6" s="242" t="s">
        <v>27</v>
      </c>
      <c r="C6" s="242"/>
      <c r="D6" s="243"/>
      <c r="E6" s="243"/>
      <c r="F6" s="242"/>
      <c r="G6" s="242"/>
      <c r="H6" s="243"/>
      <c r="I6" s="243" t="s">
        <v>65</v>
      </c>
      <c r="J6" s="243" t="s">
        <v>65</v>
      </c>
      <c r="K6" s="243" t="s">
        <v>65</v>
      </c>
      <c r="L6" s="243" t="s">
        <v>69</v>
      </c>
      <c r="M6" s="243" t="s">
        <v>69</v>
      </c>
      <c r="N6" s="243" t="s">
        <v>69</v>
      </c>
      <c r="O6" s="242"/>
      <c r="P6" s="242" t="s">
        <v>744</v>
      </c>
      <c r="Q6" s="242" t="s">
        <v>94</v>
      </c>
      <c r="R6" s="227"/>
      <c r="S6" s="227"/>
      <c r="T6" s="227"/>
      <c r="U6" s="227"/>
      <c r="V6" s="227"/>
      <c r="W6" s="227" t="s">
        <v>94</v>
      </c>
      <c r="X6" s="275" t="s">
        <v>48</v>
      </c>
      <c r="Y6" s="457" t="s">
        <v>48</v>
      </c>
      <c r="Z6" s="440" t="s">
        <v>48</v>
      </c>
      <c r="AA6" s="275" t="s">
        <v>70</v>
      </c>
      <c r="AB6" s="274" t="s">
        <v>70</v>
      </c>
      <c r="AC6" s="440" t="s">
        <v>70</v>
      </c>
    </row>
    <row r="7" spans="2:30" ht="14.5">
      <c r="B7" s="233" t="str">
        <f>Processes!D97</f>
        <v>CCTUMELCAE1</v>
      </c>
      <c r="C7" s="233" t="str">
        <f>Processes!E97</f>
        <v>Commercial Cooling Technology Urban Multi - Electricity Appliances - Existing 1</v>
      </c>
      <c r="D7" s="227" t="s">
        <v>704</v>
      </c>
      <c r="E7" s="227" t="s">
        <v>102</v>
      </c>
      <c r="F7" s="230" t="str">
        <f>Commodities!$C$30</f>
        <v>COMELCC</v>
      </c>
      <c r="G7" s="230" t="str">
        <f>Commodities!$C$55</f>
        <v>COMCUDB</v>
      </c>
      <c r="H7" s="230">
        <v>2010</v>
      </c>
      <c r="I7" s="250">
        <f>ROUNDUP(AA7/($O7*$P7)*$I$2,1)</f>
        <v>684.6</v>
      </c>
      <c r="J7" s="250">
        <f t="shared" ref="J7:J14" si="0">ROUNDUP(AB7/($O7*$P7)*$I$2,1)</f>
        <v>0</v>
      </c>
      <c r="K7" s="250">
        <f t="shared" ref="K7:K14" si="1">ROUNDUP(AC7/($O7*$P7)*$I$2,1)</f>
        <v>0</v>
      </c>
      <c r="L7" s="460">
        <v>1</v>
      </c>
      <c r="M7" s="460">
        <v>1</v>
      </c>
      <c r="N7" s="460">
        <v>1</v>
      </c>
      <c r="O7" s="244">
        <f t="shared" ref="O7:O10" si="2">31.536/1000</f>
        <v>3.1536000000000002E-2</v>
      </c>
      <c r="P7" s="458">
        <v>0.1</v>
      </c>
      <c r="Q7" s="245">
        <v>30</v>
      </c>
      <c r="R7" s="227"/>
      <c r="S7" s="268"/>
      <c r="T7" s="268"/>
      <c r="U7" s="227" t="s">
        <v>73</v>
      </c>
      <c r="V7" s="254" t="s">
        <v>169</v>
      </c>
      <c r="W7" s="246">
        <v>2011</v>
      </c>
      <c r="X7" s="432">
        <f>_xlfn.IFNA(INDEX('Data manipulation'!$C$110:$O$127,MATCH($U7,'Data manipulation'!$B$110:$B$127,0),MATCH($W7,'Data manipulation'!$C$109:$N$109,0))/1000,0)*SUMIFS('Regional split'!$F$4:$F$6,'Regional split'!$B$4:$B$6,X$4)*SUMIFS('Data manipulation'!$V$46:$V$49,'Data manipulation'!$X$46:$X$49,$E7,'Data manipulation'!$Y$46:$Y$49,$D7)</f>
        <v>2.0559211618303617</v>
      </c>
      <c r="Y7" s="432">
        <f>_xlfn.IFNA(INDEX('Data manipulation'!$C$110:$O$127,MATCH($U7,'Data manipulation'!$B$110:$B$127,0),MATCH($W7,'Data manipulation'!$C$109:$N$109,0))/1000,0)*SUMIFS('Regional split'!$F$4:$F$6,'Regional split'!$B$4:$B$6,Y$4)*SUMIFS('Data manipulation'!$V$46:$V$49,'Data manipulation'!$X$46:$X$49,$E7,'Data manipulation'!$Y$46:$Y$49,$D7)</f>
        <v>0</v>
      </c>
      <c r="Z7" s="432">
        <f>_xlfn.IFNA(INDEX('Data manipulation'!$C$110:$O$127,MATCH($U7,'Data manipulation'!$B$110:$B$127,0),MATCH($W7,'Data manipulation'!$C$109:$N$109,0))/1000,0)*SUMIFS('Regional split'!$F$4:$F$6,'Regional split'!$B$4:$B$6,Z$4)*SUMIFS('Data manipulation'!$V$46:$V$49,'Data manipulation'!$X$46:$X$49,$E7,'Data manipulation'!$Y$46:$Y$49,$D7)</f>
        <v>0</v>
      </c>
      <c r="AA7" s="443">
        <f t="shared" ref="AA7:AC12" si="3">X7*L7</f>
        <v>2.0559211618303617</v>
      </c>
      <c r="AB7" s="251">
        <f t="shared" si="3"/>
        <v>0</v>
      </c>
      <c r="AC7" s="444">
        <f t="shared" si="3"/>
        <v>0</v>
      </c>
    </row>
    <row r="8" spans="2:30" ht="14.5">
      <c r="B8" s="233" t="str">
        <f>Processes!D98</f>
        <v>CCTRMELCAE1</v>
      </c>
      <c r="C8" s="233" t="str">
        <f>Processes!E98</f>
        <v>Commercial Cooling Technology Rural Multi - Electricity Appliances - Existing 1</v>
      </c>
      <c r="D8" s="233" t="s">
        <v>705</v>
      </c>
      <c r="E8" s="233" t="s">
        <v>102</v>
      </c>
      <c r="F8" s="230" t="str">
        <f>Commodities!$C$30</f>
        <v>COMELCC</v>
      </c>
      <c r="G8" s="259" t="str">
        <f>Commodities!$C$56</f>
        <v>COMCRDB</v>
      </c>
      <c r="H8" s="230">
        <v>2010</v>
      </c>
      <c r="I8" s="250">
        <f t="shared" ref="I8:I14" si="4">ROUNDUP(AA8/($O8*$P8)*$I$2,1)</f>
        <v>520</v>
      </c>
      <c r="J8" s="250">
        <f t="shared" si="0"/>
        <v>0</v>
      </c>
      <c r="K8" s="250">
        <f t="shared" si="1"/>
        <v>0</v>
      </c>
      <c r="L8" s="460">
        <v>1</v>
      </c>
      <c r="M8" s="460">
        <v>1</v>
      </c>
      <c r="N8" s="460">
        <v>1</v>
      </c>
      <c r="O8" s="244">
        <f t="shared" si="2"/>
        <v>3.1536000000000002E-2</v>
      </c>
      <c r="P8" s="458">
        <v>0.1</v>
      </c>
      <c r="Q8" s="245">
        <v>30</v>
      </c>
      <c r="R8" s="227"/>
      <c r="S8" s="268"/>
      <c r="T8" s="268"/>
      <c r="U8" s="227" t="s">
        <v>73</v>
      </c>
      <c r="V8" s="254" t="s">
        <v>169</v>
      </c>
      <c r="W8" s="246">
        <v>2011</v>
      </c>
      <c r="X8" s="432">
        <f>_xlfn.IFNA(INDEX('Data manipulation'!$C$110:$O$127,MATCH($U8,'Data manipulation'!$B$110:$B$127,0),MATCH($W8,'Data manipulation'!$C$109:$N$109,0))/1000,0)*SUMIFS('Regional split'!$F$4:$F$6,'Regional split'!$B$4:$B$6,X$4)*SUMIFS('Data manipulation'!$V$46:$V$49,'Data manipulation'!$X$46:$X$49,$E8,'Data manipulation'!$Y$46:$Y$49,$D8)</f>
        <v>1.5615210729140128</v>
      </c>
      <c r="Y8" s="432">
        <f>_xlfn.IFNA(INDEX('Data manipulation'!$C$110:$O$127,MATCH($U8,'Data manipulation'!$B$110:$B$127,0),MATCH($W8,'Data manipulation'!$C$109:$N$109,0))/1000,0)*SUMIFS('Regional split'!$F$4:$F$6,'Regional split'!$B$4:$B$6,Y$4)*SUMIFS('Data manipulation'!$V$46:$V$49,'Data manipulation'!$X$46:$X$49,$E8,'Data manipulation'!$Y$46:$Y$49,$D8)</f>
        <v>0</v>
      </c>
      <c r="Z8" s="432">
        <f>_xlfn.IFNA(INDEX('Data manipulation'!$C$110:$O$127,MATCH($U8,'Data manipulation'!$B$110:$B$127,0),MATCH($W8,'Data manipulation'!$C$109:$N$109,0))/1000,0)*SUMIFS('Regional split'!$F$4:$F$6,'Regional split'!$B$4:$B$6,Z$4)*SUMIFS('Data manipulation'!$V$46:$V$49,'Data manipulation'!$X$46:$X$49,$E8,'Data manipulation'!$Y$46:$Y$49,$D8)</f>
        <v>0</v>
      </c>
      <c r="AA8" s="443">
        <f t="shared" si="3"/>
        <v>1.5615210729140128</v>
      </c>
      <c r="AB8" s="251">
        <f t="shared" si="3"/>
        <v>0</v>
      </c>
      <c r="AC8" s="444">
        <f t="shared" si="3"/>
        <v>0</v>
      </c>
    </row>
    <row r="9" spans="2:30" ht="14.5">
      <c r="B9" s="233" t="str">
        <f>Processes!D99</f>
        <v>CCTUDELCAE1</v>
      </c>
      <c r="C9" s="233" t="str">
        <f>Processes!E99</f>
        <v>Commercial Cooling Technology Urban Detached - Electricity Appliances - Existing 1</v>
      </c>
      <c r="D9" s="227" t="s">
        <v>704</v>
      </c>
      <c r="E9" s="227" t="s">
        <v>747</v>
      </c>
      <c r="F9" s="230" t="str">
        <f>Commodities!$C$30</f>
        <v>COMELCC</v>
      </c>
      <c r="G9" s="259" t="str">
        <f>Commodities!$C$57</f>
        <v>COMCUMB</v>
      </c>
      <c r="H9" s="230">
        <v>2010</v>
      </c>
      <c r="I9" s="250">
        <f t="shared" si="4"/>
        <v>402.6</v>
      </c>
      <c r="J9" s="250">
        <f t="shared" si="0"/>
        <v>0</v>
      </c>
      <c r="K9" s="250">
        <f t="shared" si="1"/>
        <v>0</v>
      </c>
      <c r="L9" s="460">
        <v>1</v>
      </c>
      <c r="M9" s="460">
        <v>1</v>
      </c>
      <c r="N9" s="460">
        <v>1</v>
      </c>
      <c r="O9" s="244">
        <f t="shared" si="2"/>
        <v>3.1536000000000002E-2</v>
      </c>
      <c r="P9" s="458">
        <v>0.1</v>
      </c>
      <c r="Q9" s="245">
        <v>30</v>
      </c>
      <c r="R9" s="227"/>
      <c r="S9" s="268"/>
      <c r="T9" s="268"/>
      <c r="U9" s="227" t="s">
        <v>73</v>
      </c>
      <c r="V9" s="254" t="s">
        <v>169</v>
      </c>
      <c r="W9" s="246">
        <v>2011</v>
      </c>
      <c r="X9" s="432">
        <f>_xlfn.IFNA(INDEX('Data manipulation'!$C$110:$O$127,MATCH($U9,'Data manipulation'!$B$110:$B$127,0),MATCH($W9,'Data manipulation'!$C$109:$N$109,0))/1000,0)*SUMIFS('Regional split'!$F$4:$F$6,'Regional split'!$B$4:$B$6,X$4)*SUMIFS('Data manipulation'!$V$46:$V$49,'Data manipulation'!$X$46:$X$49,$E9,'Data manipulation'!$Y$46:$Y$49,$D9)</f>
        <v>1.209077445171665</v>
      </c>
      <c r="Y9" s="432">
        <f>_xlfn.IFNA(INDEX('Data manipulation'!$C$110:$O$127,MATCH($U9,'Data manipulation'!$B$110:$B$127,0),MATCH($W9,'Data manipulation'!$C$109:$N$109,0))/1000,0)*SUMIFS('Regional split'!$F$4:$F$6,'Regional split'!$B$4:$B$6,Y$4)*SUMIFS('Data manipulation'!$V$46:$V$49,'Data manipulation'!$X$46:$X$49,$E9,'Data manipulation'!$Y$46:$Y$49,$D9)</f>
        <v>0</v>
      </c>
      <c r="Z9" s="432">
        <f>_xlfn.IFNA(INDEX('Data manipulation'!$C$110:$O$127,MATCH($U9,'Data manipulation'!$B$110:$B$127,0),MATCH($W9,'Data manipulation'!$C$109:$N$109,0))/1000,0)*SUMIFS('Regional split'!$F$4:$F$6,'Regional split'!$B$4:$B$6,Z$4)*SUMIFS('Data manipulation'!$V$46:$V$49,'Data manipulation'!$X$46:$X$49,$E9,'Data manipulation'!$Y$46:$Y$49,$D9)</f>
        <v>0</v>
      </c>
      <c r="AA9" s="443">
        <f t="shared" ref="AA9:AA10" si="5">X9*L9</f>
        <v>1.209077445171665</v>
      </c>
      <c r="AB9" s="251">
        <f t="shared" ref="AB9:AB10" si="6">Y9*M9</f>
        <v>0</v>
      </c>
      <c r="AC9" s="444">
        <f t="shared" ref="AC9:AC10" si="7">Z9*N9</f>
        <v>0</v>
      </c>
      <c r="AD9" s="616"/>
    </row>
    <row r="10" spans="2:30" ht="14.5">
      <c r="B10" s="233" t="str">
        <f>Processes!D100</f>
        <v>CCTRDELCAE1</v>
      </c>
      <c r="C10" s="233" t="str">
        <f>Processes!E100</f>
        <v>Commercial Cooling Technology Rural Detached - Electricity Appliances - Existing 1</v>
      </c>
      <c r="D10" s="233" t="s">
        <v>705</v>
      </c>
      <c r="E10" s="233" t="s">
        <v>747</v>
      </c>
      <c r="F10" s="230" t="str">
        <f>Commodities!$C$30</f>
        <v>COMELCC</v>
      </c>
      <c r="G10" s="259" t="str">
        <f>Commodities!$C$58</f>
        <v>COMCRMB</v>
      </c>
      <c r="H10" s="230">
        <v>2010</v>
      </c>
      <c r="I10" s="250">
        <f t="shared" si="4"/>
        <v>22.900000000000002</v>
      </c>
      <c r="J10" s="250">
        <f t="shared" si="0"/>
        <v>0</v>
      </c>
      <c r="K10" s="250">
        <f t="shared" si="1"/>
        <v>0</v>
      </c>
      <c r="L10" s="460">
        <v>1</v>
      </c>
      <c r="M10" s="460">
        <v>1</v>
      </c>
      <c r="N10" s="460">
        <v>1</v>
      </c>
      <c r="O10" s="244">
        <f t="shared" si="2"/>
        <v>3.1536000000000002E-2</v>
      </c>
      <c r="P10" s="458">
        <v>0.1</v>
      </c>
      <c r="Q10" s="245">
        <v>30</v>
      </c>
      <c r="R10" s="227"/>
      <c r="S10" s="268"/>
      <c r="T10" s="268"/>
      <c r="U10" s="227" t="s">
        <v>73</v>
      </c>
      <c r="V10" s="254" t="s">
        <v>169</v>
      </c>
      <c r="W10" s="246">
        <v>2011</v>
      </c>
      <c r="X10" s="432">
        <f>_xlfn.IFNA(INDEX('Data manipulation'!$C$110:$O$127,MATCH($U10,'Data manipulation'!$B$110:$B$127,0),MATCH($W10,'Data manipulation'!$C$109:$N$109,0))/1000,0)*SUMIFS('Regional split'!$F$4:$F$6,'Regional split'!$B$4:$B$6,X$4)*SUMIFS('Data manipulation'!$V$46:$V$49,'Data manipulation'!$X$46:$X$49,$E10,'Data manipulation'!$Y$46:$Y$49,$D10)</f>
        <v>6.8530705394345387E-2</v>
      </c>
      <c r="Y10" s="432">
        <f>_xlfn.IFNA(INDEX('Data manipulation'!$C$110:$O$127,MATCH($U10,'Data manipulation'!$B$110:$B$127,0),MATCH($W10,'Data manipulation'!$C$109:$N$109,0))/1000,0)*SUMIFS('Regional split'!$F$4:$F$6,'Regional split'!$B$4:$B$6,Y$4)*SUMIFS('Data manipulation'!$V$46:$V$49,'Data manipulation'!$X$46:$X$49,$E10,'Data manipulation'!$Y$46:$Y$49,$D10)</f>
        <v>0</v>
      </c>
      <c r="Z10" s="432">
        <f>_xlfn.IFNA(INDEX('Data manipulation'!$C$110:$O$127,MATCH($U10,'Data manipulation'!$B$110:$B$127,0),MATCH($W10,'Data manipulation'!$C$109:$N$109,0))/1000,0)*SUMIFS('Regional split'!$F$4:$F$6,'Regional split'!$B$4:$B$6,Z$4)*SUMIFS('Data manipulation'!$V$46:$V$49,'Data manipulation'!$X$46:$X$49,$E10,'Data manipulation'!$Y$46:$Y$49,$D10)</f>
        <v>0</v>
      </c>
      <c r="AA10" s="443">
        <f t="shared" si="5"/>
        <v>6.8530705394345387E-2</v>
      </c>
      <c r="AB10" s="251">
        <f t="shared" si="6"/>
        <v>0</v>
      </c>
      <c r="AC10" s="444">
        <f t="shared" si="7"/>
        <v>0</v>
      </c>
    </row>
    <row r="11" spans="2:30" ht="14.5">
      <c r="B11" s="233" t="str">
        <f t="shared" ref="B11:G14" si="8">B7</f>
        <v>CCTUMELCAE1</v>
      </c>
      <c r="C11" s="233" t="str">
        <f t="shared" si="8"/>
        <v>Commercial Cooling Technology Urban Multi - Electricity Appliances - Existing 1</v>
      </c>
      <c r="D11" s="227" t="str">
        <f t="shared" si="8"/>
        <v>Urban</v>
      </c>
      <c r="E11" s="227" t="str">
        <f t="shared" si="8"/>
        <v>Detached</v>
      </c>
      <c r="F11" s="233" t="str">
        <f t="shared" si="8"/>
        <v>COMELCC</v>
      </c>
      <c r="G11" s="233" t="str">
        <f t="shared" si="8"/>
        <v>COMCUDB</v>
      </c>
      <c r="H11" s="230">
        <v>2015</v>
      </c>
      <c r="I11" s="250">
        <f>ROUNDUP(AA11/($O11*$P11)*$I$2,1)</f>
        <v>706.80000000000007</v>
      </c>
      <c r="J11" s="250">
        <f t="shared" si="0"/>
        <v>0</v>
      </c>
      <c r="K11" s="250">
        <f t="shared" si="1"/>
        <v>0</v>
      </c>
      <c r="L11" s="460">
        <v>1</v>
      </c>
      <c r="M11" s="460">
        <v>1</v>
      </c>
      <c r="N11" s="460">
        <v>1</v>
      </c>
      <c r="O11" s="244">
        <f t="shared" ref="O11:O22" si="9">31.536/1000</f>
        <v>3.1536000000000002E-2</v>
      </c>
      <c r="P11" s="458">
        <v>0.1</v>
      </c>
      <c r="Q11" s="245">
        <v>30</v>
      </c>
      <c r="R11" s="227"/>
      <c r="S11" s="227"/>
      <c r="T11" s="268"/>
      <c r="U11" s="227" t="s">
        <v>73</v>
      </c>
      <c r="V11" s="254" t="s">
        <v>169</v>
      </c>
      <c r="W11" s="246">
        <v>2015</v>
      </c>
      <c r="X11" s="432">
        <f>_xlfn.IFNA(INDEX('Data manipulation'!$C$110:$O$127,MATCH($U11,'Data manipulation'!$B$110:$B$127,0),MATCH($W11,'Data manipulation'!$C$109:$N$109,0))/1000,0)*SUMIFS('Regional split'!$F$4:$F$6,'Regional split'!$B$4:$B$6,X$4)*SUMIFS('Data manipulation'!$V$46:$V$49,'Data manipulation'!$X$46:$X$49,$E11,'Data manipulation'!$Y$46:$Y$49,$D11)</f>
        <v>2.1227394291620159</v>
      </c>
      <c r="Y11" s="432">
        <f>_xlfn.IFNA(INDEX('Data manipulation'!$C$110:$O$127,MATCH($U11,'Data manipulation'!$B$110:$B$127,0),MATCH($W11,'Data manipulation'!$C$109:$N$109,0))/1000,0)*SUMIFS('Regional split'!$F$4:$F$6,'Regional split'!$B$4:$B$6,Y$4)*SUMIFS('Data manipulation'!$V$46:$V$49,'Data manipulation'!$X$46:$X$49,$E11,'Data manipulation'!$Y$46:$Y$49,$D11)</f>
        <v>0</v>
      </c>
      <c r="Z11" s="432">
        <f>_xlfn.IFNA(INDEX('Data manipulation'!$C$110:$O$127,MATCH($U11,'Data manipulation'!$B$110:$B$127,0),MATCH($W11,'Data manipulation'!$C$109:$N$109,0))/1000,0)*SUMIFS('Regional split'!$F$4:$F$6,'Regional split'!$B$4:$B$6,Z$4)*SUMIFS('Data manipulation'!$V$46:$V$49,'Data manipulation'!$X$46:$X$49,$E11,'Data manipulation'!$Y$46:$Y$49,$D11)</f>
        <v>0</v>
      </c>
      <c r="AA11" s="443">
        <f t="shared" si="3"/>
        <v>2.1227394291620159</v>
      </c>
      <c r="AB11" s="251">
        <f t="shared" si="3"/>
        <v>0</v>
      </c>
      <c r="AC11" s="444">
        <f t="shared" si="3"/>
        <v>0</v>
      </c>
    </row>
    <row r="12" spans="2:30" ht="14.5">
      <c r="B12" s="233" t="str">
        <f t="shared" si="8"/>
        <v>CCTRMELCAE1</v>
      </c>
      <c r="C12" s="233" t="str">
        <f t="shared" si="8"/>
        <v>Commercial Cooling Technology Rural Multi - Electricity Appliances - Existing 1</v>
      </c>
      <c r="D12" s="227" t="str">
        <f t="shared" si="8"/>
        <v>Rural</v>
      </c>
      <c r="E12" s="227" t="str">
        <f t="shared" si="8"/>
        <v>Detached</v>
      </c>
      <c r="F12" s="233" t="str">
        <f t="shared" si="8"/>
        <v>COMELCC</v>
      </c>
      <c r="G12" s="233" t="str">
        <f t="shared" si="8"/>
        <v>COMCRDB</v>
      </c>
      <c r="H12" s="230">
        <v>2015</v>
      </c>
      <c r="I12" s="250">
        <f t="shared" si="4"/>
        <v>536.9</v>
      </c>
      <c r="J12" s="250">
        <f t="shared" si="0"/>
        <v>0</v>
      </c>
      <c r="K12" s="250">
        <f t="shared" si="1"/>
        <v>0</v>
      </c>
      <c r="L12" s="460">
        <v>1</v>
      </c>
      <c r="M12" s="460">
        <v>1</v>
      </c>
      <c r="N12" s="460">
        <v>1</v>
      </c>
      <c r="O12" s="244">
        <f t="shared" si="9"/>
        <v>3.1536000000000002E-2</v>
      </c>
      <c r="P12" s="458">
        <v>0.1</v>
      </c>
      <c r="Q12" s="245">
        <v>30</v>
      </c>
      <c r="R12" s="227"/>
      <c r="S12" s="227"/>
      <c r="T12" s="268"/>
      <c r="U12" s="227" t="s">
        <v>73</v>
      </c>
      <c r="V12" s="254" t="s">
        <v>169</v>
      </c>
      <c r="W12" s="246">
        <v>2015</v>
      </c>
      <c r="X12" s="432">
        <f>_xlfn.IFNA(INDEX('Data manipulation'!$C$110:$O$127,MATCH($U12,'Data manipulation'!$B$110:$B$127,0),MATCH($W12,'Data manipulation'!$C$109:$N$109,0))/1000,0)*SUMIFS('Regional split'!$F$4:$F$6,'Regional split'!$B$4:$B$6,X$4)*SUMIFS('Data manipulation'!$V$46:$V$49,'Data manipulation'!$X$46:$X$49,$E12,'Data manipulation'!$Y$46:$Y$49,$D12)</f>
        <v>1.612271137863531</v>
      </c>
      <c r="Y12" s="432">
        <f>_xlfn.IFNA(INDEX('Data manipulation'!$C$110:$O$127,MATCH($U12,'Data manipulation'!$B$110:$B$127,0),MATCH($W12,'Data manipulation'!$C$109:$N$109,0))/1000,0)*SUMIFS('Regional split'!$F$4:$F$6,'Regional split'!$B$4:$B$6,Y$4)*SUMIFS('Data manipulation'!$V$46:$V$49,'Data manipulation'!$X$46:$X$49,$E12,'Data manipulation'!$Y$46:$Y$49,$D12)</f>
        <v>0</v>
      </c>
      <c r="Z12" s="432">
        <f>_xlfn.IFNA(INDEX('Data manipulation'!$C$110:$O$127,MATCH($U12,'Data manipulation'!$B$110:$B$127,0),MATCH($W12,'Data manipulation'!$C$109:$N$109,0))/1000,0)*SUMIFS('Regional split'!$F$4:$F$6,'Regional split'!$B$4:$B$6,Z$4)*SUMIFS('Data manipulation'!$V$46:$V$49,'Data manipulation'!$X$46:$X$49,$E12,'Data manipulation'!$Y$46:$Y$49,$D12)</f>
        <v>0</v>
      </c>
      <c r="AA12" s="443">
        <f t="shared" si="3"/>
        <v>1.612271137863531</v>
      </c>
      <c r="AB12" s="251">
        <f t="shared" si="3"/>
        <v>0</v>
      </c>
      <c r="AC12" s="444">
        <f t="shared" si="3"/>
        <v>0</v>
      </c>
    </row>
    <row r="13" spans="2:30" ht="14.5">
      <c r="B13" s="233" t="str">
        <f t="shared" si="8"/>
        <v>CCTUDELCAE1</v>
      </c>
      <c r="C13" s="233" t="str">
        <f t="shared" si="8"/>
        <v>Commercial Cooling Technology Urban Detached - Electricity Appliances - Existing 1</v>
      </c>
      <c r="D13" s="227" t="str">
        <f t="shared" si="8"/>
        <v>Urban</v>
      </c>
      <c r="E13" s="227" t="str">
        <f t="shared" si="8"/>
        <v>Multi storey</v>
      </c>
      <c r="F13" s="233" t="str">
        <f t="shared" si="8"/>
        <v>COMELCC</v>
      </c>
      <c r="G13" s="233" t="str">
        <f t="shared" si="8"/>
        <v>COMCUMB</v>
      </c>
      <c r="H13" s="230">
        <v>2015</v>
      </c>
      <c r="I13" s="250">
        <f t="shared" si="4"/>
        <v>415.70000000000005</v>
      </c>
      <c r="J13" s="250">
        <f t="shared" si="0"/>
        <v>0</v>
      </c>
      <c r="K13" s="250">
        <f t="shared" si="1"/>
        <v>0</v>
      </c>
      <c r="L13" s="460">
        <v>1</v>
      </c>
      <c r="M13" s="460">
        <v>1</v>
      </c>
      <c r="N13" s="460">
        <v>1</v>
      </c>
      <c r="O13" s="244">
        <f t="shared" si="9"/>
        <v>3.1536000000000002E-2</v>
      </c>
      <c r="P13" s="458">
        <v>0.1</v>
      </c>
      <c r="Q13" s="245">
        <v>30</v>
      </c>
      <c r="R13" s="227"/>
      <c r="S13" s="227"/>
      <c r="T13" s="268"/>
      <c r="U13" s="227" t="s">
        <v>73</v>
      </c>
      <c r="V13" s="254" t="s">
        <v>169</v>
      </c>
      <c r="W13" s="246">
        <v>2015</v>
      </c>
      <c r="X13" s="432">
        <f>_xlfn.IFNA(INDEX('Data manipulation'!$C$110:$O$127,MATCH($U13,'Data manipulation'!$B$110:$B$127,0),MATCH($W13,'Data manipulation'!$C$109:$N$109,0))/1000,0)*SUMIFS('Regional split'!$F$4:$F$6,'Regional split'!$B$4:$B$6,X$4)*SUMIFS('Data manipulation'!$V$46:$V$49,'Data manipulation'!$X$46:$X$49,$E13,'Data manipulation'!$Y$46:$Y$49,$D13)</f>
        <v>1.2483729500071854</v>
      </c>
      <c r="Y13" s="432">
        <f>_xlfn.IFNA(INDEX('Data manipulation'!$C$110:$O$127,MATCH($U13,'Data manipulation'!$B$110:$B$127,0),MATCH($W13,'Data manipulation'!$C$109:$N$109,0))/1000,0)*SUMIFS('Regional split'!$F$4:$F$6,'Regional split'!$B$4:$B$6,Y$4)*SUMIFS('Data manipulation'!$V$46:$V$49,'Data manipulation'!$X$46:$X$49,$E13,'Data manipulation'!$Y$46:$Y$49,$D13)</f>
        <v>0</v>
      </c>
      <c r="Z13" s="432">
        <f>_xlfn.IFNA(INDEX('Data manipulation'!$C$110:$O$127,MATCH($U13,'Data manipulation'!$B$110:$B$127,0),MATCH($W13,'Data manipulation'!$C$109:$N$109,0))/1000,0)*SUMIFS('Regional split'!$F$4:$F$6,'Regional split'!$B$4:$B$6,Z$4)*SUMIFS('Data manipulation'!$V$46:$V$49,'Data manipulation'!$X$46:$X$49,$E13,'Data manipulation'!$Y$46:$Y$49,$D13)</f>
        <v>0</v>
      </c>
      <c r="AA13" s="443">
        <f t="shared" ref="AA13:AA20" si="10">X13*L13</f>
        <v>1.2483729500071854</v>
      </c>
      <c r="AB13" s="251">
        <f t="shared" ref="AB13:AB20" si="11">Y13*M13</f>
        <v>0</v>
      </c>
      <c r="AC13" s="444">
        <f t="shared" ref="AC13:AC20" si="12">Z13*N13</f>
        <v>0</v>
      </c>
    </row>
    <row r="14" spans="2:30" ht="14.5">
      <c r="B14" s="233" t="str">
        <f t="shared" si="8"/>
        <v>CCTRDELCAE1</v>
      </c>
      <c r="C14" s="233" t="str">
        <f t="shared" si="8"/>
        <v>Commercial Cooling Technology Rural Detached - Electricity Appliances - Existing 1</v>
      </c>
      <c r="D14" s="227" t="str">
        <f t="shared" si="8"/>
        <v>Rural</v>
      </c>
      <c r="E14" s="227" t="str">
        <f t="shared" si="8"/>
        <v>Multi storey</v>
      </c>
      <c r="F14" s="233" t="str">
        <f t="shared" si="8"/>
        <v>COMELCC</v>
      </c>
      <c r="G14" s="233" t="str">
        <f t="shared" si="8"/>
        <v>COMCRMB</v>
      </c>
      <c r="H14" s="230">
        <v>2015</v>
      </c>
      <c r="I14" s="250">
        <f t="shared" si="4"/>
        <v>23.6</v>
      </c>
      <c r="J14" s="250">
        <f t="shared" si="0"/>
        <v>0</v>
      </c>
      <c r="K14" s="250">
        <f t="shared" si="1"/>
        <v>0</v>
      </c>
      <c r="L14" s="460">
        <v>1</v>
      </c>
      <c r="M14" s="460">
        <v>1</v>
      </c>
      <c r="N14" s="460">
        <v>1</v>
      </c>
      <c r="O14" s="244">
        <f t="shared" si="9"/>
        <v>3.1536000000000002E-2</v>
      </c>
      <c r="P14" s="458">
        <v>0.1</v>
      </c>
      <c r="Q14" s="245">
        <v>30</v>
      </c>
      <c r="R14" s="227"/>
      <c r="S14" s="227"/>
      <c r="T14" s="268"/>
      <c r="U14" s="227" t="s">
        <v>73</v>
      </c>
      <c r="V14" s="254" t="s">
        <v>169</v>
      </c>
      <c r="W14" s="246">
        <v>2015</v>
      </c>
      <c r="X14" s="432">
        <f>_xlfn.IFNA(INDEX('Data manipulation'!$C$110:$O$127,MATCH($U14,'Data manipulation'!$B$110:$B$127,0),MATCH($W14,'Data manipulation'!$C$109:$N$109,0))/1000,0)*SUMIFS('Regional split'!$F$4:$F$6,'Regional split'!$B$4:$B$6,X$4)*SUMIFS('Data manipulation'!$V$46:$V$49,'Data manipulation'!$X$46:$X$49,$E14,'Data manipulation'!$Y$46:$Y$49,$D14)</f>
        <v>7.0757980972067203E-2</v>
      </c>
      <c r="Y14" s="432">
        <f>_xlfn.IFNA(INDEX('Data manipulation'!$C$110:$O$127,MATCH($U14,'Data manipulation'!$B$110:$B$127,0),MATCH($W14,'Data manipulation'!$C$109:$N$109,0))/1000,0)*SUMIFS('Regional split'!$F$4:$F$6,'Regional split'!$B$4:$B$6,Y$4)*SUMIFS('Data manipulation'!$V$46:$V$49,'Data manipulation'!$X$46:$X$49,$E14,'Data manipulation'!$Y$46:$Y$49,$D14)</f>
        <v>0</v>
      </c>
      <c r="Z14" s="432">
        <f>_xlfn.IFNA(INDEX('Data manipulation'!$C$110:$O$127,MATCH($U14,'Data manipulation'!$B$110:$B$127,0),MATCH($W14,'Data manipulation'!$C$109:$N$109,0))/1000,0)*SUMIFS('Regional split'!$F$4:$F$6,'Regional split'!$B$4:$B$6,Z$4)*SUMIFS('Data manipulation'!$V$46:$V$49,'Data manipulation'!$X$46:$X$49,$E14,'Data manipulation'!$Y$46:$Y$49,$D14)</f>
        <v>0</v>
      </c>
      <c r="AA14" s="443">
        <f t="shared" si="10"/>
        <v>7.0757980972067203E-2</v>
      </c>
      <c r="AB14" s="251">
        <f t="shared" si="11"/>
        <v>0</v>
      </c>
      <c r="AC14" s="444">
        <f t="shared" si="12"/>
        <v>0</v>
      </c>
    </row>
    <row r="15" spans="2:30" ht="14.5">
      <c r="B15" s="233" t="str">
        <f t="shared" ref="B15:G15" si="13">B11</f>
        <v>CCTUMELCAE1</v>
      </c>
      <c r="C15" s="233" t="str">
        <f t="shared" si="13"/>
        <v>Commercial Cooling Technology Urban Multi - Electricity Appliances - Existing 1</v>
      </c>
      <c r="D15" s="227" t="str">
        <f t="shared" si="13"/>
        <v>Urban</v>
      </c>
      <c r="E15" s="227" t="str">
        <f t="shared" si="13"/>
        <v>Detached</v>
      </c>
      <c r="F15" s="233" t="str">
        <f t="shared" si="13"/>
        <v>COMELCC</v>
      </c>
      <c r="G15" s="233" t="str">
        <f t="shared" si="13"/>
        <v>COMCUDB</v>
      </c>
      <c r="H15" s="230">
        <v>2018</v>
      </c>
      <c r="I15" s="250">
        <f>ROUNDUP(AA15/($O15*$P15)*$I$2,1)</f>
        <v>670.30000000000007</v>
      </c>
      <c r="J15" s="250">
        <f t="shared" ref="J15:J18" si="14">ROUNDUP(AB15/($O15*$P15)*$I$2,1)</f>
        <v>0</v>
      </c>
      <c r="K15" s="250">
        <f t="shared" ref="K15:K18" si="15">ROUNDUP(AC15/($O15*$P15)*$I$2,1)</f>
        <v>0</v>
      </c>
      <c r="L15" s="460">
        <v>1</v>
      </c>
      <c r="M15" s="460">
        <v>1</v>
      </c>
      <c r="N15" s="460">
        <v>1</v>
      </c>
      <c r="O15" s="244">
        <f t="shared" si="9"/>
        <v>3.1536000000000002E-2</v>
      </c>
      <c r="P15" s="458">
        <v>0.1</v>
      </c>
      <c r="Q15" s="245">
        <v>30</v>
      </c>
      <c r="R15" s="227"/>
      <c r="S15" s="227"/>
      <c r="T15" s="268"/>
      <c r="U15" s="227" t="s">
        <v>73</v>
      </c>
      <c r="V15" s="254" t="s">
        <v>169</v>
      </c>
      <c r="W15" s="246">
        <v>2018</v>
      </c>
      <c r="X15" s="432">
        <f>_xlfn.IFNA(INDEX('Data manipulation'!$C$110:$O$127,MATCH($U15,'Data manipulation'!$B$110:$B$127,0),MATCH($W15,'Data manipulation'!$C$109:$N$109,0))/1000,0)*SUMIFS('Regional split'!$F$4:$F$6,'Regional split'!$B$4:$B$6,X$4)*SUMIFS('Data manipulation'!$V$46:$V$49,'Data manipulation'!$X$46:$X$49,$E15,'Data manipulation'!$Y$46:$Y$49,$D15)</f>
        <v>2.0131454042338444</v>
      </c>
      <c r="Y15" s="432">
        <f>_xlfn.IFNA(INDEX('Data manipulation'!$C$110:$O$127,MATCH($U15,'Data manipulation'!$B$110:$B$127,0),MATCH($W15,'Data manipulation'!$C$109:$N$109,0))/1000,0)*SUMIFS('Regional split'!$F$4:$F$6,'Regional split'!$B$4:$B$6,Y$4)*SUMIFS('Data manipulation'!$V$46:$V$49,'Data manipulation'!$X$46:$X$49,$E15,'Data manipulation'!$Y$46:$Y$49,$D15)</f>
        <v>0</v>
      </c>
      <c r="Z15" s="432">
        <f>_xlfn.IFNA(INDEX('Data manipulation'!$C$110:$O$127,MATCH($U15,'Data manipulation'!$B$110:$B$127,0),MATCH($W15,'Data manipulation'!$C$109:$N$109,0))/1000,0)*SUMIFS('Regional split'!$F$4:$F$6,'Regional split'!$B$4:$B$6,Z$4)*SUMIFS('Data manipulation'!$V$46:$V$49,'Data manipulation'!$X$46:$X$49,$E15,'Data manipulation'!$Y$46:$Y$49,$D15)</f>
        <v>0</v>
      </c>
      <c r="AA15" s="443">
        <f t="shared" si="10"/>
        <v>2.0131454042338444</v>
      </c>
      <c r="AB15" s="251">
        <f t="shared" si="11"/>
        <v>0</v>
      </c>
      <c r="AC15" s="444">
        <f t="shared" si="12"/>
        <v>0</v>
      </c>
    </row>
    <row r="16" spans="2:30" ht="14.5">
      <c r="B16" s="233" t="str">
        <f t="shared" ref="B16:G16" si="16">B12</f>
        <v>CCTRMELCAE1</v>
      </c>
      <c r="C16" s="233" t="str">
        <f t="shared" si="16"/>
        <v>Commercial Cooling Technology Rural Multi - Electricity Appliances - Existing 1</v>
      </c>
      <c r="D16" s="227" t="str">
        <f t="shared" si="16"/>
        <v>Rural</v>
      </c>
      <c r="E16" s="227" t="str">
        <f t="shared" si="16"/>
        <v>Detached</v>
      </c>
      <c r="F16" s="233" t="str">
        <f t="shared" si="16"/>
        <v>COMELCC</v>
      </c>
      <c r="G16" s="233" t="str">
        <f t="shared" si="16"/>
        <v>COMCRDB</v>
      </c>
      <c r="H16" s="259">
        <v>2018</v>
      </c>
      <c r="I16" s="250">
        <f t="shared" ref="I16:I18" si="17">ROUNDUP(AA16/($O16*$P16)*$I$2,1)</f>
        <v>509.1</v>
      </c>
      <c r="J16" s="250">
        <f t="shared" si="14"/>
        <v>0</v>
      </c>
      <c r="K16" s="250">
        <f t="shared" si="15"/>
        <v>0</v>
      </c>
      <c r="L16" s="460">
        <v>1</v>
      </c>
      <c r="M16" s="460">
        <v>1</v>
      </c>
      <c r="N16" s="460">
        <v>1</v>
      </c>
      <c r="O16" s="244">
        <f t="shared" si="9"/>
        <v>3.1536000000000002E-2</v>
      </c>
      <c r="P16" s="458">
        <v>0.1</v>
      </c>
      <c r="Q16" s="245">
        <v>30</v>
      </c>
      <c r="R16" s="227"/>
      <c r="S16" s="227"/>
      <c r="T16" s="268"/>
      <c r="U16" s="227" t="s">
        <v>73</v>
      </c>
      <c r="V16" s="254" t="s">
        <v>169</v>
      </c>
      <c r="W16" s="246">
        <v>2018</v>
      </c>
      <c r="X16" s="432">
        <f>_xlfn.IFNA(INDEX('Data manipulation'!$C$110:$O$127,MATCH($U16,'Data manipulation'!$B$110:$B$127,0),MATCH($W16,'Data manipulation'!$C$109:$N$109,0))/1000,0)*SUMIFS('Regional split'!$F$4:$F$6,'Regional split'!$B$4:$B$6,X$4)*SUMIFS('Data manipulation'!$V$46:$V$49,'Data manipulation'!$X$46:$X$49,$E16,'Data manipulation'!$Y$46:$Y$49,$D16)</f>
        <v>1.529031866549039</v>
      </c>
      <c r="Y16" s="432">
        <f>_xlfn.IFNA(INDEX('Data manipulation'!$C$110:$O$127,MATCH($U16,'Data manipulation'!$B$110:$B$127,0),MATCH($W16,'Data manipulation'!$C$109:$N$109,0))/1000,0)*SUMIFS('Regional split'!$F$4:$F$6,'Regional split'!$B$4:$B$6,Y$4)*SUMIFS('Data manipulation'!$V$46:$V$49,'Data manipulation'!$X$46:$X$49,$E16,'Data manipulation'!$Y$46:$Y$49,$D16)</f>
        <v>0</v>
      </c>
      <c r="Z16" s="432">
        <f>_xlfn.IFNA(INDEX('Data manipulation'!$C$110:$O$127,MATCH($U16,'Data manipulation'!$B$110:$B$127,0),MATCH($W16,'Data manipulation'!$C$109:$N$109,0))/1000,0)*SUMIFS('Regional split'!$F$4:$F$6,'Regional split'!$B$4:$B$6,Z$4)*SUMIFS('Data manipulation'!$V$46:$V$49,'Data manipulation'!$X$46:$X$49,$E16,'Data manipulation'!$Y$46:$Y$49,$D16)</f>
        <v>0</v>
      </c>
      <c r="AA16" s="443">
        <f t="shared" si="10"/>
        <v>1.529031866549039</v>
      </c>
      <c r="AB16" s="251">
        <f t="shared" si="11"/>
        <v>0</v>
      </c>
      <c r="AC16" s="444">
        <f t="shared" si="12"/>
        <v>0</v>
      </c>
    </row>
    <row r="17" spans="2:29" ht="14.5">
      <c r="B17" s="233" t="str">
        <f t="shared" ref="B17:G17" si="18">B13</f>
        <v>CCTUDELCAE1</v>
      </c>
      <c r="C17" s="233" t="str">
        <f t="shared" si="18"/>
        <v>Commercial Cooling Technology Urban Detached - Electricity Appliances - Existing 1</v>
      </c>
      <c r="D17" s="227" t="str">
        <f t="shared" si="18"/>
        <v>Urban</v>
      </c>
      <c r="E17" s="227" t="str">
        <f t="shared" si="18"/>
        <v>Multi storey</v>
      </c>
      <c r="F17" s="233" t="str">
        <f t="shared" si="18"/>
        <v>COMELCC</v>
      </c>
      <c r="G17" s="233" t="str">
        <f t="shared" si="18"/>
        <v>COMCUMB</v>
      </c>
      <c r="H17" s="230">
        <v>2018</v>
      </c>
      <c r="I17" s="250">
        <f t="shared" si="17"/>
        <v>394.20000000000005</v>
      </c>
      <c r="J17" s="250">
        <f t="shared" si="14"/>
        <v>0</v>
      </c>
      <c r="K17" s="250">
        <f t="shared" si="15"/>
        <v>0</v>
      </c>
      <c r="L17" s="460">
        <v>1</v>
      </c>
      <c r="M17" s="460">
        <v>1</v>
      </c>
      <c r="N17" s="460">
        <v>1</v>
      </c>
      <c r="O17" s="244">
        <f t="shared" si="9"/>
        <v>3.1536000000000002E-2</v>
      </c>
      <c r="P17" s="458">
        <v>0.1</v>
      </c>
      <c r="Q17" s="245">
        <v>30</v>
      </c>
      <c r="R17" s="227"/>
      <c r="S17" s="227"/>
      <c r="T17" s="268"/>
      <c r="U17" s="227" t="s">
        <v>73</v>
      </c>
      <c r="V17" s="254" t="s">
        <v>169</v>
      </c>
      <c r="W17" s="246">
        <v>2018</v>
      </c>
      <c r="X17" s="432">
        <f>_xlfn.IFNA(INDEX('Data manipulation'!$C$110:$O$127,MATCH($U17,'Data manipulation'!$B$110:$B$127,0),MATCH($W17,'Data manipulation'!$C$109:$N$109,0))/1000,0)*SUMIFS('Regional split'!$F$4:$F$6,'Regional split'!$B$4:$B$6,X$4)*SUMIFS('Data manipulation'!$V$46:$V$49,'Data manipulation'!$X$46:$X$49,$E17,'Data manipulation'!$Y$46:$Y$49,$D17)</f>
        <v>1.183921225823237</v>
      </c>
      <c r="Y17" s="432">
        <f>_xlfn.IFNA(INDEX('Data manipulation'!$C$110:$O$127,MATCH($U17,'Data manipulation'!$B$110:$B$127,0),MATCH($W17,'Data manipulation'!$C$109:$N$109,0))/1000,0)*SUMIFS('Regional split'!$F$4:$F$6,'Regional split'!$B$4:$B$6,Y$4)*SUMIFS('Data manipulation'!$V$46:$V$49,'Data manipulation'!$X$46:$X$49,$E17,'Data manipulation'!$Y$46:$Y$49,$D17)</f>
        <v>0</v>
      </c>
      <c r="Z17" s="432">
        <f>_xlfn.IFNA(INDEX('Data manipulation'!$C$110:$O$127,MATCH($U17,'Data manipulation'!$B$110:$B$127,0),MATCH($W17,'Data manipulation'!$C$109:$N$109,0))/1000,0)*SUMIFS('Regional split'!$F$4:$F$6,'Regional split'!$B$4:$B$6,Z$4)*SUMIFS('Data manipulation'!$V$46:$V$49,'Data manipulation'!$X$46:$X$49,$E17,'Data manipulation'!$Y$46:$Y$49,$D17)</f>
        <v>0</v>
      </c>
      <c r="AA17" s="443">
        <f t="shared" ref="AA17:AA18" si="19">X17*L17</f>
        <v>1.183921225823237</v>
      </c>
      <c r="AB17" s="251">
        <f t="shared" ref="AB17:AB18" si="20">Y17*M17</f>
        <v>0</v>
      </c>
      <c r="AC17" s="444">
        <f t="shared" ref="AC17:AC18" si="21">Z17*N17</f>
        <v>0</v>
      </c>
    </row>
    <row r="18" spans="2:29" ht="14.5">
      <c r="B18" s="233" t="str">
        <f t="shared" ref="B18:G18" si="22">B14</f>
        <v>CCTRDELCAE1</v>
      </c>
      <c r="C18" s="233" t="str">
        <f t="shared" si="22"/>
        <v>Commercial Cooling Technology Rural Detached - Electricity Appliances - Existing 1</v>
      </c>
      <c r="D18" s="227" t="str">
        <f t="shared" si="22"/>
        <v>Rural</v>
      </c>
      <c r="E18" s="227" t="str">
        <f t="shared" si="22"/>
        <v>Multi storey</v>
      </c>
      <c r="F18" s="233" t="str">
        <f t="shared" si="22"/>
        <v>COMELCC</v>
      </c>
      <c r="G18" s="233" t="str">
        <f t="shared" si="22"/>
        <v>COMCRMB</v>
      </c>
      <c r="H18" s="259">
        <v>2018</v>
      </c>
      <c r="I18" s="250">
        <f t="shared" si="17"/>
        <v>22.400000000000002</v>
      </c>
      <c r="J18" s="250">
        <f t="shared" si="14"/>
        <v>0</v>
      </c>
      <c r="K18" s="250">
        <f t="shared" si="15"/>
        <v>0</v>
      </c>
      <c r="L18" s="460">
        <v>1</v>
      </c>
      <c r="M18" s="460">
        <v>1</v>
      </c>
      <c r="N18" s="460">
        <v>1</v>
      </c>
      <c r="O18" s="244">
        <f t="shared" si="9"/>
        <v>3.1536000000000002E-2</v>
      </c>
      <c r="P18" s="458">
        <v>0.1</v>
      </c>
      <c r="Q18" s="245">
        <v>30</v>
      </c>
      <c r="R18" s="227"/>
      <c r="S18" s="227"/>
      <c r="T18" s="268"/>
      <c r="U18" s="227" t="s">
        <v>73</v>
      </c>
      <c r="V18" s="254" t="s">
        <v>169</v>
      </c>
      <c r="W18" s="246">
        <v>2018</v>
      </c>
      <c r="X18" s="432">
        <f>_xlfn.IFNA(INDEX('Data manipulation'!$C$110:$O$127,MATCH($U18,'Data manipulation'!$B$110:$B$127,0),MATCH($W18,'Data manipulation'!$C$109:$N$109,0))/1000,0)*SUMIFS('Regional split'!$F$4:$F$6,'Regional split'!$B$4:$B$6,X$4)*SUMIFS('Data manipulation'!$V$46:$V$49,'Data manipulation'!$X$46:$X$49,$E18,'Data manipulation'!$Y$46:$Y$49,$D18)</f>
        <v>6.7104846807794813E-2</v>
      </c>
      <c r="Y18" s="432">
        <f>_xlfn.IFNA(INDEX('Data manipulation'!$C$110:$O$127,MATCH($U18,'Data manipulation'!$B$110:$B$127,0),MATCH($W18,'Data manipulation'!$C$109:$N$109,0))/1000,0)*SUMIFS('Regional split'!$F$4:$F$6,'Regional split'!$B$4:$B$6,Y$4)*SUMIFS('Data manipulation'!$V$46:$V$49,'Data manipulation'!$X$46:$X$49,$E18,'Data manipulation'!$Y$46:$Y$49,$D18)</f>
        <v>0</v>
      </c>
      <c r="Z18" s="432">
        <f>_xlfn.IFNA(INDEX('Data manipulation'!$C$110:$O$127,MATCH($U18,'Data manipulation'!$B$110:$B$127,0),MATCH($W18,'Data manipulation'!$C$109:$N$109,0))/1000,0)*SUMIFS('Regional split'!$F$4:$F$6,'Regional split'!$B$4:$B$6,Z$4)*SUMIFS('Data manipulation'!$V$46:$V$49,'Data manipulation'!$X$46:$X$49,$E18,'Data manipulation'!$Y$46:$Y$49,$D18)</f>
        <v>0</v>
      </c>
      <c r="AA18" s="443">
        <f t="shared" si="19"/>
        <v>6.7104846807794813E-2</v>
      </c>
      <c r="AB18" s="251">
        <f t="shared" si="20"/>
        <v>0</v>
      </c>
      <c r="AC18" s="444">
        <f t="shared" si="21"/>
        <v>0</v>
      </c>
    </row>
    <row r="19" spans="2:29" ht="14.5">
      <c r="B19" s="233" t="str">
        <f t="shared" ref="B19:G19" si="23">B11</f>
        <v>CCTUMELCAE1</v>
      </c>
      <c r="C19" s="233" t="str">
        <f t="shared" si="23"/>
        <v>Commercial Cooling Technology Urban Multi - Electricity Appliances - Existing 1</v>
      </c>
      <c r="D19" s="227" t="str">
        <f t="shared" si="23"/>
        <v>Urban</v>
      </c>
      <c r="E19" s="227" t="str">
        <f t="shared" si="23"/>
        <v>Detached</v>
      </c>
      <c r="F19" s="233" t="str">
        <f t="shared" si="23"/>
        <v>COMELCC</v>
      </c>
      <c r="G19" s="233" t="str">
        <f t="shared" si="23"/>
        <v>COMCUDB</v>
      </c>
      <c r="H19" s="566">
        <f>H15+Q19</f>
        <v>2048</v>
      </c>
      <c r="I19" s="250">
        <v>0</v>
      </c>
      <c r="J19" s="250">
        <v>0</v>
      </c>
      <c r="K19" s="250">
        <v>0</v>
      </c>
      <c r="L19" s="460">
        <v>1</v>
      </c>
      <c r="M19" s="460">
        <v>1</v>
      </c>
      <c r="N19" s="460">
        <v>1</v>
      </c>
      <c r="O19" s="244">
        <f t="shared" si="9"/>
        <v>3.1536000000000002E-2</v>
      </c>
      <c r="P19" s="458">
        <v>0.1</v>
      </c>
      <c r="Q19" s="245">
        <v>30</v>
      </c>
      <c r="R19" s="227"/>
      <c r="S19" s="227"/>
      <c r="T19" s="268"/>
      <c r="U19" s="227" t="s">
        <v>73</v>
      </c>
      <c r="V19" s="254" t="s">
        <v>169</v>
      </c>
      <c r="W19" s="246">
        <v>2018</v>
      </c>
      <c r="X19" s="432">
        <f>_xlfn.IFNA(INDEX('Data manipulation'!$C$110:$O$127,MATCH($U19,'Data manipulation'!$B$110:$B$127,0),MATCH($W19,'Data manipulation'!$C$109:$N$109,0))/1000,0)*SUMIFS('Regional split'!$F$4:$F$6,'Regional split'!$B$4:$B$6,X$4)*SUMIFS('Data manipulation'!$V$46:$V$49,'Data manipulation'!$X$46:$X$49,$E19,'Data manipulation'!$Y$46:$Y$49,$D19)</f>
        <v>2.0131454042338444</v>
      </c>
      <c r="Y19" s="432">
        <f>_xlfn.IFNA(INDEX('Data manipulation'!$C$110:$O$127,MATCH($U19,'Data manipulation'!$B$110:$B$127,0),MATCH($W19,'Data manipulation'!$C$109:$N$109,0))/1000,0)*SUMIFS('Regional split'!$F$4:$F$6,'Regional split'!$B$4:$B$6,Y$4)*SUMIFS('Data manipulation'!$V$46:$V$49,'Data manipulation'!$X$46:$X$49,$E19,'Data manipulation'!$Y$46:$Y$49,$D19)</f>
        <v>0</v>
      </c>
      <c r="Z19" s="432">
        <f>_xlfn.IFNA(INDEX('Data manipulation'!$C$110:$O$127,MATCH($U19,'Data manipulation'!$B$110:$B$127,0),MATCH($W19,'Data manipulation'!$C$109:$N$109,0))/1000,0)*SUMIFS('Regional split'!$F$4:$F$6,'Regional split'!$B$4:$B$6,Z$4)*SUMIFS('Data manipulation'!$V$46:$V$49,'Data manipulation'!$X$46:$X$49,$E19,'Data manipulation'!$Y$46:$Y$49,$D19)</f>
        <v>0</v>
      </c>
      <c r="AA19" s="443">
        <f t="shared" si="10"/>
        <v>2.0131454042338444</v>
      </c>
      <c r="AB19" s="251">
        <f t="shared" si="11"/>
        <v>0</v>
      </c>
      <c r="AC19" s="444">
        <f t="shared" si="12"/>
        <v>0</v>
      </c>
    </row>
    <row r="20" spans="2:29" ht="14.5">
      <c r="B20" s="233" t="str">
        <f t="shared" ref="B20:G20" si="24">B12</f>
        <v>CCTRMELCAE1</v>
      </c>
      <c r="C20" s="233" t="str">
        <f t="shared" si="24"/>
        <v>Commercial Cooling Technology Rural Multi - Electricity Appliances - Existing 1</v>
      </c>
      <c r="D20" s="227" t="str">
        <f t="shared" si="24"/>
        <v>Rural</v>
      </c>
      <c r="E20" s="227" t="str">
        <f t="shared" si="24"/>
        <v>Detached</v>
      </c>
      <c r="F20" s="233" t="str">
        <f t="shared" si="24"/>
        <v>COMELCC</v>
      </c>
      <c r="G20" s="233" t="str">
        <f t="shared" si="24"/>
        <v>COMCRDB</v>
      </c>
      <c r="H20" s="566">
        <f>H16+Q20</f>
        <v>2048</v>
      </c>
      <c r="I20" s="250">
        <v>0</v>
      </c>
      <c r="J20" s="250">
        <v>0</v>
      </c>
      <c r="K20" s="250">
        <v>0</v>
      </c>
      <c r="L20" s="460">
        <v>1</v>
      </c>
      <c r="M20" s="460">
        <v>1</v>
      </c>
      <c r="N20" s="460">
        <v>1</v>
      </c>
      <c r="O20" s="244">
        <f t="shared" si="9"/>
        <v>3.1536000000000002E-2</v>
      </c>
      <c r="P20" s="458">
        <v>0.1</v>
      </c>
      <c r="Q20" s="245">
        <v>30</v>
      </c>
      <c r="R20" s="227"/>
      <c r="S20" s="227"/>
      <c r="T20" s="268"/>
      <c r="U20" s="227" t="s">
        <v>73</v>
      </c>
      <c r="V20" s="254" t="s">
        <v>169</v>
      </c>
      <c r="W20" s="246">
        <v>2018</v>
      </c>
      <c r="X20" s="432">
        <f>_xlfn.IFNA(INDEX('Data manipulation'!$C$110:$O$127,MATCH($U20,'Data manipulation'!$B$110:$B$127,0),MATCH($W20,'Data manipulation'!$C$109:$N$109,0))/1000,0)*SUMIFS('Regional split'!$F$4:$F$6,'Regional split'!$B$4:$B$6,X$4)*SUMIFS('Data manipulation'!$V$46:$V$49,'Data manipulation'!$X$46:$X$49,$E20,'Data manipulation'!$Y$46:$Y$49,$D20)</f>
        <v>1.529031866549039</v>
      </c>
      <c r="Y20" s="432">
        <f>_xlfn.IFNA(INDEX('Data manipulation'!$C$110:$O$127,MATCH($U20,'Data manipulation'!$B$110:$B$127,0),MATCH($W20,'Data manipulation'!$C$109:$N$109,0))/1000,0)*SUMIFS('Regional split'!$F$4:$F$6,'Regional split'!$B$4:$B$6,Y$4)*SUMIFS('Data manipulation'!$V$46:$V$49,'Data manipulation'!$X$46:$X$49,$E20,'Data manipulation'!$Y$46:$Y$49,$D20)</f>
        <v>0</v>
      </c>
      <c r="Z20" s="432">
        <f>_xlfn.IFNA(INDEX('Data manipulation'!$C$110:$O$127,MATCH($U20,'Data manipulation'!$B$110:$B$127,0),MATCH($W20,'Data manipulation'!$C$109:$N$109,0))/1000,0)*SUMIFS('Regional split'!$F$4:$F$6,'Regional split'!$B$4:$B$6,Z$4)*SUMIFS('Data manipulation'!$V$46:$V$49,'Data manipulation'!$X$46:$X$49,$E20,'Data manipulation'!$Y$46:$Y$49,$D20)</f>
        <v>0</v>
      </c>
      <c r="AA20" s="443">
        <f t="shared" si="10"/>
        <v>1.529031866549039</v>
      </c>
      <c r="AB20" s="251">
        <f t="shared" si="11"/>
        <v>0</v>
      </c>
      <c r="AC20" s="444">
        <f t="shared" si="12"/>
        <v>0</v>
      </c>
    </row>
    <row r="21" spans="2:29" ht="14.5">
      <c r="B21" s="233" t="str">
        <f t="shared" ref="B21:G21" si="25">B13</f>
        <v>CCTUDELCAE1</v>
      </c>
      <c r="C21" s="233" t="str">
        <f t="shared" si="25"/>
        <v>Commercial Cooling Technology Urban Detached - Electricity Appliances - Existing 1</v>
      </c>
      <c r="D21" s="227" t="str">
        <f t="shared" si="25"/>
        <v>Urban</v>
      </c>
      <c r="E21" s="227" t="str">
        <f t="shared" si="25"/>
        <v>Multi storey</v>
      </c>
      <c r="F21" s="233" t="str">
        <f t="shared" si="25"/>
        <v>COMELCC</v>
      </c>
      <c r="G21" s="233" t="str">
        <f t="shared" si="25"/>
        <v>COMCUMB</v>
      </c>
      <c r="H21" s="566">
        <f>H17+Q21</f>
        <v>2048</v>
      </c>
      <c r="I21" s="250">
        <v>0</v>
      </c>
      <c r="J21" s="250">
        <v>0</v>
      </c>
      <c r="K21" s="250">
        <v>0</v>
      </c>
      <c r="L21" s="460">
        <v>1</v>
      </c>
      <c r="M21" s="460">
        <v>1</v>
      </c>
      <c r="N21" s="460">
        <v>1</v>
      </c>
      <c r="O21" s="244">
        <f t="shared" si="9"/>
        <v>3.1536000000000002E-2</v>
      </c>
      <c r="P21" s="458">
        <v>0.1</v>
      </c>
      <c r="Q21" s="245">
        <v>30</v>
      </c>
      <c r="R21" s="227"/>
      <c r="S21" s="227"/>
      <c r="T21" s="268"/>
      <c r="U21" s="227" t="s">
        <v>73</v>
      </c>
      <c r="V21" s="254" t="s">
        <v>169</v>
      </c>
      <c r="W21" s="246">
        <v>2018</v>
      </c>
      <c r="X21" s="432">
        <f>_xlfn.IFNA(INDEX('Data manipulation'!$C$110:$O$127,MATCH($U21,'Data manipulation'!$B$110:$B$127,0),MATCH($W21,'Data manipulation'!$C$109:$N$109,0))/1000,0)*SUMIFS('Regional split'!$F$4:$F$6,'Regional split'!$B$4:$B$6,X$4)*SUMIFS('Data manipulation'!$V$46:$V$49,'Data manipulation'!$X$46:$X$49,$E21,'Data manipulation'!$Y$46:$Y$49,$D21)</f>
        <v>1.183921225823237</v>
      </c>
      <c r="Y21" s="432">
        <f>_xlfn.IFNA(INDEX('Data manipulation'!$C$110:$O$127,MATCH($U21,'Data manipulation'!$B$110:$B$127,0),MATCH($W21,'Data manipulation'!$C$109:$N$109,0))/1000,0)*SUMIFS('Regional split'!$F$4:$F$6,'Regional split'!$B$4:$B$6,Y$4)*SUMIFS('Data manipulation'!$V$46:$V$49,'Data manipulation'!$X$46:$X$49,$E21,'Data manipulation'!$Y$46:$Y$49,$D21)</f>
        <v>0</v>
      </c>
      <c r="Z21" s="432">
        <f>_xlfn.IFNA(INDEX('Data manipulation'!$C$110:$O$127,MATCH($U21,'Data manipulation'!$B$110:$B$127,0),MATCH($W21,'Data manipulation'!$C$109:$N$109,0))/1000,0)*SUMIFS('Regional split'!$F$4:$F$6,'Regional split'!$B$4:$B$6,Z$4)*SUMIFS('Data manipulation'!$V$46:$V$49,'Data manipulation'!$X$46:$X$49,$E21,'Data manipulation'!$Y$46:$Y$49,$D21)</f>
        <v>0</v>
      </c>
      <c r="AA21" s="443">
        <f t="shared" ref="AA21:AA22" si="26">X21*L21</f>
        <v>1.183921225823237</v>
      </c>
      <c r="AB21" s="251">
        <f t="shared" ref="AB21:AB22" si="27">Y21*M21</f>
        <v>0</v>
      </c>
      <c r="AC21" s="444">
        <f t="shared" ref="AC21:AC22" si="28">Z21*N21</f>
        <v>0</v>
      </c>
    </row>
    <row r="22" spans="2:29" ht="14.5">
      <c r="B22" s="233" t="str">
        <f t="shared" ref="B22:G22" si="29">B14</f>
        <v>CCTRDELCAE1</v>
      </c>
      <c r="C22" s="233" t="str">
        <f t="shared" si="29"/>
        <v>Commercial Cooling Technology Rural Detached - Electricity Appliances - Existing 1</v>
      </c>
      <c r="D22" s="227" t="str">
        <f t="shared" si="29"/>
        <v>Rural</v>
      </c>
      <c r="E22" s="227" t="str">
        <f t="shared" si="29"/>
        <v>Multi storey</v>
      </c>
      <c r="F22" s="233" t="str">
        <f t="shared" si="29"/>
        <v>COMELCC</v>
      </c>
      <c r="G22" s="233" t="str">
        <f t="shared" si="29"/>
        <v>COMCRMB</v>
      </c>
      <c r="H22" s="566">
        <f>H18+Q22</f>
        <v>2048</v>
      </c>
      <c r="I22" s="250">
        <v>0</v>
      </c>
      <c r="J22" s="250">
        <v>0</v>
      </c>
      <c r="K22" s="250">
        <v>0</v>
      </c>
      <c r="L22" s="460">
        <v>1</v>
      </c>
      <c r="M22" s="460">
        <v>1</v>
      </c>
      <c r="N22" s="460">
        <v>1</v>
      </c>
      <c r="O22" s="244">
        <f t="shared" si="9"/>
        <v>3.1536000000000002E-2</v>
      </c>
      <c r="P22" s="458">
        <v>0.1</v>
      </c>
      <c r="Q22" s="245">
        <v>30</v>
      </c>
      <c r="R22" s="227"/>
      <c r="S22" s="227"/>
      <c r="T22" s="268"/>
      <c r="U22" s="227" t="s">
        <v>73</v>
      </c>
      <c r="V22" s="254" t="s">
        <v>169</v>
      </c>
      <c r="W22" s="246">
        <v>2018</v>
      </c>
      <c r="X22" s="432">
        <f>_xlfn.IFNA(INDEX('Data manipulation'!$C$110:$O$127,MATCH($U22,'Data manipulation'!$B$110:$B$127,0),MATCH($W22,'Data manipulation'!$C$109:$N$109,0))/1000,0)*SUMIFS('Regional split'!$F$4:$F$6,'Regional split'!$B$4:$B$6,X$4)*SUMIFS('Data manipulation'!$V$46:$V$49,'Data manipulation'!$X$46:$X$49,$E22,'Data manipulation'!$Y$46:$Y$49,$D22)</f>
        <v>6.7104846807794813E-2</v>
      </c>
      <c r="Y22" s="432">
        <f>_xlfn.IFNA(INDEX('Data manipulation'!$C$110:$O$127,MATCH($U22,'Data manipulation'!$B$110:$B$127,0),MATCH($W22,'Data manipulation'!$C$109:$N$109,0))/1000,0)*SUMIFS('Regional split'!$F$4:$F$6,'Regional split'!$B$4:$B$6,Y$4)*SUMIFS('Data manipulation'!$V$46:$V$49,'Data manipulation'!$X$46:$X$49,$E22,'Data manipulation'!$Y$46:$Y$49,$D22)</f>
        <v>0</v>
      </c>
      <c r="Z22" s="432">
        <f>_xlfn.IFNA(INDEX('Data manipulation'!$C$110:$O$127,MATCH($U22,'Data manipulation'!$B$110:$B$127,0),MATCH($W22,'Data manipulation'!$C$109:$N$109,0))/1000,0)*SUMIFS('Regional split'!$F$4:$F$6,'Regional split'!$B$4:$B$6,Z$4)*SUMIFS('Data manipulation'!$V$46:$V$49,'Data manipulation'!$X$46:$X$49,$E22,'Data manipulation'!$Y$46:$Y$49,$D22)</f>
        <v>0</v>
      </c>
      <c r="AA22" s="443">
        <f t="shared" si="26"/>
        <v>6.7104846807794813E-2</v>
      </c>
      <c r="AB22" s="251">
        <f t="shared" si="27"/>
        <v>0</v>
      </c>
      <c r="AC22" s="444">
        <f t="shared" si="28"/>
        <v>0</v>
      </c>
    </row>
    <row r="23" spans="2:29" ht="18.5">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5">
      <c r="B24" s="227"/>
      <c r="C24" s="227"/>
      <c r="D24" s="510"/>
      <c r="E24" s="233"/>
      <c r="F24" s="230"/>
      <c r="G24" s="230"/>
      <c r="H24" s="230"/>
      <c r="I24" s="263"/>
      <c r="J24" s="263"/>
      <c r="K24" s="263"/>
      <c r="L24" s="264"/>
      <c r="M24" s="264"/>
      <c r="N24" s="264"/>
      <c r="O24" s="265"/>
      <c r="P24" s="264"/>
      <c r="Q24" s="264"/>
      <c r="R24" s="227"/>
      <c r="S24" s="227"/>
      <c r="T24" s="227"/>
      <c r="U24" s="227"/>
      <c r="V24" s="227"/>
      <c r="W24" s="227"/>
      <c r="X24" s="227"/>
      <c r="Y24" s="227"/>
      <c r="Z24" s="227"/>
      <c r="AA24" s="227"/>
      <c r="AB24" s="227"/>
      <c r="AC24" s="233"/>
    </row>
    <row r="25" spans="2:29" ht="18.5">
      <c r="B25" s="227"/>
      <c r="C25" s="227"/>
      <c r="D25" s="510"/>
      <c r="E25" s="233"/>
      <c r="F25" s="230"/>
      <c r="G25" s="230"/>
      <c r="H25" s="230"/>
      <c r="I25" s="263"/>
      <c r="J25" s="263"/>
      <c r="K25" s="263"/>
      <c r="L25" s="264"/>
      <c r="M25" s="264"/>
      <c r="N25" s="264"/>
      <c r="O25" s="265"/>
      <c r="P25" s="264" t="s">
        <v>719</v>
      </c>
      <c r="Q25" s="264"/>
      <c r="R25" s="227"/>
      <c r="S25" s="227"/>
      <c r="T25" s="227"/>
      <c r="U25" s="227"/>
      <c r="V25" s="227"/>
      <c r="W25" s="227"/>
      <c r="X25" s="227"/>
      <c r="Y25" s="227"/>
      <c r="Z25" s="227"/>
      <c r="AA25" s="227"/>
      <c r="AB25" s="227"/>
      <c r="AC25" s="233"/>
    </row>
    <row r="26" spans="2:29">
      <c r="D26" s="510"/>
      <c r="E26" s="233"/>
    </row>
    <row r="27" spans="2:29">
      <c r="D27" s="510"/>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2"/>
      <c r="E115" s="532"/>
    </row>
    <row r="116" spans="4:5">
      <c r="D116" s="532"/>
      <c r="E116" s="532"/>
    </row>
    <row r="117" spans="4:5">
      <c r="D117" s="532"/>
      <c r="E117" s="532"/>
    </row>
    <row r="118" spans="4:5">
      <c r="D118" s="532"/>
      <c r="E118" s="532"/>
    </row>
    <row r="119" spans="4:5">
      <c r="D119" s="532"/>
      <c r="E119" s="532"/>
    </row>
    <row r="120" spans="4:5">
      <c r="D120" s="532"/>
      <c r="E120" s="532"/>
    </row>
    <row r="121" spans="4:5">
      <c r="D121" s="532"/>
      <c r="E121" s="532"/>
    </row>
    <row r="122" spans="4:5">
      <c r="D122" s="532"/>
      <c r="E122" s="532"/>
    </row>
    <row r="123" spans="4:5">
      <c r="D123" s="532"/>
      <c r="E123" s="532"/>
    </row>
    <row r="124" spans="4:5">
      <c r="D124" s="532"/>
      <c r="E124" s="532"/>
    </row>
    <row r="125" spans="4:5">
      <c r="D125" s="532"/>
      <c r="E125" s="532"/>
    </row>
    <row r="126" spans="4:5">
      <c r="D126" s="532"/>
      <c r="E126" s="532"/>
    </row>
    <row r="127" spans="4:5">
      <c r="D127" s="532"/>
      <c r="E127" s="532"/>
    </row>
    <row r="128" spans="4:5">
      <c r="D128" s="532"/>
      <c r="E128" s="532"/>
    </row>
    <row r="129" spans="4:5">
      <c r="D129" s="532"/>
      <c r="E129" s="532"/>
    </row>
    <row r="130" spans="4:5">
      <c r="D130" s="532"/>
      <c r="E130" s="532"/>
    </row>
    <row r="131" spans="4:5">
      <c r="D131" s="532"/>
      <c r="E131" s="532"/>
    </row>
    <row r="132" spans="4:5">
      <c r="D132" s="532"/>
      <c r="E132" s="532"/>
    </row>
    <row r="133" spans="4:5">
      <c r="D133" s="532"/>
      <c r="E133" s="532"/>
    </row>
    <row r="134" spans="4:5">
      <c r="D134" s="532"/>
      <c r="E134" s="532"/>
    </row>
    <row r="135" spans="4:5">
      <c r="D135" s="532"/>
      <c r="E135" s="532"/>
    </row>
    <row r="136" spans="4:5">
      <c r="D136" s="532"/>
      <c r="E136" s="532"/>
    </row>
    <row r="137" spans="4:5">
      <c r="D137" s="532"/>
      <c r="E137" s="532"/>
    </row>
    <row r="138" spans="4:5">
      <c r="D138" s="532"/>
      <c r="E138" s="532"/>
    </row>
    <row r="139" spans="4:5">
      <c r="D139" s="532"/>
      <c r="E139" s="532"/>
    </row>
    <row r="140" spans="4:5">
      <c r="D140" s="532"/>
      <c r="E140" s="532"/>
    </row>
    <row r="141" spans="4:5">
      <c r="D141" s="532"/>
      <c r="E141" s="532"/>
    </row>
    <row r="142" spans="4:5">
      <c r="D142" s="532"/>
      <c r="E142" s="532"/>
    </row>
    <row r="143" spans="4:5">
      <c r="D143" s="532"/>
      <c r="E143" s="532"/>
    </row>
    <row r="144" spans="4:5">
      <c r="D144" s="532"/>
      <c r="E144" s="532"/>
    </row>
    <row r="145" spans="4:5">
      <c r="D145" s="532"/>
      <c r="E145" s="532"/>
    </row>
    <row r="146" spans="4:5">
      <c r="D146" s="532"/>
      <c r="E146" s="532"/>
    </row>
    <row r="147" spans="4:5">
      <c r="D147" s="532"/>
      <c r="E147" s="532"/>
    </row>
    <row r="148" spans="4:5">
      <c r="D148" s="532"/>
      <c r="E148" s="532"/>
    </row>
    <row r="149" spans="4:5">
      <c r="D149" s="532"/>
      <c r="E149" s="532"/>
    </row>
    <row r="150" spans="4:5">
      <c r="D150" s="532"/>
      <c r="E150" s="532"/>
    </row>
    <row r="151" spans="4:5">
      <c r="D151" s="532"/>
      <c r="E151" s="532"/>
    </row>
    <row r="152" spans="4:5">
      <c r="D152" s="532"/>
      <c r="E152" s="532"/>
    </row>
    <row r="153" spans="4:5">
      <c r="D153" s="532"/>
      <c r="E153" s="532"/>
    </row>
    <row r="154" spans="4:5">
      <c r="D154" s="532"/>
      <c r="E154" s="532"/>
    </row>
    <row r="155" spans="4:5">
      <c r="D155" s="532"/>
      <c r="E155" s="532"/>
    </row>
    <row r="156" spans="4:5">
      <c r="D156" s="532"/>
      <c r="E156" s="532"/>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08E63-66A5-4E77-AB91-43FED4E28479}">
  <sheetPr>
    <tabColor rgb="FF92D050"/>
  </sheetPr>
  <dimension ref="A1:BT1608"/>
  <sheetViews>
    <sheetView tabSelected="1" topLeftCell="AQ1" zoomScale="60" zoomScaleNormal="60" workbookViewId="0">
      <selection activeCell="N10" sqref="N10"/>
    </sheetView>
  </sheetViews>
  <sheetFormatPr defaultColWidth="9.1796875" defaultRowHeight="12.5"/>
  <cols>
    <col min="1" max="1" width="2" style="147" bestFit="1" customWidth="1"/>
    <col min="2" max="2" width="12.453125" style="147" customWidth="1"/>
    <col min="3" max="3" width="63.81640625" style="147" customWidth="1"/>
    <col min="4" max="4" width="51.453125" style="156" customWidth="1"/>
    <col min="5" max="5" width="22" style="156" customWidth="1"/>
    <col min="6" max="6" width="13.81640625" style="156" customWidth="1"/>
    <col min="7" max="7" width="14.36328125" style="156" customWidth="1"/>
    <col min="8" max="10" width="15.81640625" style="156" customWidth="1"/>
    <col min="11" max="13" width="10.81640625" style="156" customWidth="1"/>
    <col min="14" max="22" width="8.6328125" style="156" customWidth="1"/>
    <col min="23" max="28" width="10.81640625" style="156" customWidth="1"/>
    <col min="29" max="37" width="14.1796875" style="155" bestFit="1" customWidth="1"/>
    <col min="38" max="38" width="12.6328125" style="155" customWidth="1"/>
    <col min="39" max="39" width="13.6328125" style="155" bestFit="1" customWidth="1"/>
    <col min="40" max="41" width="13.36328125" style="147" bestFit="1" customWidth="1"/>
    <col min="42" max="42" width="10.6328125" style="147" bestFit="1" customWidth="1"/>
    <col min="43" max="43" width="9.36328125" style="147" bestFit="1" customWidth="1"/>
    <col min="44" max="44" width="13.36328125" style="147" bestFit="1" customWidth="1"/>
    <col min="45" max="45" width="10.6328125" style="147" bestFit="1" customWidth="1"/>
    <col min="46" max="47" width="9.36328125" style="147" bestFit="1" customWidth="1"/>
    <col min="48" max="49" width="9.36328125" style="147" customWidth="1"/>
    <col min="50" max="50" width="9.453125" style="147" bestFit="1" customWidth="1"/>
    <col min="51" max="52" width="8.1796875" style="147" bestFit="1" customWidth="1"/>
    <col min="53" max="54" width="12.6328125" style="147" customWidth="1"/>
    <col min="55" max="55" width="12.453125" style="147" customWidth="1"/>
    <col min="56" max="56" width="9.1796875" style="147"/>
    <col min="57" max="57" width="13.90625" style="147" customWidth="1"/>
    <col min="58" max="16384" width="9.1796875" style="147"/>
  </cols>
  <sheetData>
    <row r="1" spans="1:70" ht="13">
      <c r="D1" s="154"/>
      <c r="E1" s="154"/>
      <c r="F1" s="154"/>
      <c r="G1" s="154" t="s">
        <v>714</v>
      </c>
      <c r="H1" s="154"/>
      <c r="I1" s="154"/>
      <c r="J1" s="154" t="s">
        <v>810</v>
      </c>
      <c r="K1" s="154"/>
      <c r="L1" s="154"/>
      <c r="M1" s="154"/>
      <c r="N1" s="154"/>
      <c r="O1" s="154"/>
      <c r="P1" s="154"/>
      <c r="Q1" s="154"/>
      <c r="R1" s="154"/>
      <c r="S1" s="154"/>
      <c r="T1" s="154"/>
      <c r="U1" s="154"/>
      <c r="V1" s="154"/>
      <c r="W1" s="154"/>
      <c r="X1" s="154"/>
      <c r="Y1" s="154"/>
      <c r="Z1" s="154"/>
      <c r="AA1" s="154"/>
      <c r="AB1" s="154"/>
    </row>
    <row r="2" spans="1:70" ht="13">
      <c r="D2" s="154"/>
      <c r="E2" s="154"/>
      <c r="F2" s="154"/>
      <c r="G2" s="154" t="s">
        <v>715</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0">
      <c r="B3" s="466" t="s">
        <v>726</v>
      </c>
      <c r="D3" s="154"/>
      <c r="E3" s="154"/>
      <c r="F3" s="154"/>
      <c r="G3" s="154" t="s">
        <v>716</v>
      </c>
      <c r="H3" s="154">
        <v>1</v>
      </c>
      <c r="I3" s="154"/>
      <c r="J3" s="154">
        <v>2100</v>
      </c>
      <c r="K3" s="154">
        <v>0.99</v>
      </c>
      <c r="L3" s="154"/>
      <c r="M3" s="154"/>
      <c r="N3" s="154"/>
      <c r="O3" s="154"/>
      <c r="P3" s="154"/>
      <c r="Q3" s="154"/>
      <c r="R3" s="154"/>
      <c r="S3" s="154"/>
      <c r="T3" s="154"/>
      <c r="U3" s="154"/>
      <c r="V3" s="154"/>
      <c r="W3" s="154"/>
      <c r="X3" s="154"/>
      <c r="Y3" s="154"/>
      <c r="Z3" s="154"/>
      <c r="AA3" s="154"/>
      <c r="AB3" s="154"/>
      <c r="AH3" s="155" t="s">
        <v>161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ht="13">
      <c r="D4" s="154"/>
      <c r="E4" s="154"/>
      <c r="F4" s="154"/>
      <c r="G4" s="154" t="s">
        <v>717</v>
      </c>
      <c r="H4" s="154">
        <v>0</v>
      </c>
      <c r="I4" s="154"/>
      <c r="J4" s="154"/>
      <c r="K4" s="154"/>
      <c r="L4" s="154"/>
      <c r="M4" s="154"/>
      <c r="N4" s="154"/>
      <c r="O4" s="154"/>
      <c r="P4" s="154"/>
      <c r="Q4" s="154"/>
      <c r="R4" s="154"/>
      <c r="S4" s="154"/>
      <c r="T4" s="154"/>
      <c r="U4" s="154"/>
      <c r="V4" s="154"/>
      <c r="W4" s="154"/>
      <c r="X4" s="154"/>
      <c r="Y4" s="154"/>
      <c r="Z4" s="154"/>
      <c r="AA4" s="154"/>
      <c r="AB4" s="154"/>
    </row>
    <row r="5" spans="1:70" ht="13">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ht="13">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103</v>
      </c>
      <c r="G7" s="159" t="s">
        <v>67</v>
      </c>
      <c r="H7" s="204" t="s">
        <v>926</v>
      </c>
      <c r="I7" s="204" t="s">
        <v>939</v>
      </c>
      <c r="J7" s="204" t="s">
        <v>952</v>
      </c>
      <c r="K7" s="204" t="s">
        <v>927</v>
      </c>
      <c r="L7" s="204" t="s">
        <v>940</v>
      </c>
      <c r="M7" s="204" t="s">
        <v>954</v>
      </c>
      <c r="N7" s="204" t="s">
        <v>928</v>
      </c>
      <c r="O7" s="204" t="s">
        <v>941</v>
      </c>
      <c r="P7" s="204" t="s">
        <v>955</v>
      </c>
      <c r="Q7" s="564" t="str">
        <f>H7&amp;"~2100"</f>
        <v>STOCK~DE1~2100</v>
      </c>
      <c r="R7" s="564" t="str">
        <f>I7&amp;"~2100"</f>
        <v>STOCK~DE2~2100</v>
      </c>
      <c r="S7" s="564" t="str">
        <f>J7&amp;"~2100"</f>
        <v>STOCK~DE3~2100</v>
      </c>
      <c r="T7" s="564" t="s">
        <v>929</v>
      </c>
      <c r="U7" s="564" t="s">
        <v>942</v>
      </c>
      <c r="V7" s="564" t="s">
        <v>956</v>
      </c>
      <c r="W7" s="564" t="s">
        <v>930</v>
      </c>
      <c r="X7" s="564" t="s">
        <v>943</v>
      </c>
      <c r="Y7" s="564" t="s">
        <v>957</v>
      </c>
      <c r="Z7" s="564" t="s">
        <v>931</v>
      </c>
      <c r="AA7" s="564" t="s">
        <v>944</v>
      </c>
      <c r="AB7" s="564" t="s">
        <v>958</v>
      </c>
      <c r="AC7" s="564" t="s">
        <v>932</v>
      </c>
      <c r="AD7" s="564" t="s">
        <v>945</v>
      </c>
      <c r="AE7" s="564" t="s">
        <v>959</v>
      </c>
      <c r="AF7" s="564" t="s">
        <v>933</v>
      </c>
      <c r="AG7" s="564" t="s">
        <v>946</v>
      </c>
      <c r="AH7" s="564" t="s">
        <v>960</v>
      </c>
      <c r="AI7" s="205" t="s">
        <v>934</v>
      </c>
      <c r="AJ7" s="205" t="s">
        <v>986</v>
      </c>
      <c r="AK7" s="205" t="s">
        <v>987</v>
      </c>
      <c r="AL7" s="205" t="s">
        <v>935</v>
      </c>
      <c r="AM7" s="205" t="s">
        <v>988</v>
      </c>
      <c r="AN7" s="205" t="s">
        <v>989</v>
      </c>
      <c r="AO7" s="205" t="s">
        <v>936</v>
      </c>
      <c r="AP7" s="205" t="s">
        <v>990</v>
      </c>
      <c r="AQ7" s="205" t="s">
        <v>991</v>
      </c>
      <c r="AR7" s="205" t="s">
        <v>937</v>
      </c>
      <c r="AS7" s="205" t="s">
        <v>992</v>
      </c>
      <c r="AT7" s="205" t="s">
        <v>993</v>
      </c>
      <c r="AU7" s="159" t="s">
        <v>100</v>
      </c>
      <c r="AV7" s="159" t="s">
        <v>164</v>
      </c>
      <c r="AW7" s="159" t="s">
        <v>93</v>
      </c>
      <c r="AX7" s="298"/>
      <c r="AY7" s="198"/>
      <c r="AZ7" s="199"/>
      <c r="BA7" s="216" t="s">
        <v>938</v>
      </c>
      <c r="BB7" s="217" t="s">
        <v>948</v>
      </c>
      <c r="BC7" s="217" t="s">
        <v>951</v>
      </c>
      <c r="BD7" s="217" t="s">
        <v>938</v>
      </c>
      <c r="BE7" s="217" t="s">
        <v>994</v>
      </c>
      <c r="BF7" s="217" t="s">
        <v>995</v>
      </c>
      <c r="BH7" s="201"/>
      <c r="BI7" s="201"/>
      <c r="BJ7" s="201"/>
      <c r="BK7" s="201"/>
      <c r="BL7" s="201"/>
      <c r="BM7" s="201"/>
      <c r="BN7" s="201"/>
      <c r="BO7" s="201"/>
      <c r="BP7" s="201"/>
      <c r="BQ7" s="201"/>
      <c r="BR7" s="201"/>
    </row>
    <row r="8" spans="1:70" ht="13" thickBot="1">
      <c r="B8" s="161" t="s">
        <v>27</v>
      </c>
      <c r="C8" s="161" t="s">
        <v>122</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97</v>
      </c>
      <c r="AJ8" s="206" t="s">
        <v>97</v>
      </c>
      <c r="AK8" s="206" t="s">
        <v>97</v>
      </c>
      <c r="AL8" s="206" t="s">
        <v>97</v>
      </c>
      <c r="AM8" s="206" t="s">
        <v>97</v>
      </c>
      <c r="AN8" s="206" t="s">
        <v>97</v>
      </c>
      <c r="AO8" s="206" t="s">
        <v>97</v>
      </c>
      <c r="AP8" s="206" t="s">
        <v>97</v>
      </c>
      <c r="AQ8" s="206" t="s">
        <v>97</v>
      </c>
      <c r="AR8" s="206" t="s">
        <v>97</v>
      </c>
      <c r="AS8" s="206" t="s">
        <v>97</v>
      </c>
      <c r="AT8" s="206" t="s">
        <v>97</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 thickBot="1">
      <c r="B9" s="165" t="str">
        <f>Processes!D7</f>
        <v>CDHUDL</v>
      </c>
      <c r="C9" s="165" t="str">
        <f>Processes!E7</f>
        <v xml:space="preserve">Commercial Demand Heating Urban Detached -  - Low </v>
      </c>
      <c r="D9" s="127" t="str">
        <f>Commodities!$C$39&amp;","&amp;Commodities!$C$43&amp;","&amp;Commodities!$C$47&amp;","&amp;Commodities!$C$84&amp;","&amp;Commodities!C59</f>
        <v>COMHUDX,COMHUDB,COMHUDBE,COMHSAV,COMHUDSL</v>
      </c>
      <c r="E9" s="7" t="str">
        <f>Commodities!C7</f>
        <v>CHUDB</v>
      </c>
      <c r="G9" s="166"/>
      <c r="H9" s="526" cm="1">
        <f t="array" ref="H9">ROUNDUP(INDEX(Dem!$F$41:$H$44,MATCH(Buildings_DR!$E9,Dem!$B$5:$B$8,0),MATCH(RIGHT(H$7,3),Dem!$F$1:$H$1,0))*_xlfn.IFS(RIGHT($D9,1)="H",$H$4,RIGHT($D9,1)="M",$H$3,RIGHT($D9,1)="L",$H$2),2)</f>
        <v>0</v>
      </c>
      <c r="I9" s="526" cm="1">
        <f t="array" ref="I9">ROUNDUP(INDEX(Dem!$F$41:$H$44,MATCH(Buildings_DR!$E9,Dem!$B$5:$B$8,0),MATCH(RIGHT(I$7,3),Dem!$F$1:$H$1,0))*_xlfn.IFS(RIGHT($D9,1)="H",$H$4,RIGHT($D9,1)="M",$H$3,RIGHT($D9,1)="L",$H$2),2)</f>
        <v>0</v>
      </c>
      <c r="J9" s="526" cm="1">
        <f t="array" ref="J9">ROUNDUP(INDEX(Dem!$F$41:$H$44,MATCH(Buildings_DR!$E9,Dem!$B$5:$B$8,0),MATCH(RIGHT(J$7,3),Dem!$F$1:$H$1,0))*_xlfn.IFS(RIGHT($D9,1)="H",$H$4,RIGHT($D9,1)="M",$H$3,RIGHT($D9,1)="L",$H$2),2)</f>
        <v>0</v>
      </c>
      <c r="K9" s="526" cm="1">
        <f t="array" ref="K9">ROUNDUP(INDEX(Dem!$F$45:$H$48,MATCH(Buildings_DR!$E9,Dem!$B$5:$B$8,0),MATCH(RIGHT(K$7,3),Dem!$F$1:$H$1,0))*_xlfn.IFS(RIGHT($D9,1)="H",$H$4,RIGHT($D9,1)="M",$H$3,RIGHT($D9,1)="L",$H$2),2)</f>
        <v>0</v>
      </c>
      <c r="L9" s="526" cm="1">
        <f t="array" ref="L9">ROUNDUP(INDEX(Dem!$F$45:$H$48,MATCH(Buildings_DR!$E9,Dem!$B$5:$B$8,0),MATCH(RIGHT(L$7,3),Dem!$F$1:$H$1,0))*_xlfn.IFS(RIGHT($D9,1)="H",$H$4,RIGHT($D9,1)="M",$H$3,RIGHT($D9,1)="L",$H$2),2)</f>
        <v>0</v>
      </c>
      <c r="M9" s="526" cm="1">
        <f t="array" ref="M9">ROUNDUP(INDEX(Dem!$F$45:$H$48,MATCH(Buildings_DR!$E9,Dem!$B$5:$B$8,0),MATCH(RIGHT(M$7,3),Dem!$F$1:$H$1,0))*_xlfn.IFS(RIGHT($D9,1)="H",$H$4,RIGHT($D9,1)="M",$H$3,RIGHT($D9,1)="L",$H$2),2)</f>
        <v>0</v>
      </c>
      <c r="N9" s="526" cm="1">
        <f t="array" ref="N9">ROUNDUP(INDEX(Dem!$F$49:$H$52,MATCH(Buildings_DR!$E9,Dem!$B$5:$B$8,0),MATCH(RIGHT(N$7,3),Dem!$F$1:$H$1,0))*_xlfn.IFS(RIGHT($D9,1)="H",$H$4,RIGHT($D9,1)="M",$H$3,RIGHT($D9,1)="L",$H$2),2)</f>
        <v>0</v>
      </c>
      <c r="O9" s="526" cm="1">
        <f t="array" ref="O9">ROUNDUP(INDEX(Dem!$F$49:$H$52,MATCH(Buildings_DR!$E9,Dem!$B$5:$B$8,0),MATCH(RIGHT(O$7,3),Dem!$F$1:$H$1,0))*_xlfn.IFS(RIGHT($D9,1)="H",$H$4,RIGHT($D9,1)="M",$H$3,RIGHT($D9,1)="L",$H$2),2)</f>
        <v>0</v>
      </c>
      <c r="P9" s="526" cm="1">
        <f t="array" ref="P9">ROUNDUP(INDEX(Dem!$F$49:$H$52,MATCH(Buildings_DR!$E9,Dem!$B$5:$B$8,0),MATCH(RIGHT(P$7,3),Dem!$F$1:$H$1,0))*_xlfn.IFS(RIGHT($D9,1)="H",$H$4,RIGHT($D9,1)="M",$H$3,RIGHT($D9,1)="L",$H$2),2)</f>
        <v>0</v>
      </c>
      <c r="Q9" s="526">
        <f t="shared" ref="Q9:S11" si="7">H9*0.6</f>
        <v>0</v>
      </c>
      <c r="R9" s="526">
        <f t="shared" si="7"/>
        <v>0</v>
      </c>
      <c r="S9" s="526">
        <f t="shared" si="7"/>
        <v>0</v>
      </c>
      <c r="T9" s="526">
        <f t="shared" ref="T9:AE9" si="8">H9*0.99</f>
        <v>0</v>
      </c>
      <c r="U9" s="526">
        <f t="shared" si="8"/>
        <v>0</v>
      </c>
      <c r="V9" s="526">
        <f t="shared" si="8"/>
        <v>0</v>
      </c>
      <c r="W9" s="526">
        <f t="shared" si="8"/>
        <v>0</v>
      </c>
      <c r="X9" s="526">
        <f t="shared" si="8"/>
        <v>0</v>
      </c>
      <c r="Y9" s="526">
        <f t="shared" si="8"/>
        <v>0</v>
      </c>
      <c r="Z9" s="526">
        <f t="shared" si="8"/>
        <v>0</v>
      </c>
      <c r="AA9" s="526">
        <f t="shared" si="8"/>
        <v>0</v>
      </c>
      <c r="AB9" s="526">
        <f t="shared" si="8"/>
        <v>0</v>
      </c>
      <c r="AC9" s="526">
        <f t="shared" si="8"/>
        <v>0</v>
      </c>
      <c r="AD9" s="526">
        <f t="shared" si="8"/>
        <v>0</v>
      </c>
      <c r="AE9" s="526">
        <f t="shared" si="8"/>
        <v>0</v>
      </c>
      <c r="AF9" s="526">
        <v>5</v>
      </c>
      <c r="AG9" s="526">
        <v>5</v>
      </c>
      <c r="AH9" s="526">
        <v>5</v>
      </c>
      <c r="AI9" s="516">
        <f t="shared" ref="AI9:AT9" si="9">AI10/2</f>
        <v>1.23</v>
      </c>
      <c r="AJ9" s="516" t="e">
        <f t="shared" si="9"/>
        <v>#DIV/0!</v>
      </c>
      <c r="AK9" s="516" t="e">
        <f t="shared" si="9"/>
        <v>#DIV/0!</v>
      </c>
      <c r="AL9" s="516">
        <f>AL10/2</f>
        <v>1.1778899999999999</v>
      </c>
      <c r="AM9" s="516" t="e">
        <f t="shared" si="9"/>
        <v>#DIV/0!</v>
      </c>
      <c r="AN9" s="516" t="e">
        <f t="shared" si="9"/>
        <v>#DIV/0!</v>
      </c>
      <c r="AO9" s="516">
        <f t="shared" si="9"/>
        <v>1.375</v>
      </c>
      <c r="AP9" s="516" t="e">
        <f t="shared" si="9"/>
        <v>#DIV/0!</v>
      </c>
      <c r="AQ9" s="516" t="e">
        <f t="shared" si="9"/>
        <v>#DIV/0!</v>
      </c>
      <c r="AR9" s="516">
        <f t="shared" si="9"/>
        <v>1.45</v>
      </c>
      <c r="AS9" s="516" t="e">
        <f t="shared" si="9"/>
        <v>#DIV/0!</v>
      </c>
      <c r="AT9" s="516" t="e">
        <f t="shared" si="9"/>
        <v>#DIV/0!</v>
      </c>
      <c r="AU9" s="167">
        <v>1</v>
      </c>
      <c r="AV9" s="165">
        <v>1</v>
      </c>
      <c r="AW9" s="160"/>
      <c r="AX9" s="162"/>
      <c r="AY9" s="162"/>
      <c r="AZ9" s="199"/>
      <c r="BA9" s="524">
        <f t="shared" ref="BA9:BA36" si="10">H9*$AU$10*$AV$10</f>
        <v>0</v>
      </c>
      <c r="BB9" s="524">
        <f t="shared" ref="BB9:BB36" si="11">I9*$AU$10*$AV$10</f>
        <v>0</v>
      </c>
      <c r="BC9" s="524">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CDHUDM</v>
      </c>
      <c r="C10" s="162" t="str">
        <f>Processes!E8</f>
        <v xml:space="preserve">Commercial Demand Heating Urban Detached -  - Medium </v>
      </c>
      <c r="D10" s="127" t="str">
        <f>Commodities!$C$39&amp;","&amp;Commodities!$C$43&amp;","&amp;Commodities!$C$47&amp;","&amp;Commodities!$C$84&amp;","&amp;Commodities!C60</f>
        <v>COMHUDX,COMHUDB,COMHUDBE,COMHSAV,COMHUDSM</v>
      </c>
      <c r="E10" s="191" t="str">
        <f>E9</f>
        <v>CHUDB</v>
      </c>
      <c r="G10" s="191"/>
      <c r="H10" s="526" cm="1">
        <f t="array" ref="H10">ROUNDUP(INDEX(Dem!$F$41:$H$44,MATCH(Buildings_DR!$E10,Dem!$B$5:$B$8,0),MATCH(RIGHT(H$7,3),Dem!$F$1:$H$1,0))*_xlfn.IFS(RIGHT($D10,1)="H",$H$4,RIGHT($D10,1)="M",$H$3,RIGHT($D10,1)="L",$H$2),2)</f>
        <v>539.61</v>
      </c>
      <c r="I10" s="526" cm="1">
        <f t="array" ref="I10">ROUNDUP(INDEX(Dem!$F$41:$H$44,MATCH(Buildings_DR!$E10,Dem!$B$5:$B$8,0),MATCH(RIGHT(I$7,3),Dem!$F$1:$H$1,0))*_xlfn.IFS(RIGHT($D10,1)="H",$H$4,RIGHT($D10,1)="M",$H$3,RIGHT($D10,1)="L",$H$2),2)</f>
        <v>0</v>
      </c>
      <c r="J10" s="526" cm="1">
        <f t="array" ref="J10">ROUNDUP(INDEX(Dem!$F$41:$H$44,MATCH(Buildings_DR!$E10,Dem!$B$5:$B$8,0),MATCH(RIGHT(J$7,3),Dem!$F$1:$H$1,0))*_xlfn.IFS(RIGHT($D10,1)="H",$H$4,RIGHT($D10,1)="M",$H$3,RIGHT($D10,1)="L",$H$2),2)</f>
        <v>0</v>
      </c>
      <c r="K10" s="526" cm="1">
        <f t="array" ref="K10">ROUNDUP(INDEX(Dem!$F$45:$H$48,MATCH(Buildings_DR!$E10,Dem!$B$5:$B$8,0),MATCH(RIGHT(K$7,3),Dem!$F$1:$H$1,0))*_xlfn.IFS(RIGHT($D10,1)="H",$H$4,RIGHT($D10,1)="M",$H$3,RIGHT($D10,1)="L",$H$2),2)</f>
        <v>539.61</v>
      </c>
      <c r="L10" s="526" cm="1">
        <f t="array" ref="L10">ROUNDUP(INDEX(Dem!$F$45:$H$48,MATCH(Buildings_DR!$E10,Dem!$B$5:$B$8,0),MATCH(RIGHT(L$7,3),Dem!$F$1:$H$1,0))*_xlfn.IFS(RIGHT($D10,1)="H",$H$4,RIGHT($D10,1)="M",$H$3,RIGHT($D10,1)="L",$H$2),2)</f>
        <v>0</v>
      </c>
      <c r="M10" s="526" cm="1">
        <f t="array" ref="M10">ROUNDUP(INDEX(Dem!$F$45:$H$48,MATCH(Buildings_DR!$E10,Dem!$B$5:$B$8,0),MATCH(RIGHT(M$7,3),Dem!$F$1:$H$1,0))*_xlfn.IFS(RIGHT($D10,1)="H",$H$4,RIGHT($D10,1)="M",$H$3,RIGHT($D10,1)="L",$H$2),2)</f>
        <v>0</v>
      </c>
      <c r="N10" s="526" cm="1">
        <f t="array" ref="N10">ROUNDUP(INDEX(Dem!$F$49:$H$52,MATCH(Buildings_DR!$E10,Dem!$B$5:$B$8,0),MATCH(RIGHT(N$7,3),Dem!$F$1:$H$1,0))*_xlfn.IFS(RIGHT($D10,1)="H",$H$4,RIGHT($D10,1)="M",$H$3,RIGHT($D10,1)="L",$H$2),2)</f>
        <v>539.61</v>
      </c>
      <c r="O10" s="526" cm="1">
        <f t="array" ref="O10">ROUNDUP(INDEX(Dem!$F$49:$H$52,MATCH(Buildings_DR!$E10,Dem!$B$5:$B$8,0),MATCH(RIGHT(O$7,3),Dem!$F$1:$H$1,0))*_xlfn.IFS(RIGHT($D10,1)="H",$H$4,RIGHT($D10,1)="M",$H$3,RIGHT($D10,1)="L",$H$2),2)</f>
        <v>0</v>
      </c>
      <c r="P10" s="526" cm="1">
        <f t="array" ref="P10">ROUNDUP(INDEX(Dem!$F$49:$H$52,MATCH(Buildings_DR!$E10,Dem!$B$5:$B$8,0),MATCH(RIGHT(P$7,3),Dem!$F$1:$H$1,0))*_xlfn.IFS(RIGHT($D10,1)="H",$H$4,RIGHT($D10,1)="M",$H$3,RIGHT($D10,1)="L",$H$2),2)</f>
        <v>0</v>
      </c>
      <c r="Q10" s="526">
        <f t="shared" si="7"/>
        <v>323.76600000000002</v>
      </c>
      <c r="R10" s="526">
        <f t="shared" si="7"/>
        <v>0</v>
      </c>
      <c r="S10" s="526">
        <f t="shared" si="7"/>
        <v>0</v>
      </c>
      <c r="T10" s="526">
        <f t="shared" ref="T10:AB10" si="14">H10*$K$2</f>
        <v>534.21389999999997</v>
      </c>
      <c r="U10" s="526">
        <f t="shared" si="14"/>
        <v>0</v>
      </c>
      <c r="V10" s="526">
        <f t="shared" si="14"/>
        <v>0</v>
      </c>
      <c r="W10" s="526">
        <f>K10*$K$2</f>
        <v>534.21389999999997</v>
      </c>
      <c r="X10" s="526">
        <f t="shared" si="14"/>
        <v>0</v>
      </c>
      <c r="Y10" s="526">
        <f t="shared" si="14"/>
        <v>0</v>
      </c>
      <c r="Z10" s="526">
        <f t="shared" si="14"/>
        <v>534.21389999999997</v>
      </c>
      <c r="AA10" s="526">
        <f t="shared" si="14"/>
        <v>0</v>
      </c>
      <c r="AB10" s="526">
        <f t="shared" si="14"/>
        <v>0</v>
      </c>
      <c r="AC10" s="526">
        <f>Q10*$K$3</f>
        <v>320.52834000000001</v>
      </c>
      <c r="AD10" s="526">
        <f>R10*$K$3</f>
        <v>0</v>
      </c>
      <c r="AE10" s="526">
        <f>S10*$K$3</f>
        <v>0</v>
      </c>
      <c r="AF10" s="526">
        <v>5</v>
      </c>
      <c r="AG10" s="526">
        <v>5</v>
      </c>
      <c r="AH10" s="526">
        <v>5</v>
      </c>
      <c r="AI10" s="517">
        <f>ROUNDUP(SUM(H9:H15)/SUM(Boilers_DR!AB6:AB16),2)</f>
        <v>2.46</v>
      </c>
      <c r="AJ10" s="517" t="e">
        <f>ROUNDUP(SUM(I9:I15)/SUM(Boilers_DR!AC6:AC16),2)</f>
        <v>#DIV/0!</v>
      </c>
      <c r="AK10" s="517" t="e">
        <f>ROUNDUP(SUM(J9:J15)/SUM(Boilers_DR!AD6:AD16),2)</f>
        <v>#DIV/0!</v>
      </c>
      <c r="AL10" s="517">
        <f>ROUNDUP(SUM(K9:K15)/SUM(Boilers_DR!AB50:AB59),2)*AL3</f>
        <v>2.3557799999999998</v>
      </c>
      <c r="AM10" s="517" t="e">
        <f>ROUNDUP(SUM(L9:L15)/SUM(Boilers_DR!AC50:AC59),2)*AM3</f>
        <v>#DIV/0!</v>
      </c>
      <c r="AN10" s="517" t="e">
        <f>ROUNDUP(SUM(M9:M15)/SUM(Boilers_DR!AD50:AD59),2)*AN3</f>
        <v>#DIV/0!</v>
      </c>
      <c r="AO10" s="517">
        <f>ROUNDUP(SUM(N9:N15)/SUM(Boilers_DR!AB90:AB99),2)</f>
        <v>2.75</v>
      </c>
      <c r="AP10" s="517" t="e">
        <f>ROUNDUP(SUM(O9:O15)/SUM(Boilers_DR!AC90:AC99),2)</f>
        <v>#DIV/0!</v>
      </c>
      <c r="AQ10" s="517" t="e">
        <f>ROUNDUP(SUM(P9:P15)/SUM(Boilers_DR!AD90:AD99),2)</f>
        <v>#DIV/0!</v>
      </c>
      <c r="AR10" s="517">
        <f>ROUNDUP(SUM(N9:N15)/SUM(Boilers_DR!AB130:AB139),2)</f>
        <v>2.9</v>
      </c>
      <c r="AS10" s="517" t="e">
        <f>ROUNDUP(SUM(O9:O15)/SUM(Boilers_DR!AC130:AC139),2)</f>
        <v>#DIV/0!</v>
      </c>
      <c r="AT10" s="517" t="e">
        <f>ROUNDUP(SUM(P9:P15)/SUM(Boilers_DR!AD130:AD139),2)</f>
        <v>#DIV/0!</v>
      </c>
      <c r="AU10" s="163">
        <v>1</v>
      </c>
      <c r="AV10" s="162">
        <v>1</v>
      </c>
      <c r="AW10" s="160"/>
      <c r="AX10" s="162"/>
      <c r="AY10" s="162"/>
      <c r="AZ10" s="199"/>
      <c r="BA10" s="524">
        <f t="shared" si="10"/>
        <v>539.61</v>
      </c>
      <c r="BB10" s="524">
        <f t="shared" si="11"/>
        <v>0</v>
      </c>
      <c r="BC10" s="524">
        <f t="shared" si="12"/>
        <v>0</v>
      </c>
      <c r="BD10" s="525">
        <f t="shared" si="13"/>
        <v>219.35365853658539</v>
      </c>
      <c r="BE10" s="525" t="e">
        <f t="shared" si="13"/>
        <v>#DIV/0!</v>
      </c>
      <c r="BF10" s="525" t="e">
        <f t="shared" si="13"/>
        <v>#DIV/0!</v>
      </c>
      <c r="BH10" s="201"/>
      <c r="BI10" s="201"/>
      <c r="BJ10" s="201"/>
      <c r="BK10" s="201"/>
      <c r="BL10" s="201"/>
      <c r="BM10" s="201"/>
      <c r="BN10" s="201"/>
      <c r="BO10" s="201"/>
      <c r="BP10" s="201"/>
      <c r="BQ10" s="201"/>
      <c r="BR10" s="201"/>
    </row>
    <row r="11" spans="1:70">
      <c r="A11" s="162"/>
      <c r="B11" s="162" t="str">
        <f>Processes!D9</f>
        <v>CDHUDH</v>
      </c>
      <c r="C11" s="162" t="str">
        <f>Processes!E9</f>
        <v xml:space="preserve">Commercial Demand Heating Urban Detached -  - High </v>
      </c>
      <c r="D11" s="127" t="str">
        <f>Commodities!$C$39&amp;","&amp;Commodities!$C$43&amp;","&amp;Commodities!$C$47&amp;","&amp;Commodities!$C$84&amp;","&amp;Commodities!C61</f>
        <v>COMHUDX,COMHUDB,COMHUDBE,COMHSAV,COMHUDSH</v>
      </c>
      <c r="E11" s="191" t="str">
        <f>E10</f>
        <v>CHUDB</v>
      </c>
      <c r="G11" s="191"/>
      <c r="H11" s="526" cm="1">
        <f t="array" ref="H11">ROUNDUP(INDEX(Dem!$F$41:$H$44,MATCH(Buildings_DR!$E11,Dem!$B$5:$B$8,0),MATCH(RIGHT(H$7,3),Dem!$F$1:$H$1,0))*_xlfn.IFS(RIGHT($D11,1)="H",$H$4,RIGHT($D11,1)="M",$H$3,RIGHT($D11,1)="L",$H$2),2)</f>
        <v>0</v>
      </c>
      <c r="I11" s="526" cm="1">
        <f t="array" ref="I11">ROUNDUP(INDEX(Dem!$F$41:$H$44,MATCH(Buildings_DR!$E11,Dem!$B$5:$B$8,0),MATCH(RIGHT(I$7,3),Dem!$F$1:$H$1,0))*_xlfn.IFS(RIGHT($D11,1)="H",$H$4,RIGHT($D11,1)="M",$H$3,RIGHT($D11,1)="L",$H$2),2)</f>
        <v>0</v>
      </c>
      <c r="J11" s="526" cm="1">
        <f t="array" ref="J11">ROUNDUP(INDEX(Dem!$F$41:$H$44,MATCH(Buildings_DR!$E11,Dem!$B$5:$B$8,0),MATCH(RIGHT(J$7,3),Dem!$F$1:$H$1,0))*_xlfn.IFS(RIGHT($D11,1)="H",$H$4,RIGHT($D11,1)="M",$H$3,RIGHT($D11,1)="L",$H$2),2)</f>
        <v>0</v>
      </c>
      <c r="K11" s="526" cm="1">
        <f t="array" ref="K11">ROUNDUP(INDEX(Dem!$F$45:$H$48,MATCH(Buildings_DR!$E11,Dem!$B$5:$B$8,0),MATCH(RIGHT(K$7,3),Dem!$F$1:$H$1,0))*_xlfn.IFS(RIGHT($D11,1)="H",$H$4,RIGHT($D11,1)="M",$H$3,RIGHT($D11,1)="L",$H$2),2)</f>
        <v>0</v>
      </c>
      <c r="L11" s="526" cm="1">
        <f t="array" ref="L11">ROUNDUP(INDEX(Dem!$F$45:$H$48,MATCH(Buildings_DR!$E11,Dem!$B$5:$B$8,0),MATCH(RIGHT(L$7,3),Dem!$F$1:$H$1,0))*_xlfn.IFS(RIGHT($D11,1)="H",$H$4,RIGHT($D11,1)="M",$H$3,RIGHT($D11,1)="L",$H$2),2)</f>
        <v>0</v>
      </c>
      <c r="M11" s="526" cm="1">
        <f t="array" ref="M11">ROUNDUP(INDEX(Dem!$F$45:$H$48,MATCH(Buildings_DR!$E11,Dem!$B$5:$B$8,0),MATCH(RIGHT(M$7,3),Dem!$F$1:$H$1,0))*_xlfn.IFS(RIGHT($D11,1)="H",$H$4,RIGHT($D11,1)="M",$H$3,RIGHT($D11,1)="L",$H$2),2)</f>
        <v>0</v>
      </c>
      <c r="N11" s="526" cm="1">
        <f t="array" ref="N11">ROUNDUP(INDEX(Dem!$F$49:$H$52,MATCH(Buildings_DR!$E11,Dem!$B$5:$B$8,0),MATCH(RIGHT(N$7,3),Dem!$F$1:$H$1,0))*_xlfn.IFS(RIGHT($D11,1)="H",$H$4,RIGHT($D11,1)="M",$H$3,RIGHT($D11,1)="L",$H$2),2)</f>
        <v>0</v>
      </c>
      <c r="O11" s="526" cm="1">
        <f t="array" ref="O11">ROUNDUP(INDEX(Dem!$F$49:$H$52,MATCH(Buildings_DR!$E11,Dem!$B$5:$B$8,0),MATCH(RIGHT(O$7,3),Dem!$F$1:$H$1,0))*_xlfn.IFS(RIGHT($D11,1)="H",$H$4,RIGHT($D11,1)="M",$H$3,RIGHT($D11,1)="L",$H$2),2)</f>
        <v>0</v>
      </c>
      <c r="P11" s="526" cm="1">
        <f t="array" ref="P11">ROUNDUP(INDEX(Dem!$F$49:$H$52,MATCH(Buildings_DR!$E11,Dem!$B$5:$B$8,0),MATCH(RIGHT(P$7,3),Dem!$F$1:$H$1,0))*_xlfn.IFS(RIGHT($D11,1)="H",$H$4,RIGHT($D11,1)="M",$H$3,RIGHT($D11,1)="L",$H$2),2)</f>
        <v>0</v>
      </c>
      <c r="Q11" s="526">
        <f t="shared" si="7"/>
        <v>0</v>
      </c>
      <c r="R11" s="526">
        <f t="shared" si="7"/>
        <v>0</v>
      </c>
      <c r="S11" s="526">
        <f t="shared" si="7"/>
        <v>0</v>
      </c>
      <c r="T11" s="526">
        <f t="shared" ref="T11:AE11" si="15">H11*0.99</f>
        <v>0</v>
      </c>
      <c r="U11" s="526">
        <f t="shared" si="15"/>
        <v>0</v>
      </c>
      <c r="V11" s="526">
        <f t="shared" si="15"/>
        <v>0</v>
      </c>
      <c r="W11" s="526">
        <f t="shared" si="15"/>
        <v>0</v>
      </c>
      <c r="X11" s="526">
        <f t="shared" si="15"/>
        <v>0</v>
      </c>
      <c r="Y11" s="526">
        <f t="shared" si="15"/>
        <v>0</v>
      </c>
      <c r="Z11" s="526">
        <f t="shared" si="15"/>
        <v>0</v>
      </c>
      <c r="AA11" s="526">
        <f t="shared" si="15"/>
        <v>0</v>
      </c>
      <c r="AB11" s="526">
        <f t="shared" si="15"/>
        <v>0</v>
      </c>
      <c r="AC11" s="526">
        <f t="shared" si="15"/>
        <v>0</v>
      </c>
      <c r="AD11" s="526">
        <f t="shared" si="15"/>
        <v>0</v>
      </c>
      <c r="AE11" s="526">
        <f t="shared" si="15"/>
        <v>0</v>
      </c>
      <c r="AF11" s="526">
        <v>5</v>
      </c>
      <c r="AG11" s="526">
        <v>5</v>
      </c>
      <c r="AH11" s="526">
        <v>5</v>
      </c>
      <c r="AI11" s="517">
        <f t="shared" ref="AI11:AQ11" si="16">AI10/2+AI12/2</f>
        <v>3.2349999999999999</v>
      </c>
      <c r="AJ11" s="517" t="e">
        <f t="shared" si="16"/>
        <v>#DIV/0!</v>
      </c>
      <c r="AK11" s="517" t="e">
        <f t="shared" si="16"/>
        <v>#DIV/0!</v>
      </c>
      <c r="AL11" s="517">
        <f t="shared" si="16"/>
        <v>3.1828899999999996</v>
      </c>
      <c r="AM11" s="517" t="e">
        <f t="shared" si="16"/>
        <v>#DIV/0!</v>
      </c>
      <c r="AN11" s="517" t="e">
        <f t="shared" si="16"/>
        <v>#DIV/0!</v>
      </c>
      <c r="AO11" s="517">
        <f t="shared" si="16"/>
        <v>3.38</v>
      </c>
      <c r="AP11" s="517" t="e">
        <f t="shared" si="16"/>
        <v>#DIV/0!</v>
      </c>
      <c r="AQ11" s="517" t="e">
        <f t="shared" si="16"/>
        <v>#DIV/0!</v>
      </c>
      <c r="AR11" s="517">
        <f t="shared" ref="AR11:AT11" si="17">AR10/2+AR12/2</f>
        <v>3.4550000000000001</v>
      </c>
      <c r="AS11" s="517" t="e">
        <f t="shared" si="17"/>
        <v>#DIV/0!</v>
      </c>
      <c r="AT11" s="517" t="e">
        <f t="shared" si="17"/>
        <v>#DIV/0!</v>
      </c>
      <c r="AU11" s="163">
        <v>1</v>
      </c>
      <c r="AV11" s="162">
        <v>1</v>
      </c>
      <c r="AW11" s="162"/>
      <c r="AX11" s="162"/>
      <c r="AY11" s="162"/>
      <c r="AZ11" s="199"/>
      <c r="BA11" s="524">
        <f t="shared" si="10"/>
        <v>0</v>
      </c>
      <c r="BB11" s="524">
        <f t="shared" si="11"/>
        <v>0</v>
      </c>
      <c r="BC11" s="524">
        <f t="shared" si="12"/>
        <v>0</v>
      </c>
      <c r="BD11" s="525">
        <f t="shared" si="13"/>
        <v>0</v>
      </c>
      <c r="BE11" s="525" t="e">
        <f t="shared" si="13"/>
        <v>#DIV/0!</v>
      </c>
      <c r="BF11" s="525" t="e">
        <f t="shared" si="13"/>
        <v>#DIV/0!</v>
      </c>
      <c r="BH11" s="201"/>
      <c r="BI11" s="201"/>
      <c r="BJ11" s="201"/>
      <c r="BK11" s="201"/>
      <c r="BL11" s="201"/>
      <c r="BM11" s="201"/>
      <c r="BN11" s="201"/>
      <c r="BO11" s="201"/>
      <c r="BP11" s="201"/>
      <c r="BQ11" s="201"/>
      <c r="BR11" s="201"/>
    </row>
    <row r="12" spans="1:70">
      <c r="B12" s="162" t="str">
        <f>Processes!D10</f>
        <v>CDHUDN</v>
      </c>
      <c r="C12" s="162" t="str">
        <f>Processes!E10</f>
        <v xml:space="preserve">Commercial Demand Heating Urban Detached -  - New </v>
      </c>
      <c r="D12" s="127" t="str">
        <f>Commodities!$C$39&amp;","&amp;Commodities!$C$43&amp;","&amp;Commodities!$C$51</f>
        <v>COMHUDX,COMHUDB,COMHUDBN</v>
      </c>
      <c r="E12" s="191" t="str">
        <f>E11</f>
        <v>CHUDB</v>
      </c>
      <c r="F12" s="156">
        <v>2010</v>
      </c>
      <c r="G12" s="191">
        <v>2010</v>
      </c>
      <c r="H12" s="526"/>
      <c r="I12" s="526"/>
      <c r="J12" s="526"/>
      <c r="K12" s="526"/>
      <c r="L12" s="526"/>
      <c r="M12" s="526"/>
      <c r="N12" s="526"/>
      <c r="O12" s="526"/>
      <c r="P12" s="526"/>
      <c r="Q12" s="526"/>
      <c r="R12" s="526"/>
      <c r="S12" s="526"/>
      <c r="T12" s="526"/>
      <c r="U12" s="526"/>
      <c r="V12" s="526"/>
      <c r="W12" s="526"/>
      <c r="X12" s="526"/>
      <c r="Y12" s="526"/>
      <c r="Z12" s="526"/>
      <c r="AA12" s="526"/>
      <c r="AB12" s="526"/>
      <c r="AC12" s="526"/>
      <c r="AD12" s="526"/>
      <c r="AE12" s="526"/>
      <c r="AF12" s="526"/>
      <c r="AG12" s="526"/>
      <c r="AH12" s="526"/>
      <c r="AI12" s="518">
        <f>ROUND(Sources!$T$8,2)</f>
        <v>4.01</v>
      </c>
      <c r="AJ12" s="518">
        <f>ROUND(Sources!$T$8,2)</f>
        <v>4.01</v>
      </c>
      <c r="AK12" s="518">
        <f>ROUND(Sources!$T$8,2)</f>
        <v>4.01</v>
      </c>
      <c r="AL12" s="518">
        <f>ROUND(Sources!$T$8,2)</f>
        <v>4.01</v>
      </c>
      <c r="AM12" s="518">
        <f>ROUND(Sources!$T$8,2)</f>
        <v>4.01</v>
      </c>
      <c r="AN12" s="518">
        <f>ROUND(Sources!$T$8,2)</f>
        <v>4.01</v>
      </c>
      <c r="AO12" s="518">
        <f>ROUND(Sources!$T$8,2)</f>
        <v>4.01</v>
      </c>
      <c r="AP12" s="518">
        <f>ROUND(Sources!$T$8,2)</f>
        <v>4.01</v>
      </c>
      <c r="AQ12" s="518">
        <f>ROUND(Sources!$T$8,2)</f>
        <v>4.01</v>
      </c>
      <c r="AR12" s="518">
        <f>ROUND(Sources!$T$8,2)</f>
        <v>4.01</v>
      </c>
      <c r="AS12" s="518">
        <f>ROUND(Sources!$T$8,2)</f>
        <v>4.01</v>
      </c>
      <c r="AT12" s="518">
        <f>ROUND(Sources!$T$8,2)</f>
        <v>4.01</v>
      </c>
      <c r="AU12" s="163">
        <v>1</v>
      </c>
      <c r="AV12" s="168">
        <v>1</v>
      </c>
      <c r="AW12" s="162">
        <v>100</v>
      </c>
      <c r="AX12" s="162"/>
      <c r="BA12" s="524">
        <f t="shared" si="10"/>
        <v>0</v>
      </c>
      <c r="BB12" s="524">
        <f t="shared" si="11"/>
        <v>0</v>
      </c>
      <c r="BC12" s="524">
        <f t="shared" si="12"/>
        <v>0</v>
      </c>
      <c r="BD12" s="525">
        <f t="shared" ref="BD12:BF15" si="18">BA12/AI26</f>
        <v>0</v>
      </c>
      <c r="BE12" s="525">
        <f t="shared" si="18"/>
        <v>0</v>
      </c>
      <c r="BF12" s="525">
        <f t="shared" si="18"/>
        <v>0</v>
      </c>
      <c r="BH12" s="201"/>
      <c r="BI12" s="201"/>
      <c r="BJ12" s="201"/>
      <c r="BK12" s="201"/>
      <c r="BL12" s="201"/>
      <c r="BM12" s="201"/>
      <c r="BN12" s="201"/>
      <c r="BO12" s="201"/>
      <c r="BP12" s="201"/>
      <c r="BQ12" s="201"/>
      <c r="BR12" s="201"/>
    </row>
    <row r="13" spans="1:70">
      <c r="B13" s="162"/>
      <c r="C13" s="162"/>
      <c r="D13" s="550"/>
      <c r="E13" s="191"/>
      <c r="F13" s="156">
        <v>2016</v>
      </c>
      <c r="H13" s="526"/>
      <c r="I13" s="526"/>
      <c r="J13" s="526"/>
      <c r="K13" s="526"/>
      <c r="L13" s="526"/>
      <c r="M13" s="526"/>
      <c r="N13" s="526"/>
      <c r="O13" s="526"/>
      <c r="P13" s="526"/>
      <c r="Q13" s="526"/>
      <c r="R13" s="526"/>
      <c r="S13" s="526"/>
      <c r="T13" s="526"/>
      <c r="U13" s="526"/>
      <c r="V13" s="526"/>
      <c r="W13" s="526"/>
      <c r="X13" s="526"/>
      <c r="Y13" s="526"/>
      <c r="Z13" s="526"/>
      <c r="AA13" s="526"/>
      <c r="AB13" s="526"/>
      <c r="AC13" s="526"/>
      <c r="AD13" s="526"/>
      <c r="AE13" s="526"/>
      <c r="AF13" s="526"/>
      <c r="AG13" s="526"/>
      <c r="AH13" s="526"/>
      <c r="AI13" s="518">
        <f>ROUND(Sources!$T$9,2)</f>
        <v>4.75</v>
      </c>
      <c r="AJ13" s="518">
        <f>ROUND(Sources!$T$9,2)</f>
        <v>4.75</v>
      </c>
      <c r="AK13" s="518">
        <f>ROUND(Sources!$T$9,2)</f>
        <v>4.75</v>
      </c>
      <c r="AL13" s="518">
        <f>ROUND(Sources!$T$9,2)</f>
        <v>4.75</v>
      </c>
      <c r="AM13" s="518">
        <f>ROUND(Sources!$T$9,2)</f>
        <v>4.75</v>
      </c>
      <c r="AN13" s="518">
        <f>ROUND(Sources!$T$9,2)</f>
        <v>4.75</v>
      </c>
      <c r="AO13" s="518">
        <f>ROUND(Sources!$T$9,2)</f>
        <v>4.75</v>
      </c>
      <c r="AP13" s="518">
        <f>ROUND(Sources!$T$9,2)</f>
        <v>4.75</v>
      </c>
      <c r="AQ13" s="518">
        <f>ROUND(Sources!$T$9,2)</f>
        <v>4.75</v>
      </c>
      <c r="AR13" s="518">
        <f>ROUND(Sources!$T$9,2)</f>
        <v>4.75</v>
      </c>
      <c r="AS13" s="518">
        <f>ROUND(Sources!$T$9,2)</f>
        <v>4.75</v>
      </c>
      <c r="AT13" s="518">
        <f>ROUND(Sources!$T$9,2)</f>
        <v>4.75</v>
      </c>
      <c r="AU13" s="163">
        <v>1</v>
      </c>
      <c r="AV13" s="168">
        <v>1</v>
      </c>
      <c r="AW13" s="162">
        <v>100</v>
      </c>
      <c r="AX13" s="162"/>
      <c r="BA13" s="524">
        <f t="shared" si="10"/>
        <v>0</v>
      </c>
      <c r="BB13" s="524">
        <f t="shared" si="11"/>
        <v>0</v>
      </c>
      <c r="BC13" s="524">
        <f t="shared" si="12"/>
        <v>0</v>
      </c>
      <c r="BD13" s="525">
        <f t="shared" si="18"/>
        <v>0</v>
      </c>
      <c r="BE13" s="525">
        <f t="shared" si="18"/>
        <v>0</v>
      </c>
      <c r="BF13" s="525">
        <f t="shared" si="18"/>
        <v>0</v>
      </c>
      <c r="BH13" s="201"/>
      <c r="BI13" s="201"/>
      <c r="BJ13" s="201"/>
      <c r="BK13" s="201"/>
      <c r="BL13" s="201"/>
      <c r="BM13" s="201"/>
      <c r="BN13" s="201"/>
      <c r="BO13" s="201"/>
      <c r="BP13" s="201"/>
      <c r="BQ13" s="201"/>
      <c r="BR13" s="201"/>
    </row>
    <row r="14" spans="1:70">
      <c r="B14" s="162"/>
      <c r="C14" s="162"/>
      <c r="D14" s="550"/>
      <c r="E14" s="191"/>
      <c r="F14" s="156">
        <v>2021</v>
      </c>
      <c r="H14" s="526"/>
      <c r="I14" s="526"/>
      <c r="J14" s="526"/>
      <c r="K14" s="526"/>
      <c r="L14" s="526"/>
      <c r="M14" s="526"/>
      <c r="N14" s="526"/>
      <c r="O14" s="526"/>
      <c r="P14" s="526"/>
      <c r="Q14" s="526"/>
      <c r="R14" s="526"/>
      <c r="S14" s="526"/>
      <c r="T14" s="526"/>
      <c r="U14" s="526"/>
      <c r="V14" s="526"/>
      <c r="W14" s="526"/>
      <c r="X14" s="526"/>
      <c r="Y14" s="526"/>
      <c r="Z14" s="526"/>
      <c r="AA14" s="526"/>
      <c r="AB14" s="526"/>
      <c r="AC14" s="526"/>
      <c r="AD14" s="526"/>
      <c r="AE14" s="526"/>
      <c r="AF14" s="526"/>
      <c r="AG14" s="526"/>
      <c r="AH14" s="526"/>
      <c r="AI14" s="518">
        <f>ROUND(Sources!$T$10,2)</f>
        <v>6.08</v>
      </c>
      <c r="AJ14" s="518">
        <f>ROUND(Sources!$T$10,2)</f>
        <v>6.08</v>
      </c>
      <c r="AK14" s="518">
        <f>ROUND(Sources!$T$10,2)</f>
        <v>6.08</v>
      </c>
      <c r="AL14" s="518">
        <f>ROUND(Sources!$T$10,2)</f>
        <v>6.08</v>
      </c>
      <c r="AM14" s="518">
        <f>ROUND(Sources!$T$10,2)</f>
        <v>6.08</v>
      </c>
      <c r="AN14" s="518">
        <f>ROUND(Sources!$T$10,2)</f>
        <v>6.08</v>
      </c>
      <c r="AO14" s="518">
        <f>ROUND(Sources!$T$10,2)</f>
        <v>6.08</v>
      </c>
      <c r="AP14" s="518">
        <f>ROUND(Sources!$T$10,2)</f>
        <v>6.08</v>
      </c>
      <c r="AQ14" s="518">
        <f>ROUND(Sources!$T$10,2)</f>
        <v>6.08</v>
      </c>
      <c r="AR14" s="518">
        <f>ROUND(Sources!$T$10,2)</f>
        <v>6.08</v>
      </c>
      <c r="AS14" s="518">
        <f>ROUND(Sources!$T$10,2)</f>
        <v>6.08</v>
      </c>
      <c r="AT14" s="518">
        <f>ROUND(Sources!$T$10,2)</f>
        <v>6.08</v>
      </c>
      <c r="AU14" s="163">
        <v>1</v>
      </c>
      <c r="AV14" s="168">
        <v>1</v>
      </c>
      <c r="AW14" s="162">
        <v>100</v>
      </c>
      <c r="AX14" s="162"/>
      <c r="BA14" s="524">
        <f t="shared" si="10"/>
        <v>0</v>
      </c>
      <c r="BB14" s="524">
        <f t="shared" si="11"/>
        <v>0</v>
      </c>
      <c r="BC14" s="524">
        <f t="shared" si="12"/>
        <v>0</v>
      </c>
      <c r="BD14" s="525">
        <f t="shared" si="18"/>
        <v>0</v>
      </c>
      <c r="BE14" s="525">
        <f t="shared" si="18"/>
        <v>0</v>
      </c>
      <c r="BF14" s="525">
        <f t="shared" si="18"/>
        <v>0</v>
      </c>
      <c r="BH14" s="201"/>
      <c r="BI14" s="201"/>
      <c r="BJ14" s="201"/>
      <c r="BK14" s="201"/>
      <c r="BL14" s="201"/>
      <c r="BM14" s="201"/>
      <c r="BN14" s="201"/>
      <c r="BO14" s="201"/>
      <c r="BP14" s="201"/>
      <c r="BQ14" s="201"/>
      <c r="BR14" s="201"/>
    </row>
    <row r="15" spans="1:70" ht="13" thickBot="1">
      <c r="B15" s="162"/>
      <c r="C15" s="162"/>
      <c r="D15" s="550"/>
      <c r="E15" s="212"/>
      <c r="F15" s="164">
        <v>2031</v>
      </c>
      <c r="G15" s="164"/>
      <c r="H15" s="527"/>
      <c r="I15" s="527"/>
      <c r="J15" s="527"/>
      <c r="K15" s="527"/>
      <c r="L15" s="527"/>
      <c r="M15" s="527"/>
      <c r="N15" s="527"/>
      <c r="O15" s="527"/>
      <c r="P15" s="527"/>
      <c r="Q15" s="526"/>
      <c r="R15" s="526"/>
      <c r="S15" s="526"/>
      <c r="T15" s="526"/>
      <c r="U15" s="526"/>
      <c r="V15" s="526"/>
      <c r="W15" s="526"/>
      <c r="X15" s="526"/>
      <c r="Y15" s="526"/>
      <c r="Z15" s="526"/>
      <c r="AA15" s="526"/>
      <c r="AB15" s="526"/>
      <c r="AC15" s="526"/>
      <c r="AD15" s="526"/>
      <c r="AE15" s="526"/>
      <c r="AF15" s="526"/>
      <c r="AG15" s="526"/>
      <c r="AH15" s="526"/>
      <c r="AI15" s="518">
        <f>ROUND(Sources!$T$11,2)</f>
        <v>6.94</v>
      </c>
      <c r="AJ15" s="518">
        <f>ROUND(Sources!$T$11,2)</f>
        <v>6.94</v>
      </c>
      <c r="AK15" s="518">
        <f>ROUND(Sources!$T$11,2)</f>
        <v>6.94</v>
      </c>
      <c r="AL15" s="518">
        <f>ROUND(Sources!$T$11,2)</f>
        <v>6.94</v>
      </c>
      <c r="AM15" s="518">
        <f>ROUND(Sources!$T$11,2)</f>
        <v>6.94</v>
      </c>
      <c r="AN15" s="518">
        <f>ROUND(Sources!$T$11,2)</f>
        <v>6.94</v>
      </c>
      <c r="AO15" s="518">
        <f>ROUND(Sources!$T$11,2)</f>
        <v>6.94</v>
      </c>
      <c r="AP15" s="518">
        <f>ROUND(Sources!$T$11,2)</f>
        <v>6.94</v>
      </c>
      <c r="AQ15" s="518">
        <f>ROUND(Sources!$T$11,2)</f>
        <v>6.94</v>
      </c>
      <c r="AR15" s="518">
        <f>ROUND(Sources!$T$11,2)</f>
        <v>6.94</v>
      </c>
      <c r="AS15" s="518">
        <f>ROUND(Sources!$T$11,2)</f>
        <v>6.94</v>
      </c>
      <c r="AT15" s="518">
        <f>ROUND(Sources!$T$11,2)</f>
        <v>6.94</v>
      </c>
      <c r="AU15" s="163">
        <v>1</v>
      </c>
      <c r="AV15" s="168">
        <v>1</v>
      </c>
      <c r="AW15" s="162">
        <v>100</v>
      </c>
      <c r="AX15" s="162"/>
      <c r="BA15" s="524">
        <f t="shared" si="10"/>
        <v>0</v>
      </c>
      <c r="BB15" s="524">
        <f t="shared" si="11"/>
        <v>0</v>
      </c>
      <c r="BC15" s="524">
        <f t="shared" si="12"/>
        <v>0</v>
      </c>
      <c r="BD15" s="525">
        <f t="shared" si="18"/>
        <v>0</v>
      </c>
      <c r="BE15" s="525">
        <f t="shared" si="18"/>
        <v>0</v>
      </c>
      <c r="BF15" s="525">
        <f t="shared" si="18"/>
        <v>0</v>
      </c>
      <c r="BH15" s="201"/>
      <c r="BI15" s="201"/>
      <c r="BJ15" s="201"/>
      <c r="BK15" s="201"/>
      <c r="BL15" s="201"/>
      <c r="BM15" s="201"/>
      <c r="BN15" s="201"/>
      <c r="BO15" s="201"/>
      <c r="BP15" s="201"/>
      <c r="BQ15" s="201"/>
      <c r="BR15" s="201"/>
    </row>
    <row r="16" spans="1:70" ht="13" thickBot="1">
      <c r="B16" s="165" t="str">
        <f>Processes!D11</f>
        <v>CDHRDL</v>
      </c>
      <c r="C16" s="165" t="str">
        <f>Processes!E11</f>
        <v xml:space="preserve">Commercial Demand Heating Rural Detached -  - Low </v>
      </c>
      <c r="D16" s="127" t="str">
        <f>Commodities!$C$40&amp;","&amp;Commodities!$C$44&amp;","&amp;Commodities!$C$48&amp;","&amp;Commodities!$C$84&amp;","&amp;Commodities!C62</f>
        <v>COMHRDX,COMHRDB,COMHRDBE,COMHSAV,COMHRDSL</v>
      </c>
      <c r="E16" s="7" t="str">
        <f>Commodities!C8</f>
        <v>CHRDB</v>
      </c>
      <c r="G16" s="166"/>
      <c r="H16" s="526" cm="1">
        <f t="array" ref="H16">ROUNDUP(INDEX(Dem!$F$41:$H$44,MATCH(Buildings_DR!$E16,Dem!$B$5:$B$8,0),MATCH(RIGHT(H$7,3),Dem!$F$1:$H$1,0))*_xlfn.IFS(RIGHT($D16,1)="H",$H$4,RIGHT($D16,1)="M",$H$3,RIGHT($D16,1)="L",$H$2),2)</f>
        <v>0</v>
      </c>
      <c r="I16" s="526" cm="1">
        <f t="array" ref="I16">ROUNDUP(INDEX(Dem!$F$41:$H$44,MATCH(Buildings_DR!$E16,Dem!$B$5:$B$8,0),MATCH(RIGHT(I$7,3),Dem!$F$1:$H$1,0))*_xlfn.IFS(RIGHT($D16,1)="H",$H$4,RIGHT($D16,1)="M",$H$3,RIGHT($D16,1)="L",$H$2),2)</f>
        <v>0</v>
      </c>
      <c r="J16" s="526" cm="1">
        <f t="array" ref="J16">ROUNDUP(INDEX(Dem!$F$41:$H$44,MATCH(Buildings_DR!$E16,Dem!$B$5:$B$8,0),MATCH(RIGHT(J$7,3),Dem!$F$1:$H$1,0))*_xlfn.IFS(RIGHT($D16,1)="H",$H$4,RIGHT($D16,1)="M",$H$3,RIGHT($D16,1)="L",$H$2),2)</f>
        <v>0</v>
      </c>
      <c r="K16" s="526" cm="1">
        <f t="array" ref="K16">ROUNDUP(INDEX(Dem!$F$45:$H$48,MATCH(Buildings_DR!$E16,Dem!$B$5:$B$8,0),MATCH(RIGHT(K$7,3),Dem!$F$1:$H$1,0))*_xlfn.IFS(RIGHT($D16,1)="H",$H$4,RIGHT($D16,1)="M",$H$3,RIGHT($D16,1)="L",$H$2),2)</f>
        <v>0</v>
      </c>
      <c r="L16" s="526" cm="1">
        <f t="array" ref="L16">ROUNDUP(INDEX(Dem!$F$45:$H$48,MATCH(Buildings_DR!$E16,Dem!$B$5:$B$8,0),MATCH(RIGHT(L$7,3),Dem!$F$1:$H$1,0))*_xlfn.IFS(RIGHT($D16,1)="H",$H$4,RIGHT($D16,1)="M",$H$3,RIGHT($D16,1)="L",$H$2),2)</f>
        <v>0</v>
      </c>
      <c r="M16" s="526" cm="1">
        <f t="array" ref="M16">ROUNDUP(INDEX(Dem!$F$45:$H$48,MATCH(Buildings_DR!$E16,Dem!$B$5:$B$8,0),MATCH(RIGHT(M$7,3),Dem!$F$1:$H$1,0))*_xlfn.IFS(RIGHT($D16,1)="H",$H$4,RIGHT($D16,1)="M",$H$3,RIGHT($D16,1)="L",$H$2),2)</f>
        <v>0</v>
      </c>
      <c r="N16" s="526" cm="1">
        <f t="array" ref="N16">ROUNDUP(INDEX(Dem!$F$49:$H$52,MATCH(Buildings_DR!$E16,Dem!$B$5:$B$8,0),MATCH(RIGHT(N$7,3),Dem!$F$1:$H$1,0))*_xlfn.IFS(RIGHT($D16,1)="H",$H$4,RIGHT($D16,1)="M",$H$3,RIGHT($D16,1)="L",$H$2),2)</f>
        <v>0</v>
      </c>
      <c r="O16" s="526" cm="1">
        <f t="array" ref="O16">ROUNDUP(INDEX(Dem!$F$49:$H$52,MATCH(Buildings_DR!$E16,Dem!$B$5:$B$8,0),MATCH(RIGHT(O$7,3),Dem!$F$1:$H$1,0))*_xlfn.IFS(RIGHT($D16,1)="H",$H$4,RIGHT($D16,1)="M",$H$3,RIGHT($D16,1)="L",$H$2),2)</f>
        <v>0</v>
      </c>
      <c r="P16" s="526" cm="1">
        <f t="array" ref="P16">ROUNDUP(INDEX(Dem!$F$49:$H$52,MATCH(Buildings_DR!$E16,Dem!$B$5:$B$8,0),MATCH(RIGHT(P$7,3),Dem!$F$1:$H$1,0))*_xlfn.IFS(RIGHT($D16,1)="H",$H$4,RIGHT($D16,1)="M",$H$3,RIGHT($D16,1)="L",$H$2),2)</f>
        <v>0</v>
      </c>
      <c r="Q16" s="526">
        <f t="shared" ref="Q16:S18" si="19">H16*0.6</f>
        <v>0</v>
      </c>
      <c r="R16" s="526">
        <f t="shared" si="19"/>
        <v>0</v>
      </c>
      <c r="S16" s="526">
        <f t="shared" si="19"/>
        <v>0</v>
      </c>
      <c r="T16" s="526">
        <f t="shared" ref="T16:AE16" si="20">H16*0.99</f>
        <v>0</v>
      </c>
      <c r="U16" s="526">
        <f t="shared" si="20"/>
        <v>0</v>
      </c>
      <c r="V16" s="526">
        <f t="shared" si="20"/>
        <v>0</v>
      </c>
      <c r="W16" s="526">
        <f t="shared" si="20"/>
        <v>0</v>
      </c>
      <c r="X16" s="526">
        <f t="shared" si="20"/>
        <v>0</v>
      </c>
      <c r="Y16" s="526">
        <f t="shared" si="20"/>
        <v>0</v>
      </c>
      <c r="Z16" s="526">
        <f t="shared" si="20"/>
        <v>0</v>
      </c>
      <c r="AA16" s="526">
        <f t="shared" si="20"/>
        <v>0</v>
      </c>
      <c r="AB16" s="526">
        <f t="shared" si="20"/>
        <v>0</v>
      </c>
      <c r="AC16" s="526">
        <f t="shared" si="20"/>
        <v>0</v>
      </c>
      <c r="AD16" s="526">
        <f t="shared" si="20"/>
        <v>0</v>
      </c>
      <c r="AE16" s="526">
        <f t="shared" si="20"/>
        <v>0</v>
      </c>
      <c r="AF16" s="526">
        <v>5</v>
      </c>
      <c r="AG16" s="526">
        <v>5</v>
      </c>
      <c r="AH16" s="526">
        <v>5</v>
      </c>
      <c r="AI16" s="516">
        <f t="shared" ref="AI16:AT16" si="21">AI17/2</f>
        <v>1.1399999999999999</v>
      </c>
      <c r="AJ16" s="516" t="e">
        <f t="shared" si="21"/>
        <v>#DIV/0!</v>
      </c>
      <c r="AK16" s="516" t="e">
        <f t="shared" si="21"/>
        <v>#DIV/0!</v>
      </c>
      <c r="AL16" s="516">
        <f t="shared" si="21"/>
        <v>1.08843</v>
      </c>
      <c r="AM16" s="516" t="e">
        <f t="shared" si="21"/>
        <v>#DIV/0!</v>
      </c>
      <c r="AN16" s="516" t="e">
        <f t="shared" si="21"/>
        <v>#DIV/0!</v>
      </c>
      <c r="AO16" s="516">
        <f t="shared" si="21"/>
        <v>1.2749999999999999</v>
      </c>
      <c r="AP16" s="516" t="e">
        <f t="shared" si="21"/>
        <v>#DIV/0!</v>
      </c>
      <c r="AQ16" s="516" t="e">
        <f t="shared" si="21"/>
        <v>#DIV/0!</v>
      </c>
      <c r="AR16" s="516">
        <f t="shared" si="21"/>
        <v>1.345</v>
      </c>
      <c r="AS16" s="516" t="e">
        <f t="shared" si="21"/>
        <v>#DIV/0!</v>
      </c>
      <c r="AT16" s="516" t="e">
        <f t="shared" si="21"/>
        <v>#DIV/0!</v>
      </c>
      <c r="AU16" s="167">
        <v>1</v>
      </c>
      <c r="AV16" s="165">
        <v>1</v>
      </c>
      <c r="AW16" s="160"/>
      <c r="AX16" s="162"/>
      <c r="AY16" s="162"/>
      <c r="AZ16" s="199"/>
      <c r="BA16" s="524">
        <f t="shared" si="10"/>
        <v>0</v>
      </c>
      <c r="BB16" s="524">
        <f t="shared" si="11"/>
        <v>0</v>
      </c>
      <c r="BC16" s="524">
        <f t="shared" si="12"/>
        <v>0</v>
      </c>
      <c r="BD16" s="525">
        <f t="shared" ref="BD16:BD25" si="22">BA16/AI16</f>
        <v>0</v>
      </c>
      <c r="BE16" s="525" t="e">
        <f t="shared" ref="BE16:BE25" si="23">BB16/AJ16</f>
        <v>#DIV/0!</v>
      </c>
      <c r="BF16" s="525" t="e">
        <f t="shared" ref="BF16:BF25" si="24">BC16/AK16</f>
        <v>#DIV/0!</v>
      </c>
      <c r="BH16" s="201"/>
      <c r="BI16" s="201"/>
      <c r="BJ16" s="201"/>
      <c r="BK16" s="201"/>
      <c r="BL16" s="201"/>
      <c r="BM16" s="201"/>
      <c r="BN16" s="201"/>
      <c r="BO16" s="201"/>
      <c r="BP16" s="201"/>
      <c r="BQ16" s="201"/>
      <c r="BR16" s="201"/>
    </row>
    <row r="17" spans="1:70">
      <c r="A17" s="162"/>
      <c r="B17" s="162" t="str">
        <f>Processes!D12</f>
        <v>CDHRDM</v>
      </c>
      <c r="C17" s="162" t="str">
        <f>Processes!E12</f>
        <v xml:space="preserve">Commercial Demand Heating Rural Detached -  - Medium </v>
      </c>
      <c r="D17" s="127" t="str">
        <f>Commodities!$C$40&amp;","&amp;Commodities!$C$44&amp;","&amp;Commodities!$C$48&amp;","&amp;Commodities!$C$84&amp;","&amp;Commodities!C63</f>
        <v>COMHRDX,COMHRDB,COMHRDBE,COMHSAV,COMHRDSM</v>
      </c>
      <c r="E17" s="191" t="str">
        <f>E16</f>
        <v>CHRDB</v>
      </c>
      <c r="G17" s="191"/>
      <c r="H17" s="526" cm="1">
        <f t="array" ref="H17">ROUNDUP(INDEX(Dem!$F$41:$H$44,MATCH(Buildings_DR!$E17,Dem!$B$5:$B$8,0),MATCH(RIGHT(H$7,3),Dem!$F$1:$H$1,0))*_xlfn.IFS(RIGHT($D17,1)="H",$H$4,RIGHT($D17,1)="M",$H$3,RIGHT($D17,1)="L",$H$2),2)</f>
        <v>410.84</v>
      </c>
      <c r="I17" s="526" cm="1">
        <f t="array" ref="I17">ROUNDUP(INDEX(Dem!$F$41:$H$44,MATCH(Buildings_DR!$E17,Dem!$B$5:$B$8,0),MATCH(RIGHT(I$7,3),Dem!$F$1:$H$1,0))*_xlfn.IFS(RIGHT($D17,1)="H",$H$4,RIGHT($D17,1)="M",$H$3,RIGHT($D17,1)="L",$H$2),2)</f>
        <v>0</v>
      </c>
      <c r="J17" s="526" cm="1">
        <f t="array" ref="J17">ROUNDUP(INDEX(Dem!$F$41:$H$44,MATCH(Buildings_DR!$E17,Dem!$B$5:$B$8,0),MATCH(RIGHT(J$7,3),Dem!$F$1:$H$1,0))*_xlfn.IFS(RIGHT($D17,1)="H",$H$4,RIGHT($D17,1)="M",$H$3,RIGHT($D17,1)="L",$H$2),2)</f>
        <v>0</v>
      </c>
      <c r="K17" s="526" cm="1">
        <f t="array" ref="K17">ROUNDUP(INDEX(Dem!$F$45:$H$48,MATCH(Buildings_DR!$E17,Dem!$B$5:$B$8,0),MATCH(RIGHT(K$7,3),Dem!$F$1:$H$1,0))*_xlfn.IFS(RIGHT($D17,1)="H",$H$4,RIGHT($D17,1)="M",$H$3,RIGHT($D17,1)="L",$H$2),2)</f>
        <v>410.84</v>
      </c>
      <c r="L17" s="526" cm="1">
        <f t="array" ref="L17">ROUNDUP(INDEX(Dem!$F$45:$H$48,MATCH(Buildings_DR!$E17,Dem!$B$5:$B$8,0),MATCH(RIGHT(L$7,3),Dem!$F$1:$H$1,0))*_xlfn.IFS(RIGHT($D17,1)="H",$H$4,RIGHT($D17,1)="M",$H$3,RIGHT($D17,1)="L",$H$2),2)</f>
        <v>0</v>
      </c>
      <c r="M17" s="526" cm="1">
        <f t="array" ref="M17">ROUNDUP(INDEX(Dem!$F$45:$H$48,MATCH(Buildings_DR!$E17,Dem!$B$5:$B$8,0),MATCH(RIGHT(M$7,3),Dem!$F$1:$H$1,0))*_xlfn.IFS(RIGHT($D17,1)="H",$H$4,RIGHT($D17,1)="M",$H$3,RIGHT($D17,1)="L",$H$2),2)</f>
        <v>0</v>
      </c>
      <c r="N17" s="526" cm="1">
        <f t="array" ref="N17">ROUNDUP(INDEX(Dem!$F$49:$H$52,MATCH(Buildings_DR!$E17,Dem!$B$5:$B$8,0),MATCH(RIGHT(N$7,3),Dem!$F$1:$H$1,0))*_xlfn.IFS(RIGHT($D17,1)="H",$H$4,RIGHT($D17,1)="M",$H$3,RIGHT($D17,1)="L",$H$2),2)</f>
        <v>410.84</v>
      </c>
      <c r="O17" s="526" cm="1">
        <f t="array" ref="O17">ROUNDUP(INDEX(Dem!$F$49:$H$52,MATCH(Buildings_DR!$E17,Dem!$B$5:$B$8,0),MATCH(RIGHT(O$7,3),Dem!$F$1:$H$1,0))*_xlfn.IFS(RIGHT($D17,1)="H",$H$4,RIGHT($D17,1)="M",$H$3,RIGHT($D17,1)="L",$H$2),2)</f>
        <v>0</v>
      </c>
      <c r="P17" s="526" cm="1">
        <f t="array" ref="P17">ROUNDUP(INDEX(Dem!$F$49:$H$52,MATCH(Buildings_DR!$E17,Dem!$B$5:$B$8,0),MATCH(RIGHT(P$7,3),Dem!$F$1:$H$1,0))*_xlfn.IFS(RIGHT($D17,1)="H",$H$4,RIGHT($D17,1)="M",$H$3,RIGHT($D17,1)="L",$H$2),2)</f>
        <v>0</v>
      </c>
      <c r="Q17" s="526">
        <f t="shared" si="19"/>
        <v>246.50399999999996</v>
      </c>
      <c r="R17" s="526">
        <f t="shared" si="19"/>
        <v>0</v>
      </c>
      <c r="S17" s="526">
        <f t="shared" si="19"/>
        <v>0</v>
      </c>
      <c r="T17" s="526">
        <f t="shared" ref="T17:AB17" si="25">H17*$K$2</f>
        <v>406.73159999999996</v>
      </c>
      <c r="U17" s="526">
        <f t="shared" si="25"/>
        <v>0</v>
      </c>
      <c r="V17" s="526">
        <f t="shared" si="25"/>
        <v>0</v>
      </c>
      <c r="W17" s="526">
        <f t="shared" si="25"/>
        <v>406.73159999999996</v>
      </c>
      <c r="X17" s="526">
        <f t="shared" si="25"/>
        <v>0</v>
      </c>
      <c r="Y17" s="526">
        <f t="shared" si="25"/>
        <v>0</v>
      </c>
      <c r="Z17" s="526">
        <f t="shared" si="25"/>
        <v>406.73159999999996</v>
      </c>
      <c r="AA17" s="526">
        <f t="shared" si="25"/>
        <v>0</v>
      </c>
      <c r="AB17" s="526">
        <f t="shared" si="25"/>
        <v>0</v>
      </c>
      <c r="AC17" s="526">
        <f>Q17*$K$3</f>
        <v>244.03895999999997</v>
      </c>
      <c r="AD17" s="526">
        <f>R17*$K$3</f>
        <v>0</v>
      </c>
      <c r="AE17" s="526">
        <f>S17*$K$3</f>
        <v>0</v>
      </c>
      <c r="AF17" s="526">
        <v>5</v>
      </c>
      <c r="AG17" s="526">
        <v>5</v>
      </c>
      <c r="AH17" s="526">
        <v>5</v>
      </c>
      <c r="AI17" s="517">
        <f>ROUNDUP(SUM(H16:H22)/SUM(Boilers_DR!AB17:AB27),2)</f>
        <v>2.2799999999999998</v>
      </c>
      <c r="AJ17" s="517" t="e">
        <f>ROUNDUP(SUM(I16:I22)/SUM(Boilers_DR!AC17:AC27),2)</f>
        <v>#DIV/0!</v>
      </c>
      <c r="AK17" s="517" t="e">
        <f>ROUNDUP(SUM(J16:J22)/SUM(Boilers_DR!AD17:AD27),2)</f>
        <v>#DIV/0!</v>
      </c>
      <c r="AL17" s="517">
        <f>ROUNDUP(SUM(K16:K22)/SUM(Boilers_DR!AB60:AB69),2)*AL3</f>
        <v>2.17686</v>
      </c>
      <c r="AM17" s="517" t="e">
        <f>ROUNDUP(SUM(L16:L22)/SUM(Boilers_DR!AC60:AC69),2)*AM3</f>
        <v>#DIV/0!</v>
      </c>
      <c r="AN17" s="517" t="e">
        <f>ROUNDUP(SUM(M16:M22)/SUM(Boilers_DR!AD60:AD69),2)*AN3</f>
        <v>#DIV/0!</v>
      </c>
      <c r="AO17" s="517">
        <f>ROUNDUP(SUM(N16:N22)/SUM(Boilers_DR!AB100:AB109),2)</f>
        <v>2.5499999999999998</v>
      </c>
      <c r="AP17" s="517" t="e">
        <f>ROUNDUP(SUM(O16:O22)/SUM(Boilers_DR!AC100:AC109),2)</f>
        <v>#DIV/0!</v>
      </c>
      <c r="AQ17" s="517" t="e">
        <f>ROUNDUP(SUM(P16:P22)/SUM(Boilers_DR!AD100:AD109),2)</f>
        <v>#DIV/0!</v>
      </c>
      <c r="AR17" s="517">
        <f>ROUNDUP(SUM(N16:N22)/SUM(Boilers_DR!AB140:AB149),2)</f>
        <v>2.69</v>
      </c>
      <c r="AS17" s="517" t="e">
        <f>ROUNDUP(SUM(O16:O22)/SUM(Boilers_DR!AC140:AC149),2)</f>
        <v>#DIV/0!</v>
      </c>
      <c r="AT17" s="517" t="e">
        <f>ROUNDUP(SUM(P16:P22)/SUM(Boilers_DR!AD140:AD149),2)</f>
        <v>#DIV/0!</v>
      </c>
      <c r="AU17" s="163">
        <v>1</v>
      </c>
      <c r="AV17" s="162">
        <v>1</v>
      </c>
      <c r="AW17" s="160"/>
      <c r="AX17" s="162"/>
      <c r="AY17" s="162"/>
      <c r="AZ17" s="199"/>
      <c r="BA17" s="524">
        <f t="shared" si="10"/>
        <v>410.84</v>
      </c>
      <c r="BB17" s="524">
        <f t="shared" si="11"/>
        <v>0</v>
      </c>
      <c r="BC17" s="524">
        <f t="shared" si="12"/>
        <v>0</v>
      </c>
      <c r="BD17" s="525">
        <f t="shared" si="22"/>
        <v>180.19298245614036</v>
      </c>
      <c r="BE17" s="525" t="e">
        <f t="shared" si="23"/>
        <v>#DIV/0!</v>
      </c>
      <c r="BF17" s="525" t="e">
        <f t="shared" si="24"/>
        <v>#DIV/0!</v>
      </c>
      <c r="BH17" s="201"/>
      <c r="BI17" s="201"/>
      <c r="BJ17" s="201"/>
      <c r="BK17" s="201"/>
      <c r="BL17" s="201"/>
      <c r="BM17" s="201"/>
      <c r="BN17" s="201"/>
      <c r="BO17" s="201"/>
      <c r="BP17" s="201"/>
      <c r="BQ17" s="201"/>
      <c r="BR17" s="201"/>
    </row>
    <row r="18" spans="1:70">
      <c r="A18" s="162"/>
      <c r="B18" s="162" t="str">
        <f>Processes!D13</f>
        <v>CDHRDH</v>
      </c>
      <c r="C18" s="162" t="str">
        <f>Processes!E13</f>
        <v xml:space="preserve">Commercial Demand Heating Rural Detached -  - High </v>
      </c>
      <c r="D18" s="127" t="str">
        <f>Commodities!$C$40&amp;","&amp;Commodities!$C$44&amp;","&amp;Commodities!$C$48&amp;","&amp;Commodities!$C$84&amp;","&amp;Commodities!C64</f>
        <v>COMHRDX,COMHRDB,COMHRDBE,COMHSAV,COMHRDSH</v>
      </c>
      <c r="E18" s="191" t="str">
        <f>E17</f>
        <v>CHRDB</v>
      </c>
      <c r="G18" s="191"/>
      <c r="H18" s="526" cm="1">
        <f t="array" ref="H18">ROUNDUP(INDEX(Dem!$F$41:$H$44,MATCH(Buildings_DR!$E18,Dem!$B$5:$B$8,0),MATCH(RIGHT(H$7,3),Dem!$F$1:$H$1,0))*_xlfn.IFS(RIGHT($D18,1)="H",$H$4,RIGHT($D18,1)="M",$H$3,RIGHT($D18,1)="L",$H$2),2)</f>
        <v>0</v>
      </c>
      <c r="I18" s="526" cm="1">
        <f t="array" ref="I18">ROUNDUP(INDEX(Dem!$F$41:$H$44,MATCH(Buildings_DR!$E18,Dem!$B$5:$B$8,0),MATCH(RIGHT(I$7,3),Dem!$F$1:$H$1,0))*_xlfn.IFS(RIGHT($D18,1)="H",$H$4,RIGHT($D18,1)="M",$H$3,RIGHT($D18,1)="L",$H$2),2)</f>
        <v>0</v>
      </c>
      <c r="J18" s="526" cm="1">
        <f t="array" ref="J18">ROUNDUP(INDEX(Dem!$F$41:$H$44,MATCH(Buildings_DR!$E18,Dem!$B$5:$B$8,0),MATCH(RIGHT(J$7,3),Dem!$F$1:$H$1,0))*_xlfn.IFS(RIGHT($D18,1)="H",$H$4,RIGHT($D18,1)="M",$H$3,RIGHT($D18,1)="L",$H$2),2)</f>
        <v>0</v>
      </c>
      <c r="K18" s="526" cm="1">
        <f t="array" ref="K18">ROUNDUP(INDEX(Dem!$F$45:$H$48,MATCH(Buildings_DR!$E18,Dem!$B$5:$B$8,0),MATCH(RIGHT(K$7,3),Dem!$F$1:$H$1,0))*_xlfn.IFS(RIGHT($D18,1)="H",$H$4,RIGHT($D18,1)="M",$H$3,RIGHT($D18,1)="L",$H$2),2)</f>
        <v>0</v>
      </c>
      <c r="L18" s="526" cm="1">
        <f t="array" ref="L18">ROUNDUP(INDEX(Dem!$F$45:$H$48,MATCH(Buildings_DR!$E18,Dem!$B$5:$B$8,0),MATCH(RIGHT(L$7,3),Dem!$F$1:$H$1,0))*_xlfn.IFS(RIGHT($D18,1)="H",$H$4,RIGHT($D18,1)="M",$H$3,RIGHT($D18,1)="L",$H$2),2)</f>
        <v>0</v>
      </c>
      <c r="M18" s="526" cm="1">
        <f t="array" ref="M18">ROUNDUP(INDEX(Dem!$F$45:$H$48,MATCH(Buildings_DR!$E18,Dem!$B$5:$B$8,0),MATCH(RIGHT(M$7,3),Dem!$F$1:$H$1,0))*_xlfn.IFS(RIGHT($D18,1)="H",$H$4,RIGHT($D18,1)="M",$H$3,RIGHT($D18,1)="L",$H$2),2)</f>
        <v>0</v>
      </c>
      <c r="N18" s="526" cm="1">
        <f t="array" ref="N18">ROUNDUP(INDEX(Dem!$F$49:$H$52,MATCH(Buildings_DR!$E18,Dem!$B$5:$B$8,0),MATCH(RIGHT(N$7,3),Dem!$F$1:$H$1,0))*_xlfn.IFS(RIGHT($D18,1)="H",$H$4,RIGHT($D18,1)="M",$H$3,RIGHT($D18,1)="L",$H$2),2)</f>
        <v>0</v>
      </c>
      <c r="O18" s="526" cm="1">
        <f t="array" ref="O18">ROUNDUP(INDEX(Dem!$F$49:$H$52,MATCH(Buildings_DR!$E18,Dem!$B$5:$B$8,0),MATCH(RIGHT(O$7,3),Dem!$F$1:$H$1,0))*_xlfn.IFS(RIGHT($D18,1)="H",$H$4,RIGHT($D18,1)="M",$H$3,RIGHT($D18,1)="L",$H$2),2)</f>
        <v>0</v>
      </c>
      <c r="P18" s="526" cm="1">
        <f t="array" ref="P18">ROUNDUP(INDEX(Dem!$F$49:$H$52,MATCH(Buildings_DR!$E18,Dem!$B$5:$B$8,0),MATCH(RIGHT(P$7,3),Dem!$F$1:$H$1,0))*_xlfn.IFS(RIGHT($D18,1)="H",$H$4,RIGHT($D18,1)="M",$H$3,RIGHT($D18,1)="L",$H$2),2)</f>
        <v>0</v>
      </c>
      <c r="Q18" s="526">
        <f t="shared" si="19"/>
        <v>0</v>
      </c>
      <c r="R18" s="526">
        <f t="shared" si="19"/>
        <v>0</v>
      </c>
      <c r="S18" s="526">
        <f t="shared" si="19"/>
        <v>0</v>
      </c>
      <c r="T18" s="526">
        <f t="shared" ref="T18:AE18" si="26">H18*0.99</f>
        <v>0</v>
      </c>
      <c r="U18" s="526">
        <f t="shared" si="26"/>
        <v>0</v>
      </c>
      <c r="V18" s="526">
        <f t="shared" si="26"/>
        <v>0</v>
      </c>
      <c r="W18" s="526">
        <f t="shared" si="26"/>
        <v>0</v>
      </c>
      <c r="X18" s="526">
        <f t="shared" si="26"/>
        <v>0</v>
      </c>
      <c r="Y18" s="526">
        <f t="shared" si="26"/>
        <v>0</v>
      </c>
      <c r="Z18" s="526">
        <f t="shared" si="26"/>
        <v>0</v>
      </c>
      <c r="AA18" s="526">
        <f t="shared" si="26"/>
        <v>0</v>
      </c>
      <c r="AB18" s="526">
        <f t="shared" si="26"/>
        <v>0</v>
      </c>
      <c r="AC18" s="526">
        <f t="shared" si="26"/>
        <v>0</v>
      </c>
      <c r="AD18" s="526">
        <f t="shared" si="26"/>
        <v>0</v>
      </c>
      <c r="AE18" s="526">
        <f t="shared" si="26"/>
        <v>0</v>
      </c>
      <c r="AF18" s="526">
        <v>5</v>
      </c>
      <c r="AG18" s="526">
        <v>5</v>
      </c>
      <c r="AH18" s="526">
        <v>5</v>
      </c>
      <c r="AI18" s="517">
        <f t="shared" ref="AI18:AQ18" si="27">AI17/2+AI19/2</f>
        <v>3.1449999999999996</v>
      </c>
      <c r="AJ18" s="517" t="e">
        <f t="shared" si="27"/>
        <v>#DIV/0!</v>
      </c>
      <c r="AK18" s="517" t="e">
        <f t="shared" si="27"/>
        <v>#DIV/0!</v>
      </c>
      <c r="AL18" s="517">
        <f t="shared" si="27"/>
        <v>3.0934299999999997</v>
      </c>
      <c r="AM18" s="517" t="e">
        <f t="shared" si="27"/>
        <v>#DIV/0!</v>
      </c>
      <c r="AN18" s="517" t="e">
        <f t="shared" si="27"/>
        <v>#DIV/0!</v>
      </c>
      <c r="AO18" s="517">
        <f t="shared" si="27"/>
        <v>3.28</v>
      </c>
      <c r="AP18" s="517" t="e">
        <f t="shared" si="27"/>
        <v>#DIV/0!</v>
      </c>
      <c r="AQ18" s="517" t="e">
        <f t="shared" si="27"/>
        <v>#DIV/0!</v>
      </c>
      <c r="AR18" s="517">
        <f t="shared" ref="AR18:AT18" si="28">AR17/2+AR19/2</f>
        <v>3.3499999999999996</v>
      </c>
      <c r="AS18" s="517" t="e">
        <f t="shared" si="28"/>
        <v>#DIV/0!</v>
      </c>
      <c r="AT18" s="517" t="e">
        <f t="shared" si="28"/>
        <v>#DIV/0!</v>
      </c>
      <c r="AU18" s="163">
        <v>1</v>
      </c>
      <c r="AV18" s="162">
        <v>1</v>
      </c>
      <c r="AW18" s="162"/>
      <c r="AX18" s="162"/>
      <c r="AY18" s="162"/>
      <c r="AZ18" s="199"/>
      <c r="BA18" s="524">
        <f t="shared" si="10"/>
        <v>0</v>
      </c>
      <c r="BB18" s="524">
        <f t="shared" si="11"/>
        <v>0</v>
      </c>
      <c r="BC18" s="524">
        <f t="shared" si="12"/>
        <v>0</v>
      </c>
      <c r="BD18" s="525">
        <f t="shared" si="22"/>
        <v>0</v>
      </c>
      <c r="BE18" s="525" t="e">
        <f t="shared" si="23"/>
        <v>#DIV/0!</v>
      </c>
      <c r="BF18" s="525" t="e">
        <f t="shared" si="24"/>
        <v>#DIV/0!</v>
      </c>
      <c r="BH18" s="201"/>
      <c r="BI18" s="201"/>
      <c r="BJ18" s="201"/>
      <c r="BK18" s="201"/>
      <c r="BL18" s="201"/>
      <c r="BM18" s="201"/>
      <c r="BN18" s="201"/>
      <c r="BO18" s="201"/>
      <c r="BP18" s="201"/>
      <c r="BQ18" s="201"/>
      <c r="BR18" s="201"/>
    </row>
    <row r="19" spans="1:70">
      <c r="B19" s="162" t="str">
        <f>Processes!D14</f>
        <v>CDHRDN</v>
      </c>
      <c r="C19" s="162" t="str">
        <f>Processes!E14</f>
        <v xml:space="preserve">Commercial Demand Heating Rural Detached -  - New </v>
      </c>
      <c r="D19" s="127" t="str">
        <f>Commodities!$C$40&amp;","&amp;Commodities!$C$44&amp;","&amp;Commodities!$C$52</f>
        <v>COMHRDX,COMHRDB,COMHRDBN</v>
      </c>
      <c r="E19" s="191" t="str">
        <f>E18</f>
        <v>CHRDB</v>
      </c>
      <c r="F19" s="156">
        <v>2010</v>
      </c>
      <c r="G19" s="191">
        <v>2010</v>
      </c>
      <c r="H19" s="526"/>
      <c r="I19" s="526"/>
      <c r="J19" s="526"/>
      <c r="K19" s="526"/>
      <c r="L19" s="526"/>
      <c r="M19" s="526"/>
      <c r="N19" s="526"/>
      <c r="O19" s="526"/>
      <c r="P19" s="526"/>
      <c r="Q19" s="526"/>
      <c r="R19" s="526"/>
      <c r="S19" s="526"/>
      <c r="T19" s="526"/>
      <c r="U19" s="526"/>
      <c r="V19" s="526"/>
      <c r="W19" s="526"/>
      <c r="X19" s="526"/>
      <c r="Y19" s="526"/>
      <c r="Z19" s="526"/>
      <c r="AA19" s="526"/>
      <c r="AB19" s="526"/>
      <c r="AC19" s="526"/>
      <c r="AD19" s="526"/>
      <c r="AE19" s="526"/>
      <c r="AF19" s="526"/>
      <c r="AG19" s="526"/>
      <c r="AH19" s="526"/>
      <c r="AI19" s="518">
        <f>ROUND(Sources!$T$8,2)</f>
        <v>4.01</v>
      </c>
      <c r="AJ19" s="518">
        <f>ROUND(Sources!$T$8,2)</f>
        <v>4.01</v>
      </c>
      <c r="AK19" s="518">
        <f>ROUND(Sources!$T$8,2)</f>
        <v>4.01</v>
      </c>
      <c r="AL19" s="518">
        <f>ROUND(Sources!$T$8,2)</f>
        <v>4.01</v>
      </c>
      <c r="AM19" s="518">
        <f>ROUND(Sources!$T$8,2)</f>
        <v>4.01</v>
      </c>
      <c r="AN19" s="518">
        <f>ROUND(Sources!$T$8,2)</f>
        <v>4.01</v>
      </c>
      <c r="AO19" s="518">
        <f>ROUND(Sources!$T$8,2)</f>
        <v>4.01</v>
      </c>
      <c r="AP19" s="518">
        <f>ROUND(Sources!$T$8,2)</f>
        <v>4.01</v>
      </c>
      <c r="AQ19" s="518">
        <f>ROUND(Sources!$T$8,2)</f>
        <v>4.01</v>
      </c>
      <c r="AR19" s="518">
        <f>ROUND(Sources!$T$8,2)</f>
        <v>4.01</v>
      </c>
      <c r="AS19" s="518">
        <f>ROUND(Sources!$T$8,2)</f>
        <v>4.01</v>
      </c>
      <c r="AT19" s="518">
        <f>ROUND(Sources!$T$8,2)</f>
        <v>4.01</v>
      </c>
      <c r="AU19" s="163">
        <v>1</v>
      </c>
      <c r="AV19" s="168">
        <v>1</v>
      </c>
      <c r="AW19" s="162">
        <v>100</v>
      </c>
      <c r="AX19" s="162"/>
      <c r="AY19" s="162"/>
      <c r="BA19" s="524">
        <f t="shared" si="10"/>
        <v>0</v>
      </c>
      <c r="BB19" s="524">
        <f t="shared" si="11"/>
        <v>0</v>
      </c>
      <c r="BC19" s="524">
        <f t="shared" si="12"/>
        <v>0</v>
      </c>
      <c r="BD19" s="525">
        <f t="shared" si="22"/>
        <v>0</v>
      </c>
      <c r="BE19" s="525">
        <f t="shared" si="23"/>
        <v>0</v>
      </c>
      <c r="BF19" s="525">
        <f t="shared" si="24"/>
        <v>0</v>
      </c>
      <c r="BH19" s="201"/>
      <c r="BI19" s="201"/>
      <c r="BJ19" s="201"/>
      <c r="BK19" s="201"/>
      <c r="BL19" s="654"/>
      <c r="BM19" s="654"/>
      <c r="BN19" s="654"/>
      <c r="BO19" s="201"/>
      <c r="BP19" s="201"/>
      <c r="BQ19" s="201"/>
      <c r="BR19" s="201"/>
    </row>
    <row r="20" spans="1:70">
      <c r="B20" s="162"/>
      <c r="C20" s="162"/>
      <c r="D20" s="550"/>
      <c r="E20" s="191"/>
      <c r="F20" s="156">
        <v>2016</v>
      </c>
      <c r="H20" s="526"/>
      <c r="I20" s="526"/>
      <c r="J20" s="526"/>
      <c r="K20" s="526"/>
      <c r="L20" s="526"/>
      <c r="M20" s="526"/>
      <c r="N20" s="526"/>
      <c r="O20" s="526"/>
      <c r="P20" s="526"/>
      <c r="Q20" s="526"/>
      <c r="R20" s="526"/>
      <c r="S20" s="526"/>
      <c r="T20" s="526"/>
      <c r="U20" s="526"/>
      <c r="V20" s="526"/>
      <c r="W20" s="526"/>
      <c r="X20" s="526"/>
      <c r="Y20" s="526"/>
      <c r="Z20" s="526"/>
      <c r="AA20" s="526"/>
      <c r="AB20" s="526"/>
      <c r="AC20" s="526"/>
      <c r="AD20" s="526"/>
      <c r="AE20" s="526"/>
      <c r="AF20" s="526"/>
      <c r="AG20" s="526"/>
      <c r="AH20" s="526"/>
      <c r="AI20" s="518">
        <f>ROUND(Sources!$T$9,2)</f>
        <v>4.75</v>
      </c>
      <c r="AJ20" s="518">
        <f>ROUND(Sources!$T$9,2)</f>
        <v>4.75</v>
      </c>
      <c r="AK20" s="518">
        <f>ROUND(Sources!$T$9,2)</f>
        <v>4.75</v>
      </c>
      <c r="AL20" s="518">
        <f>ROUND(Sources!$T$9,2)</f>
        <v>4.75</v>
      </c>
      <c r="AM20" s="518">
        <f>ROUND(Sources!$T$9,2)</f>
        <v>4.75</v>
      </c>
      <c r="AN20" s="518">
        <f>ROUND(Sources!$T$9,2)</f>
        <v>4.75</v>
      </c>
      <c r="AO20" s="518">
        <f>ROUND(Sources!$T$9,2)</f>
        <v>4.75</v>
      </c>
      <c r="AP20" s="518">
        <f>ROUND(Sources!$T$9,2)</f>
        <v>4.75</v>
      </c>
      <c r="AQ20" s="518">
        <f>ROUND(Sources!$T$9,2)</f>
        <v>4.75</v>
      </c>
      <c r="AR20" s="518">
        <f>ROUND(Sources!$T$9,2)</f>
        <v>4.75</v>
      </c>
      <c r="AS20" s="518">
        <f>ROUND(Sources!$T$9,2)</f>
        <v>4.75</v>
      </c>
      <c r="AT20" s="518">
        <f>ROUND(Sources!$T$9,2)</f>
        <v>4.75</v>
      </c>
      <c r="AU20" s="163">
        <v>1</v>
      </c>
      <c r="AV20" s="168">
        <v>1</v>
      </c>
      <c r="AW20" s="162">
        <v>100</v>
      </c>
      <c r="AX20" s="162"/>
      <c r="AY20" s="162"/>
      <c r="BA20" s="524">
        <f t="shared" si="10"/>
        <v>0</v>
      </c>
      <c r="BB20" s="524">
        <f t="shared" si="11"/>
        <v>0</v>
      </c>
      <c r="BC20" s="524">
        <f t="shared" si="12"/>
        <v>0</v>
      </c>
      <c r="BD20" s="525">
        <f t="shared" si="22"/>
        <v>0</v>
      </c>
      <c r="BE20" s="525">
        <f t="shared" si="23"/>
        <v>0</v>
      </c>
      <c r="BF20" s="525">
        <f t="shared" si="24"/>
        <v>0</v>
      </c>
      <c r="BH20" s="201"/>
      <c r="BI20" s="201"/>
      <c r="BJ20" s="201"/>
      <c r="BK20" s="201"/>
      <c r="BL20" s="201"/>
      <c r="BM20" s="201"/>
      <c r="BN20" s="201"/>
      <c r="BO20" s="201"/>
      <c r="BP20" s="201"/>
      <c r="BQ20" s="201"/>
      <c r="BR20" s="201"/>
    </row>
    <row r="21" spans="1:70">
      <c r="B21" s="162"/>
      <c r="C21" s="162"/>
      <c r="D21" s="550"/>
      <c r="E21" s="191"/>
      <c r="F21" s="156">
        <v>2021</v>
      </c>
      <c r="H21" s="526"/>
      <c r="I21" s="526"/>
      <c r="J21" s="526"/>
      <c r="K21" s="526"/>
      <c r="L21" s="526"/>
      <c r="M21" s="526"/>
      <c r="N21" s="526"/>
      <c r="O21" s="526"/>
      <c r="P21" s="526"/>
      <c r="Q21" s="526"/>
      <c r="R21" s="526"/>
      <c r="S21" s="526"/>
      <c r="T21" s="526"/>
      <c r="U21" s="526"/>
      <c r="V21" s="526"/>
      <c r="W21" s="526"/>
      <c r="X21" s="526"/>
      <c r="Y21" s="526"/>
      <c r="Z21" s="526"/>
      <c r="AA21" s="526"/>
      <c r="AB21" s="526"/>
      <c r="AC21" s="526"/>
      <c r="AD21" s="526"/>
      <c r="AE21" s="526"/>
      <c r="AF21" s="526"/>
      <c r="AG21" s="526"/>
      <c r="AH21" s="526"/>
      <c r="AI21" s="518">
        <f>ROUND(Sources!$T$10,2)</f>
        <v>6.08</v>
      </c>
      <c r="AJ21" s="518">
        <f>ROUND(Sources!$T$10,2)</f>
        <v>6.08</v>
      </c>
      <c r="AK21" s="518">
        <f>ROUND(Sources!$T$10,2)</f>
        <v>6.08</v>
      </c>
      <c r="AL21" s="518">
        <f>ROUND(Sources!$T$10,2)</f>
        <v>6.08</v>
      </c>
      <c r="AM21" s="518">
        <f>ROUND(Sources!$T$10,2)</f>
        <v>6.08</v>
      </c>
      <c r="AN21" s="518">
        <f>ROUND(Sources!$T$10,2)</f>
        <v>6.08</v>
      </c>
      <c r="AO21" s="518">
        <f>ROUND(Sources!$T$10,2)</f>
        <v>6.08</v>
      </c>
      <c r="AP21" s="518">
        <f>ROUND(Sources!$T$10,2)</f>
        <v>6.08</v>
      </c>
      <c r="AQ21" s="518">
        <f>ROUND(Sources!$T$10,2)</f>
        <v>6.08</v>
      </c>
      <c r="AR21" s="518">
        <f>ROUND(Sources!$T$10,2)</f>
        <v>6.08</v>
      </c>
      <c r="AS21" s="518">
        <f>ROUND(Sources!$T$10,2)</f>
        <v>6.08</v>
      </c>
      <c r="AT21" s="518">
        <f>ROUND(Sources!$T$10,2)</f>
        <v>6.08</v>
      </c>
      <c r="AU21" s="163">
        <v>1</v>
      </c>
      <c r="AV21" s="168">
        <v>1</v>
      </c>
      <c r="AW21" s="162">
        <v>100</v>
      </c>
      <c r="AX21" s="162"/>
      <c r="AY21" s="162"/>
      <c r="BA21" s="524">
        <f t="shared" si="10"/>
        <v>0</v>
      </c>
      <c r="BB21" s="524">
        <f t="shared" si="11"/>
        <v>0</v>
      </c>
      <c r="BC21" s="524">
        <f t="shared" si="12"/>
        <v>0</v>
      </c>
      <c r="BD21" s="525">
        <f t="shared" si="22"/>
        <v>0</v>
      </c>
      <c r="BE21" s="525">
        <f t="shared" si="23"/>
        <v>0</v>
      </c>
      <c r="BF21" s="525">
        <f t="shared" si="24"/>
        <v>0</v>
      </c>
      <c r="BH21" s="201"/>
      <c r="BI21" s="201"/>
      <c r="BJ21" s="201"/>
      <c r="BK21" s="201"/>
      <c r="BL21" s="201"/>
      <c r="BM21" s="201"/>
      <c r="BN21" s="201"/>
      <c r="BO21" s="201"/>
      <c r="BP21" s="201"/>
      <c r="BQ21" s="201"/>
      <c r="BR21" s="201"/>
    </row>
    <row r="22" spans="1:70" ht="13" thickBot="1">
      <c r="B22" s="162"/>
      <c r="C22" s="162"/>
      <c r="D22" s="550"/>
      <c r="E22" s="212"/>
      <c r="F22" s="164">
        <v>2031</v>
      </c>
      <c r="G22" s="164"/>
      <c r="H22" s="527"/>
      <c r="I22" s="527"/>
      <c r="J22" s="527"/>
      <c r="K22" s="527"/>
      <c r="L22" s="527"/>
      <c r="M22" s="527"/>
      <c r="N22" s="527"/>
      <c r="O22" s="527"/>
      <c r="P22" s="527"/>
      <c r="Q22" s="526"/>
      <c r="R22" s="526"/>
      <c r="S22" s="526"/>
      <c r="T22" s="526"/>
      <c r="U22" s="526"/>
      <c r="V22" s="526"/>
      <c r="W22" s="526"/>
      <c r="X22" s="526"/>
      <c r="Y22" s="526"/>
      <c r="Z22" s="526"/>
      <c r="AA22" s="526"/>
      <c r="AB22" s="526"/>
      <c r="AC22" s="526"/>
      <c r="AD22" s="526"/>
      <c r="AE22" s="526"/>
      <c r="AF22" s="526"/>
      <c r="AG22" s="526"/>
      <c r="AH22" s="526"/>
      <c r="AI22" s="518">
        <f>ROUND(Sources!$T$11,2)</f>
        <v>6.94</v>
      </c>
      <c r="AJ22" s="518">
        <f>ROUND(Sources!$T$11,2)</f>
        <v>6.94</v>
      </c>
      <c r="AK22" s="518">
        <f>ROUND(Sources!$T$11,2)</f>
        <v>6.94</v>
      </c>
      <c r="AL22" s="518">
        <f>ROUND(Sources!$T$11,2)</f>
        <v>6.94</v>
      </c>
      <c r="AM22" s="518">
        <f>ROUND(Sources!$T$11,2)</f>
        <v>6.94</v>
      </c>
      <c r="AN22" s="518">
        <f>ROUND(Sources!$T$11,2)</f>
        <v>6.94</v>
      </c>
      <c r="AO22" s="518">
        <f>ROUND(Sources!$T$11,2)</f>
        <v>6.94</v>
      </c>
      <c r="AP22" s="518">
        <f>ROUND(Sources!$T$11,2)</f>
        <v>6.94</v>
      </c>
      <c r="AQ22" s="518">
        <f>ROUND(Sources!$T$11,2)</f>
        <v>6.94</v>
      </c>
      <c r="AR22" s="518">
        <f>ROUND(Sources!$T$11,2)</f>
        <v>6.94</v>
      </c>
      <c r="AS22" s="518">
        <f>ROUND(Sources!$T$11,2)</f>
        <v>6.94</v>
      </c>
      <c r="AT22" s="518">
        <f>ROUND(Sources!$T$11,2)</f>
        <v>6.94</v>
      </c>
      <c r="AU22" s="163">
        <v>1</v>
      </c>
      <c r="AV22" s="168">
        <v>1</v>
      </c>
      <c r="AW22" s="162">
        <v>100</v>
      </c>
      <c r="AX22" s="162"/>
      <c r="AY22" s="162"/>
      <c r="AZ22" s="199"/>
      <c r="BA22" s="524">
        <f t="shared" si="10"/>
        <v>0</v>
      </c>
      <c r="BB22" s="524">
        <f t="shared" si="11"/>
        <v>0</v>
      </c>
      <c r="BC22" s="524">
        <f t="shared" si="12"/>
        <v>0</v>
      </c>
      <c r="BD22" s="525">
        <f t="shared" si="22"/>
        <v>0</v>
      </c>
      <c r="BE22" s="525">
        <f t="shared" si="23"/>
        <v>0</v>
      </c>
      <c r="BF22" s="525">
        <f t="shared" si="24"/>
        <v>0</v>
      </c>
      <c r="BH22" s="201"/>
      <c r="BI22" s="201"/>
      <c r="BJ22" s="201"/>
      <c r="BK22" s="201"/>
      <c r="BL22" s="201"/>
      <c r="BM22" s="201"/>
      <c r="BN22" s="201"/>
      <c r="BO22" s="201"/>
      <c r="BP22" s="201"/>
      <c r="BQ22" s="201"/>
      <c r="BR22" s="201"/>
    </row>
    <row r="23" spans="1:70" ht="13" thickBot="1">
      <c r="B23" s="165" t="str">
        <f>Processes!D15</f>
        <v>CDHUML</v>
      </c>
      <c r="C23" s="165" t="str">
        <f>Processes!E15</f>
        <v xml:space="preserve">Commercial Demand Heating Urban Multi -  - Low </v>
      </c>
      <c r="D23" s="127" t="str">
        <f>Commodities!$C$41&amp;","&amp;Commodities!$C$45&amp;","&amp;Commodities!$C$49&amp;","&amp;Commodities!$C$84&amp;","&amp;Commodities!C65</f>
        <v>COMHUMX,COMHUMB,COMHUMBE,COMHSAV,COMHUMSL</v>
      </c>
      <c r="E23" s="7" t="str">
        <f>Commodities!C9</f>
        <v>CHUMB</v>
      </c>
      <c r="G23" s="166"/>
      <c r="H23" s="526" cm="1">
        <f t="array" ref="H23">ROUNDUP(INDEX(Dem!$F$41:$H$44,MATCH(Buildings_DR!$E23,Dem!$B$5:$B$8,0),MATCH(RIGHT(H$7,3),Dem!$F$1:$H$1,0))*_xlfn.IFS(RIGHT($D23,1)="H",$H$4,RIGHT($D23,1)="M",$H$3,RIGHT($D23,1)="L",$H$2),2)</f>
        <v>0</v>
      </c>
      <c r="I23" s="526" cm="1">
        <f t="array" ref="I23">ROUNDUP(INDEX(Dem!$F$41:$H$44,MATCH(Buildings_DR!$E23,Dem!$B$5:$B$8,0),MATCH(RIGHT(I$7,3),Dem!$F$1:$H$1,0))*_xlfn.IFS(RIGHT($D23,1)="H",$H$4,RIGHT($D23,1)="M",$H$3,RIGHT($D23,1)="L",$H$2),2)</f>
        <v>0</v>
      </c>
      <c r="J23" s="526" cm="1">
        <f t="array" ref="J23">ROUNDUP(INDEX(Dem!$F$41:$H$44,MATCH(Buildings_DR!$E23,Dem!$B$5:$B$8,0),MATCH(RIGHT(J$7,3),Dem!$F$1:$H$1,0))*_xlfn.IFS(RIGHT($D23,1)="H",$H$4,RIGHT($D23,1)="M",$H$3,RIGHT($D23,1)="L",$H$2),2)</f>
        <v>0</v>
      </c>
      <c r="K23" s="526" cm="1">
        <f t="array" ref="K23">ROUNDUP(INDEX(Dem!$F$45:$H$48,MATCH(Buildings_DR!$E23,Dem!$B$5:$B$8,0),MATCH(RIGHT(K$7,3),Dem!$F$1:$H$1,0))*_xlfn.IFS(RIGHT($D23,1)="H",$H$4,RIGHT($D23,1)="M",$H$3,RIGHT($D23,1)="L",$H$2),2)</f>
        <v>0</v>
      </c>
      <c r="L23" s="526" cm="1">
        <f t="array" ref="L23">ROUNDUP(INDEX(Dem!$F$45:$H$48,MATCH(Buildings_DR!$E23,Dem!$B$5:$B$8,0),MATCH(RIGHT(L$7,3),Dem!$F$1:$H$1,0))*_xlfn.IFS(RIGHT($D23,1)="H",$H$4,RIGHT($D23,1)="M",$H$3,RIGHT($D23,1)="L",$H$2),2)</f>
        <v>0</v>
      </c>
      <c r="M23" s="526" cm="1">
        <f t="array" ref="M23">ROUNDUP(INDEX(Dem!$F$45:$H$48,MATCH(Buildings_DR!$E23,Dem!$B$5:$B$8,0),MATCH(RIGHT(M$7,3),Dem!$F$1:$H$1,0))*_xlfn.IFS(RIGHT($D23,1)="H",$H$4,RIGHT($D23,1)="M",$H$3,RIGHT($D23,1)="L",$H$2),2)</f>
        <v>0</v>
      </c>
      <c r="N23" s="526" cm="1">
        <f t="array" ref="N23">ROUNDUP(INDEX(Dem!$F$49:$H$52,MATCH(Buildings_DR!$E23,Dem!$B$5:$B$8,0),MATCH(RIGHT(N$7,3),Dem!$F$1:$H$1,0))*_xlfn.IFS(RIGHT($D23,1)="H",$H$4,RIGHT($D23,1)="M",$H$3,RIGHT($D23,1)="L",$H$2),2)</f>
        <v>0</v>
      </c>
      <c r="O23" s="526" cm="1">
        <f t="array" ref="O23">ROUNDUP(INDEX(Dem!$F$49:$H$52,MATCH(Buildings_DR!$E23,Dem!$B$5:$B$8,0),MATCH(RIGHT(O$7,3),Dem!$F$1:$H$1,0))*_xlfn.IFS(RIGHT($D23,1)="H",$H$4,RIGHT($D23,1)="M",$H$3,RIGHT($D23,1)="L",$H$2),2)</f>
        <v>0</v>
      </c>
      <c r="P23" s="526" cm="1">
        <f t="array" ref="P23">ROUNDUP(INDEX(Dem!$F$49:$H$52,MATCH(Buildings_DR!$E23,Dem!$B$5:$B$8,0),MATCH(RIGHT(P$7,3),Dem!$F$1:$H$1,0))*_xlfn.IFS(RIGHT($D23,1)="H",$H$4,RIGHT($D23,1)="M",$H$3,RIGHT($D23,1)="L",$H$2),2)</f>
        <v>0</v>
      </c>
      <c r="Q23" s="526">
        <f t="shared" ref="Q23:S25" si="29">H23*0.6</f>
        <v>0</v>
      </c>
      <c r="R23" s="526">
        <f t="shared" si="29"/>
        <v>0</v>
      </c>
      <c r="S23" s="526">
        <f t="shared" si="29"/>
        <v>0</v>
      </c>
      <c r="T23" s="526">
        <f t="shared" ref="T23:AE23" si="30">H23*0.99</f>
        <v>0</v>
      </c>
      <c r="U23" s="526">
        <f t="shared" si="30"/>
        <v>0</v>
      </c>
      <c r="V23" s="526">
        <f t="shared" si="30"/>
        <v>0</v>
      </c>
      <c r="W23" s="526">
        <f t="shared" si="30"/>
        <v>0</v>
      </c>
      <c r="X23" s="526">
        <f t="shared" si="30"/>
        <v>0</v>
      </c>
      <c r="Y23" s="526">
        <f t="shared" si="30"/>
        <v>0</v>
      </c>
      <c r="Z23" s="526">
        <f t="shared" si="30"/>
        <v>0</v>
      </c>
      <c r="AA23" s="526">
        <f t="shared" si="30"/>
        <v>0</v>
      </c>
      <c r="AB23" s="526">
        <f t="shared" si="30"/>
        <v>0</v>
      </c>
      <c r="AC23" s="526">
        <f t="shared" si="30"/>
        <v>0</v>
      </c>
      <c r="AD23" s="526">
        <f t="shared" si="30"/>
        <v>0</v>
      </c>
      <c r="AE23" s="526">
        <f t="shared" si="30"/>
        <v>0</v>
      </c>
      <c r="AF23" s="526">
        <v>5</v>
      </c>
      <c r="AG23" s="526">
        <v>5</v>
      </c>
      <c r="AH23" s="526">
        <v>5</v>
      </c>
      <c r="AI23" s="516">
        <f t="shared" ref="AI23:AT23" si="31">AI24/2</f>
        <v>1.4649999999999999</v>
      </c>
      <c r="AJ23" s="516" t="e">
        <f t="shared" si="31"/>
        <v>#DIV/0!</v>
      </c>
      <c r="AK23" s="516" t="e">
        <f t="shared" si="31"/>
        <v>#DIV/0!</v>
      </c>
      <c r="AL23" s="516">
        <f t="shared" si="31"/>
        <v>1.40154</v>
      </c>
      <c r="AM23" s="516" t="e">
        <f t="shared" si="31"/>
        <v>#DIV/0!</v>
      </c>
      <c r="AN23" s="516" t="e">
        <f t="shared" si="31"/>
        <v>#DIV/0!</v>
      </c>
      <c r="AO23" s="516">
        <f t="shared" si="31"/>
        <v>1.6349999999999998</v>
      </c>
      <c r="AP23" s="516" t="e">
        <f t="shared" si="31"/>
        <v>#DIV/0!</v>
      </c>
      <c r="AQ23" s="516" t="e">
        <f t="shared" si="31"/>
        <v>#DIV/0!</v>
      </c>
      <c r="AR23" s="516">
        <f t="shared" si="31"/>
        <v>1.7249999999999999</v>
      </c>
      <c r="AS23" s="516" t="e">
        <f t="shared" si="31"/>
        <v>#DIV/0!</v>
      </c>
      <c r="AT23" s="516" t="e">
        <f t="shared" si="31"/>
        <v>#DIV/0!</v>
      </c>
      <c r="AU23" s="167">
        <v>1</v>
      </c>
      <c r="AV23" s="165">
        <v>1</v>
      </c>
      <c r="AW23" s="160"/>
      <c r="AX23" s="162"/>
      <c r="AY23" s="162"/>
      <c r="AZ23" s="199"/>
      <c r="BA23" s="524">
        <f t="shared" si="10"/>
        <v>0</v>
      </c>
      <c r="BB23" s="524">
        <f t="shared" si="11"/>
        <v>0</v>
      </c>
      <c r="BC23" s="524">
        <f t="shared" si="12"/>
        <v>0</v>
      </c>
      <c r="BD23" s="525">
        <f t="shared" si="22"/>
        <v>0</v>
      </c>
      <c r="BE23" s="525" t="e">
        <f t="shared" si="23"/>
        <v>#DIV/0!</v>
      </c>
      <c r="BF23" s="525" t="e">
        <f t="shared" si="24"/>
        <v>#DIV/0!</v>
      </c>
      <c r="BH23" s="201"/>
      <c r="BI23" s="201"/>
      <c r="BJ23" s="201"/>
      <c r="BK23" s="201"/>
      <c r="BL23" s="201"/>
      <c r="BM23" s="201"/>
      <c r="BN23" s="201"/>
      <c r="BO23" s="201"/>
      <c r="BP23" s="201"/>
      <c r="BQ23" s="201"/>
      <c r="BR23" s="201"/>
    </row>
    <row r="24" spans="1:70">
      <c r="A24" s="162"/>
      <c r="B24" s="162" t="str">
        <f>Processes!D16</f>
        <v>CDHUMM</v>
      </c>
      <c r="C24" s="162" t="str">
        <f>Processes!E16</f>
        <v xml:space="preserve">Commercial Demand Heating Urban Multi -  - Medium </v>
      </c>
      <c r="D24" s="127" t="str">
        <f>Commodities!$C$41&amp;","&amp;Commodities!$C$45&amp;","&amp;Commodities!$C$49&amp;","&amp;Commodities!$C$84&amp;","&amp;Commodities!C66</f>
        <v>COMHUMX,COMHUMB,COMHUMBE,COMHSAV,COMHUMSM</v>
      </c>
      <c r="E24" s="191" t="str">
        <f>E23</f>
        <v>CHUMB</v>
      </c>
      <c r="G24" s="191"/>
      <c r="H24" s="526" cm="1">
        <f t="array" ref="H24">ROUNDUP(INDEX(Dem!$F$41:$H$44,MATCH(Buildings_DR!$E24,Dem!$B$5:$B$8,0),MATCH(RIGHT(H$7,3),Dem!$F$1:$H$1,0))*_xlfn.IFS(RIGHT($D24,1)="H",$H$4,RIGHT($D24,1)="M",$H$3,RIGHT($D24,1)="L",$H$2),2)</f>
        <v>378.4</v>
      </c>
      <c r="I24" s="526" cm="1">
        <f t="array" ref="I24">ROUNDUP(INDEX(Dem!$F$41:$H$44,MATCH(Buildings_DR!$E24,Dem!$B$5:$B$8,0),MATCH(RIGHT(I$7,3),Dem!$F$1:$H$1,0))*_xlfn.IFS(RIGHT($D24,1)="H",$H$4,RIGHT($D24,1)="M",$H$3,RIGHT($D24,1)="L",$H$2),2)</f>
        <v>0</v>
      </c>
      <c r="J24" s="526" cm="1">
        <f t="array" ref="J24">ROUNDUP(INDEX(Dem!$F$41:$H$44,MATCH(Buildings_DR!$E24,Dem!$B$5:$B$8,0),MATCH(RIGHT(J$7,3),Dem!$F$1:$H$1,0))*_xlfn.IFS(RIGHT($D24,1)="H",$H$4,RIGHT($D24,1)="M",$H$3,RIGHT($D24,1)="L",$H$2),2)</f>
        <v>0</v>
      </c>
      <c r="K24" s="526" cm="1">
        <f t="array" ref="K24">ROUNDUP(INDEX(Dem!$F$45:$H$48,MATCH(Buildings_DR!$E24,Dem!$B$5:$B$8,0),MATCH(RIGHT(K$7,3),Dem!$F$1:$H$1,0))*_xlfn.IFS(RIGHT($D24,1)="H",$H$4,RIGHT($D24,1)="M",$H$3,RIGHT($D24,1)="L",$H$2),2)</f>
        <v>378.4</v>
      </c>
      <c r="L24" s="526" cm="1">
        <f t="array" ref="L24">ROUNDUP(INDEX(Dem!$F$45:$H$48,MATCH(Buildings_DR!$E24,Dem!$B$5:$B$8,0),MATCH(RIGHT(L$7,3),Dem!$F$1:$H$1,0))*_xlfn.IFS(RIGHT($D24,1)="H",$H$4,RIGHT($D24,1)="M",$H$3,RIGHT($D24,1)="L",$H$2),2)</f>
        <v>0</v>
      </c>
      <c r="M24" s="526" cm="1">
        <f t="array" ref="M24">ROUNDUP(INDEX(Dem!$F$45:$H$48,MATCH(Buildings_DR!$E24,Dem!$B$5:$B$8,0),MATCH(RIGHT(M$7,3),Dem!$F$1:$H$1,0))*_xlfn.IFS(RIGHT($D24,1)="H",$H$4,RIGHT($D24,1)="M",$H$3,RIGHT($D24,1)="L",$H$2),2)</f>
        <v>0</v>
      </c>
      <c r="N24" s="526" cm="1">
        <f t="array" ref="N24">ROUNDUP(INDEX(Dem!$F$49:$H$52,MATCH(Buildings_DR!$E24,Dem!$B$5:$B$8,0),MATCH(RIGHT(N$7,3),Dem!$F$1:$H$1,0))*_xlfn.IFS(RIGHT($D24,1)="H",$H$4,RIGHT($D24,1)="M",$H$3,RIGHT($D24,1)="L",$H$2),2)</f>
        <v>378.4</v>
      </c>
      <c r="O24" s="526" cm="1">
        <f t="array" ref="O24">ROUNDUP(INDEX(Dem!$F$49:$H$52,MATCH(Buildings_DR!$E24,Dem!$B$5:$B$8,0),MATCH(RIGHT(O$7,3),Dem!$F$1:$H$1,0))*_xlfn.IFS(RIGHT($D24,1)="H",$H$4,RIGHT($D24,1)="M",$H$3,RIGHT($D24,1)="L",$H$2),2)</f>
        <v>0</v>
      </c>
      <c r="P24" s="526" cm="1">
        <f t="array" ref="P24">ROUNDUP(INDEX(Dem!$F$49:$H$52,MATCH(Buildings_DR!$E24,Dem!$B$5:$B$8,0),MATCH(RIGHT(P$7,3),Dem!$F$1:$H$1,0))*_xlfn.IFS(RIGHT($D24,1)="H",$H$4,RIGHT($D24,1)="M",$H$3,RIGHT($D24,1)="L",$H$2),2)</f>
        <v>0</v>
      </c>
      <c r="Q24" s="526">
        <f t="shared" si="29"/>
        <v>227.04</v>
      </c>
      <c r="R24" s="526">
        <f t="shared" si="29"/>
        <v>0</v>
      </c>
      <c r="S24" s="526">
        <f t="shared" si="29"/>
        <v>0</v>
      </c>
      <c r="T24" s="526">
        <f t="shared" ref="T24:AB24" si="32">H24*$K$2</f>
        <v>374.61599999999999</v>
      </c>
      <c r="U24" s="526">
        <f t="shared" si="32"/>
        <v>0</v>
      </c>
      <c r="V24" s="526">
        <f t="shared" si="32"/>
        <v>0</v>
      </c>
      <c r="W24" s="526">
        <f>K24*$K$2</f>
        <v>374.61599999999999</v>
      </c>
      <c r="X24" s="526">
        <f t="shared" si="32"/>
        <v>0</v>
      </c>
      <c r="Y24" s="526">
        <f t="shared" si="32"/>
        <v>0</v>
      </c>
      <c r="Z24" s="526">
        <f>N24*$K$2</f>
        <v>374.61599999999999</v>
      </c>
      <c r="AA24" s="526">
        <f t="shared" si="32"/>
        <v>0</v>
      </c>
      <c r="AB24" s="526">
        <f t="shared" si="32"/>
        <v>0</v>
      </c>
      <c r="AC24" s="526">
        <f>Q24*$K$3</f>
        <v>224.7696</v>
      </c>
      <c r="AD24" s="526">
        <f>R24*$K$3</f>
        <v>0</v>
      </c>
      <c r="AE24" s="526">
        <f>S24*$K$3</f>
        <v>0</v>
      </c>
      <c r="AF24" s="526">
        <v>5</v>
      </c>
      <c r="AG24" s="526">
        <v>5</v>
      </c>
      <c r="AH24" s="526">
        <v>5</v>
      </c>
      <c r="AI24" s="517">
        <f>ROUNDUP(SUM(H23:H29)/SUM(Boilers_DR!AB28:AB38),2)</f>
        <v>2.9299999999999997</v>
      </c>
      <c r="AJ24" s="517" t="e">
        <f>ROUNDUP(SUM(I23:I29)/SUM(Boilers_DR!AC28:AC38),2)</f>
        <v>#DIV/0!</v>
      </c>
      <c r="AK24" s="517" t="e">
        <f>ROUNDUP(SUM(J23:J29)/SUM(Boilers_DR!AD28:AD38),2)</f>
        <v>#DIV/0!</v>
      </c>
      <c r="AL24" s="517">
        <f>ROUNDUP(SUM(K23:K29)/SUM(Boilers_DR!AB70:AB79),2)*AL3</f>
        <v>2.80308</v>
      </c>
      <c r="AM24" s="517" t="e">
        <f>ROUNDUP(SUM(L23:L29)/SUM(Boilers_DR!AC70:AC79),2)*AM3</f>
        <v>#DIV/0!</v>
      </c>
      <c r="AN24" s="517" t="e">
        <f>ROUNDUP(SUM(M23:M29)/SUM(Boilers_DR!AD70:AD79),2)*AN3</f>
        <v>#DIV/0!</v>
      </c>
      <c r="AO24" s="517">
        <f>ROUNDUP(SUM(N23:N29)/SUM(Boilers_DR!AB110:AB119),2)</f>
        <v>3.2699999999999996</v>
      </c>
      <c r="AP24" s="517" t="e">
        <f>ROUNDUP(SUM(O23:O29)/SUM(Boilers_DR!AC110:AC119),2)</f>
        <v>#DIV/0!</v>
      </c>
      <c r="AQ24" s="517" t="e">
        <f>ROUNDUP(SUM(P23:P29)/SUM(Boilers_DR!AD110:AD119),2)</f>
        <v>#DIV/0!</v>
      </c>
      <c r="AR24" s="517">
        <f>ROUNDUP(SUM(N23:N29)/SUM(Boilers_DR!AB150:AB159),2)</f>
        <v>3.4499999999999997</v>
      </c>
      <c r="AS24" s="517" t="e">
        <f>ROUNDUP(SUM(O23:O29)/SUM(Boilers_DR!AC150:AC159),2)</f>
        <v>#DIV/0!</v>
      </c>
      <c r="AT24" s="517" t="e">
        <f>ROUNDUP(SUM(P23:P29)/SUM(Boilers_DR!AD150:AD159),2)</f>
        <v>#DIV/0!</v>
      </c>
      <c r="AU24" s="163">
        <v>1</v>
      </c>
      <c r="AV24" s="162">
        <v>1</v>
      </c>
      <c r="AW24" s="160"/>
      <c r="AX24" s="162"/>
      <c r="AY24" s="162"/>
      <c r="AZ24" s="199"/>
      <c r="BA24" s="524">
        <f t="shared" si="10"/>
        <v>378.4</v>
      </c>
      <c r="BB24" s="524">
        <f t="shared" si="11"/>
        <v>0</v>
      </c>
      <c r="BC24" s="524">
        <f t="shared" si="12"/>
        <v>0</v>
      </c>
      <c r="BD24" s="525">
        <f t="shared" si="22"/>
        <v>129.14675767918089</v>
      </c>
      <c r="BE24" s="525" t="e">
        <f t="shared" si="23"/>
        <v>#DIV/0!</v>
      </c>
      <c r="BF24" s="525" t="e">
        <f t="shared" si="24"/>
        <v>#DIV/0!</v>
      </c>
      <c r="BH24" s="201"/>
      <c r="BI24" s="201"/>
      <c r="BJ24" s="201"/>
      <c r="BK24" s="201"/>
      <c r="BL24" s="201"/>
      <c r="BM24" s="201"/>
      <c r="BN24" s="201"/>
      <c r="BO24" s="201"/>
      <c r="BP24" s="201"/>
      <c r="BQ24" s="201"/>
      <c r="BR24" s="201"/>
    </row>
    <row r="25" spans="1:70">
      <c r="A25" s="162"/>
      <c r="B25" s="162" t="str">
        <f>Processes!D17</f>
        <v>CDHUMH</v>
      </c>
      <c r="C25" s="162" t="str">
        <f>Processes!E17</f>
        <v xml:space="preserve">Commercial Demand Heating Urban Multi -  - High </v>
      </c>
      <c r="D25" s="127" t="str">
        <f>Commodities!$C$41&amp;","&amp;Commodities!$C$45&amp;","&amp;Commodities!$C$49&amp;","&amp;Commodities!$C$84&amp;","&amp;Commodities!C67</f>
        <v>COMHUMX,COMHUMB,COMHUMBE,COMHSAV,COMHUMSH</v>
      </c>
      <c r="E25" s="191" t="str">
        <f>E24</f>
        <v>CHUMB</v>
      </c>
      <c r="G25" s="191"/>
      <c r="H25" s="526" cm="1">
        <f t="array" ref="H25">ROUNDUP(INDEX(Dem!$F$41:$H$44,MATCH(Buildings_DR!$E25,Dem!$B$5:$B$8,0),MATCH(RIGHT(H$7,3),Dem!$F$1:$H$1,0))*_xlfn.IFS(RIGHT($D25,1)="H",$H$4,RIGHT($D25,1)="M",$H$3,RIGHT($D25,1)="L",$H$2),2)</f>
        <v>0</v>
      </c>
      <c r="I25" s="526" cm="1">
        <f t="array" ref="I25">ROUNDUP(INDEX(Dem!$F$41:$H$44,MATCH(Buildings_DR!$E25,Dem!$B$5:$B$8,0),MATCH(RIGHT(I$7,3),Dem!$F$1:$H$1,0))*_xlfn.IFS(RIGHT($D25,1)="H",$H$4,RIGHT($D25,1)="M",$H$3,RIGHT($D25,1)="L",$H$2),2)</f>
        <v>0</v>
      </c>
      <c r="J25" s="526" cm="1">
        <f t="array" ref="J25">ROUNDUP(INDEX(Dem!$F$41:$H$44,MATCH(Buildings_DR!$E25,Dem!$B$5:$B$8,0),MATCH(RIGHT(J$7,3),Dem!$F$1:$H$1,0))*_xlfn.IFS(RIGHT($D25,1)="H",$H$4,RIGHT($D25,1)="M",$H$3,RIGHT($D25,1)="L",$H$2),2)</f>
        <v>0</v>
      </c>
      <c r="K25" s="526" cm="1">
        <f t="array" ref="K25">ROUNDUP(INDEX(Dem!$F$45:$H$48,MATCH(Buildings_DR!$E25,Dem!$B$5:$B$8,0),MATCH(RIGHT(K$7,3),Dem!$F$1:$H$1,0))*_xlfn.IFS(RIGHT($D25,1)="H",$H$4,RIGHT($D25,1)="M",$H$3,RIGHT($D25,1)="L",$H$2),2)</f>
        <v>0</v>
      </c>
      <c r="L25" s="526" cm="1">
        <f t="array" ref="L25">ROUNDUP(INDEX(Dem!$F$45:$H$48,MATCH(Buildings_DR!$E25,Dem!$B$5:$B$8,0),MATCH(RIGHT(L$7,3),Dem!$F$1:$H$1,0))*_xlfn.IFS(RIGHT($D25,1)="H",$H$4,RIGHT($D25,1)="M",$H$3,RIGHT($D25,1)="L",$H$2),2)</f>
        <v>0</v>
      </c>
      <c r="M25" s="526" cm="1">
        <f t="array" ref="M25">ROUNDUP(INDEX(Dem!$F$45:$H$48,MATCH(Buildings_DR!$E25,Dem!$B$5:$B$8,0),MATCH(RIGHT(M$7,3),Dem!$F$1:$H$1,0))*_xlfn.IFS(RIGHT($D25,1)="H",$H$4,RIGHT($D25,1)="M",$H$3,RIGHT($D25,1)="L",$H$2),2)</f>
        <v>0</v>
      </c>
      <c r="N25" s="526" cm="1">
        <f t="array" ref="N25">ROUNDUP(INDEX(Dem!$F$49:$H$52,MATCH(Buildings_DR!$E25,Dem!$B$5:$B$8,0),MATCH(RIGHT(N$7,3),Dem!$F$1:$H$1,0))*_xlfn.IFS(RIGHT($D25,1)="H",$H$4,RIGHT($D25,1)="M",$H$3,RIGHT($D25,1)="L",$H$2),2)</f>
        <v>0</v>
      </c>
      <c r="O25" s="526" cm="1">
        <f t="array" ref="O25">ROUNDUP(INDEX(Dem!$F$49:$H$52,MATCH(Buildings_DR!$E25,Dem!$B$5:$B$8,0),MATCH(RIGHT(O$7,3),Dem!$F$1:$H$1,0))*_xlfn.IFS(RIGHT($D25,1)="H",$H$4,RIGHT($D25,1)="M",$H$3,RIGHT($D25,1)="L",$H$2),2)</f>
        <v>0</v>
      </c>
      <c r="P25" s="526" cm="1">
        <f t="array" ref="P25">ROUNDUP(INDEX(Dem!$F$49:$H$52,MATCH(Buildings_DR!$E25,Dem!$B$5:$B$8,0),MATCH(RIGHT(P$7,3),Dem!$F$1:$H$1,0))*_xlfn.IFS(RIGHT($D25,1)="H",$H$4,RIGHT($D25,1)="M",$H$3,RIGHT($D25,1)="L",$H$2),2)</f>
        <v>0</v>
      </c>
      <c r="Q25" s="526">
        <f t="shared" si="29"/>
        <v>0</v>
      </c>
      <c r="R25" s="526">
        <f t="shared" si="29"/>
        <v>0</v>
      </c>
      <c r="S25" s="526">
        <f t="shared" si="29"/>
        <v>0</v>
      </c>
      <c r="T25" s="526">
        <f t="shared" ref="T25:AE25" si="33">H25*0.99</f>
        <v>0</v>
      </c>
      <c r="U25" s="526">
        <f t="shared" si="33"/>
        <v>0</v>
      </c>
      <c r="V25" s="526">
        <f t="shared" si="33"/>
        <v>0</v>
      </c>
      <c r="W25" s="526">
        <f t="shared" si="33"/>
        <v>0</v>
      </c>
      <c r="X25" s="526">
        <f t="shared" si="33"/>
        <v>0</v>
      </c>
      <c r="Y25" s="526">
        <f t="shared" si="33"/>
        <v>0</v>
      </c>
      <c r="Z25" s="526">
        <f t="shared" si="33"/>
        <v>0</v>
      </c>
      <c r="AA25" s="526">
        <f t="shared" si="33"/>
        <v>0</v>
      </c>
      <c r="AB25" s="526">
        <f t="shared" si="33"/>
        <v>0</v>
      </c>
      <c r="AC25" s="526">
        <f t="shared" si="33"/>
        <v>0</v>
      </c>
      <c r="AD25" s="526">
        <f t="shared" si="33"/>
        <v>0</v>
      </c>
      <c r="AE25" s="526">
        <f t="shared" si="33"/>
        <v>0</v>
      </c>
      <c r="AF25" s="526">
        <v>5</v>
      </c>
      <c r="AG25" s="526">
        <v>5</v>
      </c>
      <c r="AH25" s="526">
        <v>5</v>
      </c>
      <c r="AI25" s="517">
        <f t="shared" ref="AI25:AQ25" si="34">AI24/2+AI26/2</f>
        <v>3.0350000000000001</v>
      </c>
      <c r="AJ25" s="517" t="e">
        <f t="shared" si="34"/>
        <v>#DIV/0!</v>
      </c>
      <c r="AK25" s="517" t="e">
        <f t="shared" si="34"/>
        <v>#DIV/0!</v>
      </c>
      <c r="AL25" s="517">
        <f t="shared" si="34"/>
        <v>2.9715400000000001</v>
      </c>
      <c r="AM25" s="517" t="e">
        <f t="shared" si="34"/>
        <v>#DIV/0!</v>
      </c>
      <c r="AN25" s="517" t="e">
        <f t="shared" si="34"/>
        <v>#DIV/0!</v>
      </c>
      <c r="AO25" s="517">
        <f t="shared" si="34"/>
        <v>3.2050000000000001</v>
      </c>
      <c r="AP25" s="517" t="e">
        <f t="shared" si="34"/>
        <v>#DIV/0!</v>
      </c>
      <c r="AQ25" s="517" t="e">
        <f t="shared" si="34"/>
        <v>#DIV/0!</v>
      </c>
      <c r="AR25" s="517">
        <f t="shared" ref="AR25:AT25" si="35">AR24/2+AR26/2</f>
        <v>3.2949999999999999</v>
      </c>
      <c r="AS25" s="517" t="e">
        <f t="shared" si="35"/>
        <v>#DIV/0!</v>
      </c>
      <c r="AT25" s="517" t="e">
        <f t="shared" si="35"/>
        <v>#DIV/0!</v>
      </c>
      <c r="AU25" s="163">
        <v>1</v>
      </c>
      <c r="AV25" s="162">
        <v>1</v>
      </c>
      <c r="AW25" s="162"/>
      <c r="AX25" s="162"/>
      <c r="AY25" s="162"/>
      <c r="AZ25" s="199"/>
      <c r="BA25" s="524">
        <f t="shared" si="10"/>
        <v>0</v>
      </c>
      <c r="BB25" s="524">
        <f t="shared" si="11"/>
        <v>0</v>
      </c>
      <c r="BC25" s="524">
        <f t="shared" si="12"/>
        <v>0</v>
      </c>
      <c r="BD25" s="525">
        <f t="shared" si="22"/>
        <v>0</v>
      </c>
      <c r="BE25" s="525" t="e">
        <f t="shared" si="23"/>
        <v>#DIV/0!</v>
      </c>
      <c r="BF25" s="525" t="e">
        <f t="shared" si="24"/>
        <v>#DIV/0!</v>
      </c>
      <c r="BH25" s="201"/>
      <c r="BI25" s="201"/>
      <c r="BJ25" s="201"/>
      <c r="BK25" s="201"/>
      <c r="BL25" s="201"/>
      <c r="BM25" s="201"/>
      <c r="BN25" s="201"/>
      <c r="BO25" s="201"/>
      <c r="BP25" s="201"/>
      <c r="BQ25" s="201"/>
      <c r="BR25" s="201"/>
    </row>
    <row r="26" spans="1:70">
      <c r="B26" s="162" t="str">
        <f>Processes!D18</f>
        <v>CDHUMN</v>
      </c>
      <c r="C26" s="162" t="str">
        <f>Processes!E18</f>
        <v xml:space="preserve">Commercial Demand Heating Urban Multi -  - New </v>
      </c>
      <c r="D26" s="127" t="str">
        <f>Commodities!$C$41&amp;","&amp;Commodities!$C$45&amp;","&amp;Commodities!$C$53</f>
        <v>COMHUMX,COMHUMB,COMHUMBN</v>
      </c>
      <c r="E26" s="191" t="str">
        <f>E25</f>
        <v>CHUMB</v>
      </c>
      <c r="F26" s="156">
        <v>2010</v>
      </c>
      <c r="G26" s="191">
        <v>2010</v>
      </c>
      <c r="H26" s="526"/>
      <c r="I26" s="526"/>
      <c r="J26" s="526"/>
      <c r="K26" s="526"/>
      <c r="L26" s="526"/>
      <c r="M26" s="526"/>
      <c r="N26" s="526"/>
      <c r="O26" s="526"/>
      <c r="P26" s="526"/>
      <c r="Q26" s="526"/>
      <c r="R26" s="526"/>
      <c r="S26" s="526"/>
      <c r="T26" s="526"/>
      <c r="U26" s="526"/>
      <c r="V26" s="526"/>
      <c r="W26" s="526"/>
      <c r="X26" s="526"/>
      <c r="Y26" s="526"/>
      <c r="Z26" s="526"/>
      <c r="AA26" s="526"/>
      <c r="AB26" s="526"/>
      <c r="AC26" s="526"/>
      <c r="AD26" s="526"/>
      <c r="AE26" s="526"/>
      <c r="AF26" s="526"/>
      <c r="AG26" s="526"/>
      <c r="AH26" s="526"/>
      <c r="AI26" s="518">
        <f>ROUND(Sources!$U$8,2)</f>
        <v>3.14</v>
      </c>
      <c r="AJ26" s="518">
        <f>ROUND(Sources!$U$8,2)</f>
        <v>3.14</v>
      </c>
      <c r="AK26" s="518">
        <f>ROUND(Sources!$U$8,2)</f>
        <v>3.14</v>
      </c>
      <c r="AL26" s="518">
        <f>ROUND(Sources!$U$8,2)</f>
        <v>3.14</v>
      </c>
      <c r="AM26" s="518">
        <f>ROUND(Sources!$U$8,2)</f>
        <v>3.14</v>
      </c>
      <c r="AN26" s="518">
        <f>ROUND(Sources!$U$8,2)</f>
        <v>3.14</v>
      </c>
      <c r="AO26" s="518">
        <f>ROUND(Sources!$U$8,2)</f>
        <v>3.14</v>
      </c>
      <c r="AP26" s="518">
        <f>ROUND(Sources!$U$8,2)</f>
        <v>3.14</v>
      </c>
      <c r="AQ26" s="518">
        <f>ROUND(Sources!$U$8,2)</f>
        <v>3.14</v>
      </c>
      <c r="AR26" s="518">
        <f>ROUND(Sources!$U$8,2)</f>
        <v>3.14</v>
      </c>
      <c r="AS26" s="518">
        <f>ROUND(Sources!$U$8,2)</f>
        <v>3.14</v>
      </c>
      <c r="AT26" s="518">
        <f>ROUND(Sources!$U$8,2)</f>
        <v>3.14</v>
      </c>
      <c r="AU26" s="163">
        <v>1</v>
      </c>
      <c r="AV26" s="168">
        <v>1</v>
      </c>
      <c r="AW26" s="162">
        <v>100</v>
      </c>
      <c r="AX26" s="162"/>
      <c r="AY26" s="162"/>
      <c r="BA26" s="524">
        <f t="shared" si="10"/>
        <v>0</v>
      </c>
      <c r="BB26" s="524">
        <f t="shared" si="11"/>
        <v>0</v>
      </c>
      <c r="BC26" s="524">
        <f t="shared" si="12"/>
        <v>0</v>
      </c>
      <c r="BD26" s="525">
        <f t="shared" ref="BD26:BF29" si="36">BA26/AI12</f>
        <v>0</v>
      </c>
      <c r="BE26" s="525">
        <f t="shared" si="36"/>
        <v>0</v>
      </c>
      <c r="BF26" s="525">
        <f t="shared" si="36"/>
        <v>0</v>
      </c>
      <c r="BH26" s="201"/>
      <c r="BI26" s="201"/>
      <c r="BJ26" s="201"/>
      <c r="BK26" s="201"/>
      <c r="BL26" s="201"/>
      <c r="BM26" s="201"/>
      <c r="BN26" s="201"/>
      <c r="BO26" s="201"/>
      <c r="BP26" s="201"/>
      <c r="BQ26" s="201"/>
      <c r="BR26" s="201"/>
    </row>
    <row r="27" spans="1:70">
      <c r="B27" s="162"/>
      <c r="C27" s="162"/>
      <c r="D27" s="550"/>
      <c r="E27" s="191"/>
      <c r="F27" s="156">
        <v>2016</v>
      </c>
      <c r="H27" s="526"/>
      <c r="I27" s="526"/>
      <c r="J27" s="526"/>
      <c r="K27" s="526"/>
      <c r="L27" s="526"/>
      <c r="M27" s="526"/>
      <c r="N27" s="526"/>
      <c r="O27" s="526"/>
      <c r="P27" s="526"/>
      <c r="Q27" s="526"/>
      <c r="R27" s="526"/>
      <c r="S27" s="526"/>
      <c r="T27" s="526"/>
      <c r="U27" s="526"/>
      <c r="V27" s="526"/>
      <c r="W27" s="526"/>
      <c r="X27" s="526"/>
      <c r="Y27" s="526"/>
      <c r="Z27" s="526"/>
      <c r="AA27" s="526"/>
      <c r="AB27" s="526"/>
      <c r="AC27" s="526"/>
      <c r="AD27" s="526"/>
      <c r="AE27" s="526"/>
      <c r="AF27" s="526"/>
      <c r="AG27" s="526"/>
      <c r="AH27" s="526"/>
      <c r="AI27" s="518">
        <f>ROUND(Sources!$U$9,2)</f>
        <v>3.69</v>
      </c>
      <c r="AJ27" s="518">
        <f>ROUND(Sources!$U$9,2)</f>
        <v>3.69</v>
      </c>
      <c r="AK27" s="518">
        <f>ROUND(Sources!$U$9,2)</f>
        <v>3.69</v>
      </c>
      <c r="AL27" s="518">
        <f>ROUND(Sources!$U$9,2)</f>
        <v>3.69</v>
      </c>
      <c r="AM27" s="518">
        <f>ROUND(Sources!$U$9,2)</f>
        <v>3.69</v>
      </c>
      <c r="AN27" s="518">
        <f>ROUND(Sources!$U$9,2)</f>
        <v>3.69</v>
      </c>
      <c r="AO27" s="518">
        <f>ROUND(Sources!$U$9,2)</f>
        <v>3.69</v>
      </c>
      <c r="AP27" s="518">
        <f>ROUND(Sources!$U$9,2)</f>
        <v>3.69</v>
      </c>
      <c r="AQ27" s="518">
        <f>ROUND(Sources!$U$9,2)</f>
        <v>3.69</v>
      </c>
      <c r="AR27" s="518">
        <f>ROUND(Sources!$U$9,2)</f>
        <v>3.69</v>
      </c>
      <c r="AS27" s="518">
        <f>ROUND(Sources!$U$9,2)</f>
        <v>3.69</v>
      </c>
      <c r="AT27" s="518">
        <f>ROUND(Sources!$U$9,2)</f>
        <v>3.69</v>
      </c>
      <c r="AU27" s="163">
        <v>1</v>
      </c>
      <c r="AV27" s="168">
        <v>1</v>
      </c>
      <c r="AW27" s="162">
        <v>100</v>
      </c>
      <c r="AX27" s="162"/>
      <c r="AY27" s="162"/>
      <c r="BA27" s="524">
        <f t="shared" si="10"/>
        <v>0</v>
      </c>
      <c r="BB27" s="524">
        <f t="shared" si="11"/>
        <v>0</v>
      </c>
      <c r="BC27" s="524">
        <f t="shared" si="12"/>
        <v>0</v>
      </c>
      <c r="BD27" s="525">
        <f t="shared" si="36"/>
        <v>0</v>
      </c>
      <c r="BE27" s="525">
        <f t="shared" si="36"/>
        <v>0</v>
      </c>
      <c r="BF27" s="525">
        <f t="shared" si="36"/>
        <v>0</v>
      </c>
      <c r="BH27" s="201"/>
      <c r="BI27" s="201"/>
      <c r="BJ27" s="201"/>
      <c r="BK27" s="201"/>
      <c r="BL27" s="201"/>
      <c r="BM27" s="201"/>
      <c r="BN27" s="201"/>
      <c r="BO27" s="201"/>
      <c r="BP27" s="201"/>
      <c r="BQ27" s="201"/>
      <c r="BR27" s="201"/>
    </row>
    <row r="28" spans="1:70">
      <c r="B28" s="162"/>
      <c r="C28" s="162"/>
      <c r="D28" s="550"/>
      <c r="E28" s="191"/>
      <c r="F28" s="156">
        <v>2021</v>
      </c>
      <c r="H28" s="526"/>
      <c r="I28" s="526"/>
      <c r="J28" s="526"/>
      <c r="K28" s="526"/>
      <c r="L28" s="526"/>
      <c r="M28" s="526"/>
      <c r="N28" s="526"/>
      <c r="O28" s="526"/>
      <c r="P28" s="526"/>
      <c r="Q28" s="526"/>
      <c r="R28" s="526"/>
      <c r="S28" s="526"/>
      <c r="T28" s="526"/>
      <c r="U28" s="526"/>
      <c r="V28" s="526"/>
      <c r="W28" s="526"/>
      <c r="X28" s="526"/>
      <c r="Y28" s="526"/>
      <c r="Z28" s="526"/>
      <c r="AA28" s="526"/>
      <c r="AB28" s="526"/>
      <c r="AC28" s="526"/>
      <c r="AD28" s="526"/>
      <c r="AE28" s="526"/>
      <c r="AF28" s="526"/>
      <c r="AG28" s="526"/>
      <c r="AH28" s="526"/>
      <c r="AI28" s="518">
        <f>ROUND(Sources!$U$10,2)</f>
        <v>6.08</v>
      </c>
      <c r="AJ28" s="518">
        <f>ROUND(Sources!$U$10,2)</f>
        <v>6.08</v>
      </c>
      <c r="AK28" s="518">
        <f>ROUND(Sources!$U$10,2)</f>
        <v>6.08</v>
      </c>
      <c r="AL28" s="518">
        <f>ROUND(Sources!$U$10,2)</f>
        <v>6.08</v>
      </c>
      <c r="AM28" s="518">
        <f>ROUND(Sources!$U$10,2)</f>
        <v>6.08</v>
      </c>
      <c r="AN28" s="518">
        <f>ROUND(Sources!$U$10,2)</f>
        <v>6.08</v>
      </c>
      <c r="AO28" s="518">
        <f>ROUND(Sources!$U$10,2)</f>
        <v>6.08</v>
      </c>
      <c r="AP28" s="518">
        <f>ROUND(Sources!$U$10,2)</f>
        <v>6.08</v>
      </c>
      <c r="AQ28" s="518">
        <f>ROUND(Sources!$U$10,2)</f>
        <v>6.08</v>
      </c>
      <c r="AR28" s="518">
        <f>ROUND(Sources!$U$10,2)</f>
        <v>6.08</v>
      </c>
      <c r="AS28" s="518">
        <f>ROUND(Sources!$U$10,2)</f>
        <v>6.08</v>
      </c>
      <c r="AT28" s="518">
        <f>ROUND(Sources!$U$10,2)</f>
        <v>6.08</v>
      </c>
      <c r="AU28" s="163">
        <v>1</v>
      </c>
      <c r="AV28" s="168">
        <v>1</v>
      </c>
      <c r="AW28" s="162">
        <v>100</v>
      </c>
      <c r="AX28" s="162"/>
      <c r="AY28" s="162"/>
      <c r="BA28" s="524">
        <f t="shared" si="10"/>
        <v>0</v>
      </c>
      <c r="BB28" s="524">
        <f t="shared" si="11"/>
        <v>0</v>
      </c>
      <c r="BC28" s="524">
        <f t="shared" si="12"/>
        <v>0</v>
      </c>
      <c r="BD28" s="525">
        <f t="shared" si="36"/>
        <v>0</v>
      </c>
      <c r="BE28" s="525">
        <f t="shared" si="36"/>
        <v>0</v>
      </c>
      <c r="BF28" s="525">
        <f t="shared" si="36"/>
        <v>0</v>
      </c>
      <c r="BH28" s="201"/>
      <c r="BI28" s="201"/>
      <c r="BJ28" s="201"/>
      <c r="BK28" s="201"/>
      <c r="BL28" s="201"/>
      <c r="BM28" s="201"/>
      <c r="BN28" s="201"/>
      <c r="BO28" s="201"/>
      <c r="BP28" s="201"/>
      <c r="BQ28" s="201"/>
      <c r="BR28" s="201"/>
    </row>
    <row r="29" spans="1:70" ht="13" thickBot="1">
      <c r="B29" s="162"/>
      <c r="C29" s="162"/>
      <c r="D29" s="550"/>
      <c r="E29" s="212"/>
      <c r="F29" s="164">
        <v>2031</v>
      </c>
      <c r="G29" s="164"/>
      <c r="H29" s="527"/>
      <c r="I29" s="527"/>
      <c r="J29" s="527"/>
      <c r="K29" s="527"/>
      <c r="L29" s="527"/>
      <c r="M29" s="527"/>
      <c r="N29" s="527"/>
      <c r="O29" s="527"/>
      <c r="P29" s="527"/>
      <c r="Q29" s="527"/>
      <c r="R29" s="527"/>
      <c r="S29" s="527"/>
      <c r="T29" s="527"/>
      <c r="U29" s="527"/>
      <c r="V29" s="527"/>
      <c r="W29" s="527"/>
      <c r="X29" s="527"/>
      <c r="Y29" s="527"/>
      <c r="Z29" s="527"/>
      <c r="AA29" s="527"/>
      <c r="AB29" s="527"/>
      <c r="AC29" s="527"/>
      <c r="AD29" s="527"/>
      <c r="AE29" s="527"/>
      <c r="AF29" s="527"/>
      <c r="AG29" s="527"/>
      <c r="AH29" s="527"/>
      <c r="AI29" s="522">
        <f>ROUND(Sources!$U$11,2)</f>
        <v>6.94</v>
      </c>
      <c r="AJ29" s="518">
        <f>ROUND(Sources!$U$11,2)</f>
        <v>6.94</v>
      </c>
      <c r="AK29" s="518">
        <f>ROUND(Sources!$U$11,2)</f>
        <v>6.94</v>
      </c>
      <c r="AL29" s="522">
        <f>ROUND(Sources!$U$11,2)</f>
        <v>6.94</v>
      </c>
      <c r="AM29" s="518">
        <f>ROUND(Sources!$U$11,2)</f>
        <v>6.94</v>
      </c>
      <c r="AN29" s="518">
        <f>ROUND(Sources!$U$11,2)</f>
        <v>6.94</v>
      </c>
      <c r="AO29" s="522">
        <f>ROUND(Sources!$U$11,2)</f>
        <v>6.94</v>
      </c>
      <c r="AP29" s="518">
        <f>ROUND(Sources!$U$11,2)</f>
        <v>6.94</v>
      </c>
      <c r="AQ29" s="518">
        <f>ROUND(Sources!$U$11,2)</f>
        <v>6.94</v>
      </c>
      <c r="AR29" s="522">
        <f>ROUND(Sources!$U$11,2)</f>
        <v>6.94</v>
      </c>
      <c r="AS29" s="518">
        <f>ROUND(Sources!$U$11,2)</f>
        <v>6.94</v>
      </c>
      <c r="AT29" s="518">
        <f>ROUND(Sources!$U$11,2)</f>
        <v>6.94</v>
      </c>
      <c r="AU29" s="163">
        <v>1</v>
      </c>
      <c r="AV29" s="168">
        <v>1</v>
      </c>
      <c r="AW29" s="162">
        <v>100</v>
      </c>
      <c r="AX29" s="162"/>
      <c r="AY29" s="162"/>
      <c r="BA29" s="524">
        <f t="shared" si="10"/>
        <v>0</v>
      </c>
      <c r="BB29" s="524">
        <f t="shared" si="11"/>
        <v>0</v>
      </c>
      <c r="BC29" s="524">
        <f t="shared" si="12"/>
        <v>0</v>
      </c>
      <c r="BD29" s="525">
        <f t="shared" si="36"/>
        <v>0</v>
      </c>
      <c r="BE29" s="525">
        <f t="shared" si="36"/>
        <v>0</v>
      </c>
      <c r="BF29" s="525">
        <f t="shared" si="36"/>
        <v>0</v>
      </c>
      <c r="BH29" s="201"/>
      <c r="BI29" s="201"/>
      <c r="BJ29" s="201"/>
      <c r="BK29" s="201"/>
      <c r="BL29" s="201"/>
      <c r="BM29" s="201"/>
      <c r="BN29" s="201"/>
      <c r="BO29" s="201"/>
      <c r="BP29" s="201"/>
      <c r="BQ29" s="201"/>
      <c r="BR29" s="201"/>
    </row>
    <row r="30" spans="1:70" ht="13" thickBot="1">
      <c r="B30" s="165" t="str">
        <f>Processes!D19</f>
        <v>CDHRML</v>
      </c>
      <c r="C30" s="165" t="str">
        <f>Processes!E19</f>
        <v xml:space="preserve">Commercial Demand Heating Rural Multi -  - Low </v>
      </c>
      <c r="D30" s="127" t="str">
        <f>Commodities!$C$42&amp;","&amp;Commodities!$C$46&amp;","&amp;Commodities!$C$50&amp;","&amp;Commodities!$C$84&amp;","&amp;Commodities!C68</f>
        <v>COMHRMX,COMHRMB,COMHRMBE,COMHSAV,COMHRMSL</v>
      </c>
      <c r="E30" s="7" t="str">
        <f>Commodities!C10</f>
        <v>CHRMB</v>
      </c>
      <c r="F30" s="209"/>
      <c r="G30" s="209"/>
      <c r="H30" s="526" cm="1">
        <f t="array" ref="H30">ROUNDUP(INDEX(Dem!$F$41:$H$44,MATCH(Buildings_DR!$E30,Dem!$B$5:$B$8,0),MATCH(RIGHT(H$7,3),Dem!$F$1:$H$1,0))*_xlfn.IFS(RIGHT($D30,1)="H",$H$4,RIGHT($D30,1)="M",$H$3,RIGHT($D30,1)="L",$H$2),2)</f>
        <v>0</v>
      </c>
      <c r="I30" s="526" cm="1">
        <f t="array" ref="I30">ROUNDUP(INDEX(Dem!$F$41:$H$44,MATCH(Buildings_DR!$E30,Dem!$B$5:$B$8,0),MATCH(RIGHT(I$7,3),Dem!$F$1:$H$1,0))*_xlfn.IFS(RIGHT($D30,1)="H",$H$4,RIGHT($D30,1)="M",$H$3,RIGHT($D30,1)="L",$H$2),2)</f>
        <v>0</v>
      </c>
      <c r="J30" s="526" cm="1">
        <f t="array" ref="J30">ROUNDUP(INDEX(Dem!$F$41:$H$44,MATCH(Buildings_DR!$E30,Dem!$B$5:$B$8,0),MATCH(RIGHT(J$7,3),Dem!$F$1:$H$1,0))*_xlfn.IFS(RIGHT($D30,1)="H",$H$4,RIGHT($D30,1)="M",$H$3,RIGHT($D30,1)="L",$H$2),2)</f>
        <v>0</v>
      </c>
      <c r="K30" s="526" cm="1">
        <f t="array" ref="K30">ROUNDUP(INDEX(Dem!$F$45:$H$48,MATCH(Buildings_DR!$E30,Dem!$B$5:$B$8,0),MATCH(RIGHT(K$7,3),Dem!$F$1:$H$1,0))*_xlfn.IFS(RIGHT($D30,1)="H",$H$4,RIGHT($D30,1)="M",$H$3,RIGHT($D30,1)="L",$H$2),2)</f>
        <v>0</v>
      </c>
      <c r="L30" s="526" cm="1">
        <f t="array" ref="L30">ROUNDUP(INDEX(Dem!$F$45:$H$48,MATCH(Buildings_DR!$E30,Dem!$B$5:$B$8,0),MATCH(RIGHT(L$7,3),Dem!$F$1:$H$1,0))*_xlfn.IFS(RIGHT($D30,1)="H",$H$4,RIGHT($D30,1)="M",$H$3,RIGHT($D30,1)="L",$H$2),2)</f>
        <v>0</v>
      </c>
      <c r="M30" s="526" cm="1">
        <f t="array" ref="M30">ROUNDUP(INDEX(Dem!$F$45:$H$48,MATCH(Buildings_DR!$E30,Dem!$B$5:$B$8,0),MATCH(RIGHT(M$7,3),Dem!$F$1:$H$1,0))*_xlfn.IFS(RIGHT($D30,1)="H",$H$4,RIGHT($D30,1)="M",$H$3,RIGHT($D30,1)="L",$H$2),2)</f>
        <v>0</v>
      </c>
      <c r="N30" s="526" cm="1">
        <f t="array" ref="N30">ROUNDUP(INDEX(Dem!$F$49:$H$52,MATCH(Buildings_DR!$E30,Dem!$B$5:$B$8,0),MATCH(RIGHT(N$7,3),Dem!$F$1:$H$1,0))*_xlfn.IFS(RIGHT($D30,1)="H",$H$4,RIGHT($D30,1)="M",$H$3,RIGHT($D30,1)="L",$H$2),2)</f>
        <v>0</v>
      </c>
      <c r="O30" s="526" cm="1">
        <f t="array" ref="O30">ROUNDUP(INDEX(Dem!$F$49:$H$52,MATCH(Buildings_DR!$E30,Dem!$B$5:$B$8,0),MATCH(RIGHT(O$7,3),Dem!$F$1:$H$1,0))*_xlfn.IFS(RIGHT($D30,1)="H",$H$4,RIGHT($D30,1)="M",$H$3,RIGHT($D30,1)="L",$H$2),2)</f>
        <v>0</v>
      </c>
      <c r="P30" s="526" cm="1">
        <f t="array" ref="P30">ROUNDUP(INDEX(Dem!$F$49:$H$52,MATCH(Buildings_DR!$E30,Dem!$B$5:$B$8,0),MATCH(RIGHT(P$7,3),Dem!$F$1:$H$1,0))*_xlfn.IFS(RIGHT($D30,1)="H",$H$4,RIGHT($D30,1)="M",$H$3,RIGHT($D30,1)="L",$H$2),2)</f>
        <v>0</v>
      </c>
      <c r="Q30" s="526">
        <f t="shared" ref="Q30:S32" si="37">H30*0.6</f>
        <v>0</v>
      </c>
      <c r="R30" s="526">
        <f t="shared" si="37"/>
        <v>0</v>
      </c>
      <c r="S30" s="526">
        <f t="shared" si="37"/>
        <v>0</v>
      </c>
      <c r="T30" s="526">
        <f t="shared" ref="T30:AE30" si="38">H30*0.99</f>
        <v>0</v>
      </c>
      <c r="U30" s="526">
        <f t="shared" si="38"/>
        <v>0</v>
      </c>
      <c r="V30" s="526">
        <f t="shared" si="38"/>
        <v>0</v>
      </c>
      <c r="W30" s="526">
        <f t="shared" si="38"/>
        <v>0</v>
      </c>
      <c r="X30" s="526">
        <f t="shared" si="38"/>
        <v>0</v>
      </c>
      <c r="Y30" s="526">
        <f t="shared" si="38"/>
        <v>0</v>
      </c>
      <c r="Z30" s="526">
        <f t="shared" si="38"/>
        <v>0</v>
      </c>
      <c r="AA30" s="526">
        <f t="shared" si="38"/>
        <v>0</v>
      </c>
      <c r="AB30" s="526">
        <f t="shared" si="38"/>
        <v>0</v>
      </c>
      <c r="AC30" s="526">
        <f t="shared" si="38"/>
        <v>0</v>
      </c>
      <c r="AD30" s="526">
        <f t="shared" si="38"/>
        <v>0</v>
      </c>
      <c r="AE30" s="526">
        <f t="shared" si="38"/>
        <v>0</v>
      </c>
      <c r="AF30" s="526">
        <v>5</v>
      </c>
      <c r="AG30" s="526">
        <v>5</v>
      </c>
      <c r="AH30" s="526">
        <v>5</v>
      </c>
      <c r="AI30" s="517">
        <f t="shared" ref="AI30:AT30" si="39">AI31/2</f>
        <v>1.3399999999999999</v>
      </c>
      <c r="AJ30" s="516" t="e">
        <f t="shared" si="39"/>
        <v>#DIV/0!</v>
      </c>
      <c r="AK30" s="516" t="e">
        <f t="shared" si="39"/>
        <v>#DIV/0!</v>
      </c>
      <c r="AL30" s="517">
        <f t="shared" si="39"/>
        <v>1.2772899999999998</v>
      </c>
      <c r="AM30" s="516" t="e">
        <f t="shared" si="39"/>
        <v>#DIV/0!</v>
      </c>
      <c r="AN30" s="516" t="e">
        <f t="shared" si="39"/>
        <v>#DIV/0!</v>
      </c>
      <c r="AO30" s="517">
        <f t="shared" si="39"/>
        <v>1.4949999999999999</v>
      </c>
      <c r="AP30" s="516" t="e">
        <f t="shared" si="39"/>
        <v>#DIV/0!</v>
      </c>
      <c r="AQ30" s="516" t="e">
        <f t="shared" si="39"/>
        <v>#DIV/0!</v>
      </c>
      <c r="AR30" s="517">
        <f t="shared" si="39"/>
        <v>1.5799999999999998</v>
      </c>
      <c r="AS30" s="516" t="e">
        <f t="shared" si="39"/>
        <v>#DIV/0!</v>
      </c>
      <c r="AT30" s="516" t="e">
        <f t="shared" si="39"/>
        <v>#DIV/0!</v>
      </c>
      <c r="AU30" s="210">
        <v>1</v>
      </c>
      <c r="AV30" s="208">
        <v>1</v>
      </c>
      <c r="AW30" s="160"/>
      <c r="AX30" s="162"/>
      <c r="AY30" s="162"/>
      <c r="AZ30" s="199"/>
      <c r="BA30" s="524">
        <f t="shared" si="10"/>
        <v>0</v>
      </c>
      <c r="BB30" s="524">
        <f t="shared" si="11"/>
        <v>0</v>
      </c>
      <c r="BC30" s="524">
        <f t="shared" si="12"/>
        <v>0</v>
      </c>
      <c r="BD30" s="525">
        <f t="shared" ref="BD30:BF36" si="40">BA30/AI30</f>
        <v>0</v>
      </c>
      <c r="BE30" s="525" t="e">
        <f t="shared" si="40"/>
        <v>#DIV/0!</v>
      </c>
      <c r="BF30" s="525" t="e">
        <f t="shared" si="40"/>
        <v>#DIV/0!</v>
      </c>
      <c r="BH30" s="201"/>
      <c r="BI30" s="201"/>
      <c r="BJ30" s="201"/>
      <c r="BK30" s="201"/>
      <c r="BL30" s="201"/>
      <c r="BM30" s="201"/>
      <c r="BN30" s="201"/>
      <c r="BO30" s="201"/>
      <c r="BP30" s="201"/>
      <c r="BQ30" s="201"/>
      <c r="BR30" s="201"/>
    </row>
    <row r="31" spans="1:70">
      <c r="A31" s="162"/>
      <c r="B31" s="162" t="str">
        <f>Processes!D20</f>
        <v>CDHRMM</v>
      </c>
      <c r="C31" s="162" t="str">
        <f>Processes!E20</f>
        <v xml:space="preserve">Commercial Demand Heating Rural Multi -  - Medium </v>
      </c>
      <c r="D31" s="127" t="str">
        <f>Commodities!$C$42&amp;","&amp;Commodities!$C$46&amp;","&amp;Commodities!$C$50&amp;","&amp;Commodities!$C$84&amp;","&amp;Commodities!C69</f>
        <v>COMHRMX,COMHRMB,COMHRMBE,COMHSAV,COMHRMSM</v>
      </c>
      <c r="E31" s="191" t="str">
        <f>E30</f>
        <v>CHRMB</v>
      </c>
      <c r="F31" s="191"/>
      <c r="G31" s="191"/>
      <c r="H31" s="526" cm="1">
        <f t="array" ref="H31">ROUNDUP(INDEX(Dem!$F$41:$H$44,MATCH(Buildings_DR!$E31,Dem!$B$5:$B$8,0),MATCH(RIGHT(H$7,3),Dem!$F$1:$H$1,0))*_xlfn.IFS(RIGHT($D31,1)="H",$H$4,RIGHT($D31,1)="M",$H$3,RIGHT($D31,1)="L",$H$2),2)</f>
        <v>21.17</v>
      </c>
      <c r="I31" s="526" cm="1">
        <f t="array" ref="I31">ROUNDUP(INDEX(Dem!$F$41:$H$44,MATCH(Buildings_DR!$E31,Dem!$B$5:$B$8,0),MATCH(RIGHT(I$7,3),Dem!$F$1:$H$1,0))*_xlfn.IFS(RIGHT($D31,1)="H",$H$4,RIGHT($D31,1)="M",$H$3,RIGHT($D31,1)="L",$H$2),2)</f>
        <v>0</v>
      </c>
      <c r="J31" s="526" cm="1">
        <f t="array" ref="J31">ROUNDUP(INDEX(Dem!$F$41:$H$44,MATCH(Buildings_DR!$E31,Dem!$B$5:$B$8,0),MATCH(RIGHT(J$7,3),Dem!$F$1:$H$1,0))*_xlfn.IFS(RIGHT($D31,1)="H",$H$4,RIGHT($D31,1)="M",$H$3,RIGHT($D31,1)="L",$H$2),2)</f>
        <v>0</v>
      </c>
      <c r="K31" s="526" cm="1">
        <f t="array" ref="K31">ROUNDUP(INDEX(Dem!$F$45:$H$48,MATCH(Buildings_DR!$E31,Dem!$B$5:$B$8,0),MATCH(RIGHT(K$7,3),Dem!$F$1:$H$1,0))*_xlfn.IFS(RIGHT($D31,1)="H",$H$4,RIGHT($D31,1)="M",$H$3,RIGHT($D31,1)="L",$H$2),2)</f>
        <v>21.17</v>
      </c>
      <c r="L31" s="526" cm="1">
        <f t="array" ref="L31">ROUNDUP(INDEX(Dem!$F$45:$H$48,MATCH(Buildings_DR!$E31,Dem!$B$5:$B$8,0),MATCH(RIGHT(L$7,3),Dem!$F$1:$H$1,0))*_xlfn.IFS(RIGHT($D31,1)="H",$H$4,RIGHT($D31,1)="M",$H$3,RIGHT($D31,1)="L",$H$2),2)</f>
        <v>0</v>
      </c>
      <c r="M31" s="526" cm="1">
        <f t="array" ref="M31">ROUNDUP(INDEX(Dem!$F$45:$H$48,MATCH(Buildings_DR!$E31,Dem!$B$5:$B$8,0),MATCH(RIGHT(M$7,3),Dem!$F$1:$H$1,0))*_xlfn.IFS(RIGHT($D31,1)="H",$H$4,RIGHT($D31,1)="M",$H$3,RIGHT($D31,1)="L",$H$2),2)</f>
        <v>0</v>
      </c>
      <c r="N31" s="526" cm="1">
        <f t="array" ref="N31">ROUNDUP(INDEX(Dem!$F$49:$H$52,MATCH(Buildings_DR!$E31,Dem!$B$5:$B$8,0),MATCH(RIGHT(N$7,3),Dem!$F$1:$H$1,0))*_xlfn.IFS(RIGHT($D31,1)="H",$H$4,RIGHT($D31,1)="M",$H$3,RIGHT($D31,1)="L",$H$2),2)</f>
        <v>21.17</v>
      </c>
      <c r="O31" s="526" cm="1">
        <f t="array" ref="O31">ROUNDUP(INDEX(Dem!$F$49:$H$52,MATCH(Buildings_DR!$E31,Dem!$B$5:$B$8,0),MATCH(RIGHT(O$7,3),Dem!$F$1:$H$1,0))*_xlfn.IFS(RIGHT($D31,1)="H",$H$4,RIGHT($D31,1)="M",$H$3,RIGHT($D31,1)="L",$H$2),2)</f>
        <v>0</v>
      </c>
      <c r="P31" s="526" cm="1">
        <f t="array" ref="P31">ROUNDUP(INDEX(Dem!$F$49:$H$52,MATCH(Buildings_DR!$E31,Dem!$B$5:$B$8,0),MATCH(RIGHT(P$7,3),Dem!$F$1:$H$1,0))*_xlfn.IFS(RIGHT($D31,1)="H",$H$4,RIGHT($D31,1)="M",$H$3,RIGHT($D31,1)="L",$H$2),2)</f>
        <v>0</v>
      </c>
      <c r="Q31" s="526">
        <f t="shared" si="37"/>
        <v>12.702</v>
      </c>
      <c r="R31" s="526">
        <f t="shared" si="37"/>
        <v>0</v>
      </c>
      <c r="S31" s="526">
        <f t="shared" si="37"/>
        <v>0</v>
      </c>
      <c r="T31" s="526">
        <f t="shared" ref="T31:AB31" si="41">H31*$K$2</f>
        <v>20.958300000000001</v>
      </c>
      <c r="U31" s="526">
        <f t="shared" si="41"/>
        <v>0</v>
      </c>
      <c r="V31" s="526">
        <f t="shared" si="41"/>
        <v>0</v>
      </c>
      <c r="W31" s="526">
        <f t="shared" si="41"/>
        <v>20.958300000000001</v>
      </c>
      <c r="X31" s="526">
        <f t="shared" si="41"/>
        <v>0</v>
      </c>
      <c r="Y31" s="526">
        <f t="shared" si="41"/>
        <v>0</v>
      </c>
      <c r="Z31" s="526">
        <f t="shared" si="41"/>
        <v>20.958300000000001</v>
      </c>
      <c r="AA31" s="526">
        <f t="shared" si="41"/>
        <v>0</v>
      </c>
      <c r="AB31" s="526">
        <f t="shared" si="41"/>
        <v>0</v>
      </c>
      <c r="AC31" s="526">
        <f>Q31*$K$3</f>
        <v>12.57498</v>
      </c>
      <c r="AD31" s="526">
        <f>R31*$K$3</f>
        <v>0</v>
      </c>
      <c r="AE31" s="526">
        <f>S31*$K$3</f>
        <v>0</v>
      </c>
      <c r="AF31" s="526">
        <v>5</v>
      </c>
      <c r="AG31" s="526">
        <v>5</v>
      </c>
      <c r="AH31" s="526">
        <v>5</v>
      </c>
      <c r="AI31" s="517">
        <f>ROUNDUP(SUM(H30:H36)/SUM(Boilers_DR!AB39:AB49),2)</f>
        <v>2.6799999999999997</v>
      </c>
      <c r="AJ31" s="517" t="e">
        <f>ROUNDUP(SUM(I30:I36)/SUM(Boilers_DR!AC39:AC49),2)</f>
        <v>#DIV/0!</v>
      </c>
      <c r="AK31" s="517" t="e">
        <f>ROUNDUP(SUM(J30:J36)/SUM(Boilers_DR!AD39:AD49),2)</f>
        <v>#DIV/0!</v>
      </c>
      <c r="AL31" s="517">
        <f>ROUNDUP(SUM(K30:K36)/SUM(Boilers_DR!AB80:AB89),2)*AL3</f>
        <v>2.5545799999999996</v>
      </c>
      <c r="AM31" s="517" t="e">
        <f>ROUNDUP(SUM(L30:L36)/SUM(Boilers_DR!AC80:AC89),2)*AM3</f>
        <v>#DIV/0!</v>
      </c>
      <c r="AN31" s="517" t="e">
        <f>ROUNDUP(SUM(M30:M36)/SUM(Boilers_DR!AD80:AD89),2)*AN3</f>
        <v>#DIV/0!</v>
      </c>
      <c r="AO31" s="517">
        <f>ROUNDUP(SUM(N30:N36)/SUM(Boilers_DR!AB120:AB129),2)</f>
        <v>2.9899999999999998</v>
      </c>
      <c r="AP31" s="517" t="e">
        <f>ROUNDUP(SUM(O30:O36)/SUM(Boilers_DR!AC120:AC129),2)</f>
        <v>#DIV/0!</v>
      </c>
      <c r="AQ31" s="517" t="e">
        <f>ROUNDUP(SUM(P30:P36)/SUM(Boilers_DR!AD120:AD129),2)</f>
        <v>#DIV/0!</v>
      </c>
      <c r="AR31" s="517">
        <f>ROUNDUP(SUM(N30:N36)/SUM(Boilers_DR!AB160:AB169),2)</f>
        <v>3.1599999999999997</v>
      </c>
      <c r="AS31" s="517" t="e">
        <f>ROUNDUP(SUM(O30:O36)/SUM(Boilers_DR!AC160:AC169),2)</f>
        <v>#DIV/0!</v>
      </c>
      <c r="AT31" s="517" t="e">
        <f>ROUNDUP(SUM(P30:P36)/SUM(Boilers_DR!AD160:AD169),2)</f>
        <v>#DIV/0!</v>
      </c>
      <c r="AU31" s="163">
        <v>1</v>
      </c>
      <c r="AV31" s="162">
        <v>1</v>
      </c>
      <c r="AW31" s="160"/>
      <c r="AX31" s="162"/>
      <c r="AY31" s="162"/>
      <c r="AZ31" s="199"/>
      <c r="BA31" s="524">
        <f t="shared" si="10"/>
        <v>21.17</v>
      </c>
      <c r="BB31" s="524">
        <f t="shared" si="11"/>
        <v>0</v>
      </c>
      <c r="BC31" s="524">
        <f t="shared" si="12"/>
        <v>0</v>
      </c>
      <c r="BD31" s="525">
        <f t="shared" si="40"/>
        <v>7.8992537313432853</v>
      </c>
      <c r="BE31" s="525" t="e">
        <f t="shared" si="40"/>
        <v>#DIV/0!</v>
      </c>
      <c r="BF31" s="525" t="e">
        <f t="shared" si="40"/>
        <v>#DIV/0!</v>
      </c>
      <c r="BH31" s="201"/>
      <c r="BI31" s="201"/>
      <c r="BJ31" s="201"/>
      <c r="BK31" s="201"/>
      <c r="BL31" s="201"/>
      <c r="BM31" s="201"/>
      <c r="BN31" s="201"/>
      <c r="BO31" s="201"/>
      <c r="BP31" s="201"/>
      <c r="BQ31" s="201"/>
      <c r="BR31" s="201"/>
    </row>
    <row r="32" spans="1:70">
      <c r="A32" s="162"/>
      <c r="B32" s="162" t="str">
        <f>Processes!D21</f>
        <v>CDHRMH</v>
      </c>
      <c r="C32" s="162" t="str">
        <f>Processes!E21</f>
        <v xml:space="preserve">Commercial Demand Heating Rural Multi -  - High </v>
      </c>
      <c r="D32" s="127" t="str">
        <f>Commodities!$C$42&amp;","&amp;Commodities!$C$46&amp;","&amp;Commodities!$C$50&amp;","&amp;Commodities!$C$84&amp;","&amp;Commodities!C70</f>
        <v>COMHRMX,COMHRMB,COMHRMBE,COMHSAV,COMHRMSH</v>
      </c>
      <c r="E32" s="191" t="str">
        <f>E31</f>
        <v>CHRMB</v>
      </c>
      <c r="F32" s="191"/>
      <c r="G32" s="191"/>
      <c r="H32" s="526" cm="1">
        <f t="array" ref="H32">ROUNDUP(INDEX(Dem!$F$41:$H$44,MATCH(Buildings_DR!$E32,Dem!$B$5:$B$8,0),MATCH(RIGHT(H$7,3),Dem!$F$1:$H$1,0))*_xlfn.IFS(RIGHT($D32,1)="H",$H$4,RIGHT($D32,1)="M",$H$3,RIGHT($D32,1)="L",$H$2),2)</f>
        <v>0</v>
      </c>
      <c r="I32" s="526" cm="1">
        <f t="array" ref="I32">ROUNDUP(INDEX(Dem!$F$41:$H$44,MATCH(Buildings_DR!$E32,Dem!$B$5:$B$8,0),MATCH(RIGHT(I$7,3),Dem!$F$1:$H$1,0))*_xlfn.IFS(RIGHT($D32,1)="H",$H$4,RIGHT($D32,1)="M",$H$3,RIGHT($D32,1)="L",$H$2),2)</f>
        <v>0</v>
      </c>
      <c r="J32" s="526" cm="1">
        <f t="array" ref="J32">ROUNDUP(INDEX(Dem!$F$41:$H$44,MATCH(Buildings_DR!$E32,Dem!$B$5:$B$8,0),MATCH(RIGHT(J$7,3),Dem!$F$1:$H$1,0))*_xlfn.IFS(RIGHT($D32,1)="H",$H$4,RIGHT($D32,1)="M",$H$3,RIGHT($D32,1)="L",$H$2),2)</f>
        <v>0</v>
      </c>
      <c r="K32" s="526" cm="1">
        <f t="array" ref="K32">ROUNDUP(INDEX(Dem!$F$45:$H$48,MATCH(Buildings_DR!$E32,Dem!$B$5:$B$8,0),MATCH(RIGHT(K$7,3),Dem!$F$1:$H$1,0))*_xlfn.IFS(RIGHT($D32,1)="H",$H$4,RIGHT($D32,1)="M",$H$3,RIGHT($D32,1)="L",$H$2),2)</f>
        <v>0</v>
      </c>
      <c r="L32" s="526" cm="1">
        <f t="array" ref="L32">ROUNDUP(INDEX(Dem!$F$45:$H$48,MATCH(Buildings_DR!$E32,Dem!$B$5:$B$8,0),MATCH(RIGHT(L$7,3),Dem!$F$1:$H$1,0))*_xlfn.IFS(RIGHT($D32,1)="H",$H$4,RIGHT($D32,1)="M",$H$3,RIGHT($D32,1)="L",$H$2),2)</f>
        <v>0</v>
      </c>
      <c r="M32" s="526" cm="1">
        <f t="array" ref="M32">ROUNDUP(INDEX(Dem!$F$45:$H$48,MATCH(Buildings_DR!$E32,Dem!$B$5:$B$8,0),MATCH(RIGHT(M$7,3),Dem!$F$1:$H$1,0))*_xlfn.IFS(RIGHT($D32,1)="H",$H$4,RIGHT($D32,1)="M",$H$3,RIGHT($D32,1)="L",$H$2),2)</f>
        <v>0</v>
      </c>
      <c r="N32" s="526" cm="1">
        <f t="array" ref="N32">ROUNDUP(INDEX(Dem!$F$49:$H$52,MATCH(Buildings_DR!$E32,Dem!$B$5:$B$8,0),MATCH(RIGHT(N$7,3),Dem!$F$1:$H$1,0))*_xlfn.IFS(RIGHT($D32,1)="H",$H$4,RIGHT($D32,1)="M",$H$3,RIGHT($D32,1)="L",$H$2),2)</f>
        <v>0</v>
      </c>
      <c r="O32" s="526" cm="1">
        <f t="array" ref="O32">ROUNDUP(INDEX(Dem!$F$49:$H$52,MATCH(Buildings_DR!$E32,Dem!$B$5:$B$8,0),MATCH(RIGHT(O$7,3),Dem!$F$1:$H$1,0))*_xlfn.IFS(RIGHT($D32,1)="H",$H$4,RIGHT($D32,1)="M",$H$3,RIGHT($D32,1)="L",$H$2),2)</f>
        <v>0</v>
      </c>
      <c r="P32" s="526" cm="1">
        <f t="array" ref="P32">ROUNDUP(INDEX(Dem!$F$49:$H$52,MATCH(Buildings_DR!$E32,Dem!$B$5:$B$8,0),MATCH(RIGHT(P$7,3),Dem!$F$1:$H$1,0))*_xlfn.IFS(RIGHT($D32,1)="H",$H$4,RIGHT($D32,1)="M",$H$3,RIGHT($D32,1)="L",$H$2),2)</f>
        <v>0</v>
      </c>
      <c r="Q32" s="526">
        <f t="shared" si="37"/>
        <v>0</v>
      </c>
      <c r="R32" s="526">
        <f t="shared" si="37"/>
        <v>0</v>
      </c>
      <c r="S32" s="526">
        <f t="shared" si="37"/>
        <v>0</v>
      </c>
      <c r="T32" s="526">
        <f t="shared" ref="T32:AE32" si="42">H32*0.99</f>
        <v>0</v>
      </c>
      <c r="U32" s="526">
        <f t="shared" si="42"/>
        <v>0</v>
      </c>
      <c r="V32" s="526">
        <f t="shared" si="42"/>
        <v>0</v>
      </c>
      <c r="W32" s="526">
        <f t="shared" si="42"/>
        <v>0</v>
      </c>
      <c r="X32" s="526">
        <f t="shared" si="42"/>
        <v>0</v>
      </c>
      <c r="Y32" s="526">
        <f t="shared" si="42"/>
        <v>0</v>
      </c>
      <c r="Z32" s="526">
        <f t="shared" si="42"/>
        <v>0</v>
      </c>
      <c r="AA32" s="526">
        <f t="shared" si="42"/>
        <v>0</v>
      </c>
      <c r="AB32" s="526">
        <f t="shared" si="42"/>
        <v>0</v>
      </c>
      <c r="AC32" s="526">
        <f t="shared" si="42"/>
        <v>0</v>
      </c>
      <c r="AD32" s="526">
        <f t="shared" si="42"/>
        <v>0</v>
      </c>
      <c r="AE32" s="526">
        <f t="shared" si="42"/>
        <v>0</v>
      </c>
      <c r="AF32" s="526">
        <v>5</v>
      </c>
      <c r="AG32" s="526">
        <v>5</v>
      </c>
      <c r="AH32" s="526">
        <v>5</v>
      </c>
      <c r="AI32" s="517">
        <f t="shared" ref="AI32:AQ32" si="43">AI31/2+AI33/2</f>
        <v>2.91</v>
      </c>
      <c r="AJ32" s="517" t="e">
        <f t="shared" si="43"/>
        <v>#DIV/0!</v>
      </c>
      <c r="AK32" s="517" t="e">
        <f t="shared" si="43"/>
        <v>#DIV/0!</v>
      </c>
      <c r="AL32" s="517">
        <f t="shared" si="43"/>
        <v>2.8472900000000001</v>
      </c>
      <c r="AM32" s="517" t="e">
        <f t="shared" si="43"/>
        <v>#DIV/0!</v>
      </c>
      <c r="AN32" s="517" t="e">
        <f t="shared" si="43"/>
        <v>#DIV/0!</v>
      </c>
      <c r="AO32" s="517">
        <f t="shared" si="43"/>
        <v>3.0649999999999999</v>
      </c>
      <c r="AP32" s="517" t="e">
        <f t="shared" si="43"/>
        <v>#DIV/0!</v>
      </c>
      <c r="AQ32" s="517" t="e">
        <f t="shared" si="43"/>
        <v>#DIV/0!</v>
      </c>
      <c r="AR32" s="517">
        <f t="shared" ref="AR32:AT32" si="44">AR31/2+AR33/2</f>
        <v>3.15</v>
      </c>
      <c r="AS32" s="517" t="e">
        <f t="shared" si="44"/>
        <v>#DIV/0!</v>
      </c>
      <c r="AT32" s="517" t="e">
        <f t="shared" si="44"/>
        <v>#DIV/0!</v>
      </c>
      <c r="AU32" s="163">
        <v>1</v>
      </c>
      <c r="AV32" s="162">
        <v>1</v>
      </c>
      <c r="AW32" s="162"/>
      <c r="AX32" s="162"/>
      <c r="AY32" s="162"/>
      <c r="AZ32" s="199"/>
      <c r="BA32" s="524">
        <f t="shared" si="10"/>
        <v>0</v>
      </c>
      <c r="BB32" s="524">
        <f t="shared" si="11"/>
        <v>0</v>
      </c>
      <c r="BC32" s="524">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CDHRMN</v>
      </c>
      <c r="C33" s="162" t="str">
        <f>Processes!E22</f>
        <v xml:space="preserve">Commercial Demand Heating Rural Multi -  - New </v>
      </c>
      <c r="D33" s="127" t="str">
        <f>Commodities!$C$42&amp;","&amp;Commodities!$C$46&amp;","&amp;Commodities!$C$54</f>
        <v>COMHRMX,COMHRMB,COMHRMBN</v>
      </c>
      <c r="E33" s="191" t="str">
        <f>E32</f>
        <v>CHRMB</v>
      </c>
      <c r="F33" s="191">
        <v>2010</v>
      </c>
      <c r="G33" s="191">
        <v>2010</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18">
        <f>ROUND(Sources!$U$8,2)</f>
        <v>3.14</v>
      </c>
      <c r="AJ33" s="518">
        <f>ROUND(Sources!$U$8,2)</f>
        <v>3.14</v>
      </c>
      <c r="AK33" s="518">
        <f>ROUND(Sources!$U$8,2)</f>
        <v>3.14</v>
      </c>
      <c r="AL33" s="518">
        <f>ROUND(Sources!$U$8,2)</f>
        <v>3.14</v>
      </c>
      <c r="AM33" s="518">
        <f>ROUND(Sources!$U$8,2)</f>
        <v>3.14</v>
      </c>
      <c r="AN33" s="518">
        <f>ROUND(Sources!$U$8,2)</f>
        <v>3.14</v>
      </c>
      <c r="AO33" s="518">
        <f>ROUND(Sources!$U$8,2)</f>
        <v>3.14</v>
      </c>
      <c r="AP33" s="518">
        <f>ROUND(Sources!$U$8,2)</f>
        <v>3.14</v>
      </c>
      <c r="AQ33" s="518">
        <f>ROUND(Sources!$U$8,2)</f>
        <v>3.14</v>
      </c>
      <c r="AR33" s="518">
        <f>ROUND(Sources!$U$8,2)</f>
        <v>3.14</v>
      </c>
      <c r="AS33" s="518">
        <f>ROUND(Sources!$U$8,2)</f>
        <v>3.14</v>
      </c>
      <c r="AT33" s="518">
        <f>ROUND(Sources!$U$8,2)</f>
        <v>3.14</v>
      </c>
      <c r="AU33" s="163">
        <v>1</v>
      </c>
      <c r="AV33" s="168">
        <v>1</v>
      </c>
      <c r="AW33" s="162">
        <v>100</v>
      </c>
      <c r="AX33" s="162"/>
      <c r="AY33" s="162"/>
      <c r="BA33" s="524">
        <f t="shared" si="10"/>
        <v>0</v>
      </c>
      <c r="BB33" s="524">
        <f t="shared" si="11"/>
        <v>0</v>
      </c>
      <c r="BC33" s="524">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0"/>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18">
        <f>ROUND(Sources!$U$9,2)</f>
        <v>3.69</v>
      </c>
      <c r="AJ34" s="518">
        <f>ROUND(Sources!$U$9,2)</f>
        <v>3.69</v>
      </c>
      <c r="AK34" s="518">
        <f>ROUND(Sources!$U$9,2)</f>
        <v>3.69</v>
      </c>
      <c r="AL34" s="518">
        <f>ROUND(Sources!$U$9,2)</f>
        <v>3.69</v>
      </c>
      <c r="AM34" s="518">
        <f>ROUND(Sources!$U$9,2)</f>
        <v>3.69</v>
      </c>
      <c r="AN34" s="518">
        <f>ROUND(Sources!$U$9,2)</f>
        <v>3.69</v>
      </c>
      <c r="AO34" s="518">
        <f>ROUND(Sources!$U$9,2)</f>
        <v>3.69</v>
      </c>
      <c r="AP34" s="518">
        <f>ROUND(Sources!$U$9,2)</f>
        <v>3.69</v>
      </c>
      <c r="AQ34" s="518">
        <f>ROUND(Sources!$U$9,2)</f>
        <v>3.69</v>
      </c>
      <c r="AR34" s="518">
        <f>ROUND(Sources!$U$9,2)</f>
        <v>3.69</v>
      </c>
      <c r="AS34" s="518">
        <f>ROUND(Sources!$U$9,2)</f>
        <v>3.69</v>
      </c>
      <c r="AT34" s="518">
        <f>ROUND(Sources!$U$9,2)</f>
        <v>3.69</v>
      </c>
      <c r="AU34" s="163">
        <v>1</v>
      </c>
      <c r="AV34" s="168">
        <v>1</v>
      </c>
      <c r="AW34" s="162">
        <v>100</v>
      </c>
      <c r="AX34" s="162"/>
      <c r="AY34" s="162"/>
      <c r="BA34" s="524">
        <f t="shared" si="10"/>
        <v>0</v>
      </c>
      <c r="BB34" s="524">
        <f t="shared" si="11"/>
        <v>0</v>
      </c>
      <c r="BC34" s="524">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0"/>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18">
        <f>ROUND(Sources!$U$10,2)</f>
        <v>6.08</v>
      </c>
      <c r="AJ35" s="518">
        <f>ROUND(Sources!$U$10,2)</f>
        <v>6.08</v>
      </c>
      <c r="AK35" s="518">
        <f>ROUND(Sources!$U$10,2)</f>
        <v>6.08</v>
      </c>
      <c r="AL35" s="518">
        <f>ROUND(Sources!$U$10,2)</f>
        <v>6.08</v>
      </c>
      <c r="AM35" s="518">
        <f>ROUND(Sources!$U$10,2)</f>
        <v>6.08</v>
      </c>
      <c r="AN35" s="518">
        <f>ROUND(Sources!$U$10,2)</f>
        <v>6.08</v>
      </c>
      <c r="AO35" s="518">
        <f>ROUND(Sources!$U$10,2)</f>
        <v>6.08</v>
      </c>
      <c r="AP35" s="518">
        <f>ROUND(Sources!$U$10,2)</f>
        <v>6.08</v>
      </c>
      <c r="AQ35" s="518">
        <f>ROUND(Sources!$U$10,2)</f>
        <v>6.08</v>
      </c>
      <c r="AR35" s="518">
        <f>ROUND(Sources!$U$10,2)</f>
        <v>6.08</v>
      </c>
      <c r="AS35" s="518">
        <f>ROUND(Sources!$U$10,2)</f>
        <v>6.08</v>
      </c>
      <c r="AT35" s="518">
        <f>ROUND(Sources!$U$10,2)</f>
        <v>6.08</v>
      </c>
      <c r="AU35" s="163">
        <v>1</v>
      </c>
      <c r="AV35" s="168">
        <v>1</v>
      </c>
      <c r="AW35" s="162">
        <v>100</v>
      </c>
      <c r="AX35" s="162"/>
      <c r="AY35" s="162"/>
      <c r="BA35" s="524">
        <f t="shared" si="10"/>
        <v>0</v>
      </c>
      <c r="BB35" s="524">
        <f t="shared" si="11"/>
        <v>0</v>
      </c>
      <c r="BC35" s="524">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1"/>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2">
        <f>ROUND(Sources!$U$11,2)</f>
        <v>6.94</v>
      </c>
      <c r="AJ36" s="522">
        <f>ROUND(Sources!$U$11,2)</f>
        <v>6.94</v>
      </c>
      <c r="AK36" s="522">
        <f>ROUND(Sources!$U$11,2)</f>
        <v>6.94</v>
      </c>
      <c r="AL36" s="522">
        <f>ROUND(Sources!$U$11,2)</f>
        <v>6.94</v>
      </c>
      <c r="AM36" s="522">
        <f>ROUND(Sources!$U$11,2)</f>
        <v>6.94</v>
      </c>
      <c r="AN36" s="522">
        <f>ROUND(Sources!$U$11,2)</f>
        <v>6.94</v>
      </c>
      <c r="AO36" s="522">
        <f>ROUND(Sources!$U$11,2)</f>
        <v>6.94</v>
      </c>
      <c r="AP36" s="522">
        <f>ROUND(Sources!$U$11,2)</f>
        <v>6.94</v>
      </c>
      <c r="AQ36" s="522">
        <f>ROUND(Sources!$U$11,2)</f>
        <v>6.94</v>
      </c>
      <c r="AR36" s="522">
        <f>ROUND(Sources!$U$11,2)</f>
        <v>6.94</v>
      </c>
      <c r="AS36" s="522">
        <f>ROUND(Sources!$U$11,2)</f>
        <v>6.94</v>
      </c>
      <c r="AT36" s="522">
        <f>ROUND(Sources!$U$11,2)</f>
        <v>6.94</v>
      </c>
      <c r="AU36" s="213">
        <v>1</v>
      </c>
      <c r="AV36" s="214">
        <v>1</v>
      </c>
      <c r="AW36" s="211">
        <v>100</v>
      </c>
      <c r="AX36" s="162"/>
      <c r="AY36" s="162"/>
      <c r="BA36" s="524">
        <f t="shared" si="10"/>
        <v>0</v>
      </c>
      <c r="BB36" s="524">
        <f t="shared" si="11"/>
        <v>0</v>
      </c>
      <c r="BC36" s="524">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ht="13">
      <c r="B37" s="162"/>
      <c r="C37" s="162"/>
      <c r="D37" s="550"/>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175</v>
      </c>
      <c r="BD37" s="289">
        <f>SUM(Boilers_DR!AB6:AB27)</f>
        <v>400.00620862674288</v>
      </c>
      <c r="BE37" s="289">
        <f>SUM(Boilers_DR!AC6:AC27)</f>
        <v>0</v>
      </c>
      <c r="BF37" s="289">
        <f>SUM(Boilers_DR!AD6:AD27)</f>
        <v>0</v>
      </c>
      <c r="BG37" s="287"/>
      <c r="BH37" s="201"/>
      <c r="BI37" s="201"/>
      <c r="BJ37" s="201"/>
      <c r="BK37" s="201"/>
      <c r="BL37" s="201"/>
      <c r="BM37" s="201"/>
      <c r="BN37" s="201"/>
      <c r="BO37" s="201"/>
      <c r="BP37" s="201"/>
      <c r="BQ37" s="201"/>
      <c r="BR37" s="201"/>
    </row>
    <row r="38" spans="2:72" ht="13">
      <c r="B38" s="162"/>
      <c r="C38" s="162"/>
      <c r="D38" s="550"/>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SUM(Boilers_DR!AB28:AB49)</f>
        <v>137.09412781781384</v>
      </c>
      <c r="BE38" s="289">
        <f>SUM(Boilers_DR!AC28:AC49)</f>
        <v>0</v>
      </c>
      <c r="BF38" s="289">
        <f>SUM(Boilers_DR!AD28:AD49)</f>
        <v>0</v>
      </c>
      <c r="BG38" s="288"/>
      <c r="BH38" s="201"/>
      <c r="BI38" s="201"/>
      <c r="BJ38" s="201"/>
      <c r="BK38" s="201"/>
      <c r="BL38" s="201"/>
      <c r="BM38" s="201"/>
      <c r="BN38" s="201"/>
      <c r="BO38" s="201"/>
      <c r="BP38" s="201"/>
      <c r="BQ38" s="201"/>
      <c r="BR38" s="201"/>
    </row>
    <row r="39" spans="2:72" ht="13">
      <c r="B39" s="162"/>
      <c r="C39" s="162"/>
      <c r="D39" s="550"/>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174</v>
      </c>
      <c r="BA39"/>
      <c r="BB39"/>
      <c r="BC39"/>
      <c r="BD39" s="283">
        <f>SUM(BD9:BD22)</f>
        <v>399.54664099272577</v>
      </c>
      <c r="BE39" s="283" t="e">
        <f>SUM(BE9:BE22)</f>
        <v>#DIV/0!</v>
      </c>
      <c r="BF39" s="283" t="e">
        <f>SUM(BF9:BF22)</f>
        <v>#DIV/0!</v>
      </c>
      <c r="BG39" s="283"/>
      <c r="BH39" s="285"/>
      <c r="BI39" s="201"/>
      <c r="BJ39" s="201"/>
      <c r="BK39" s="201"/>
      <c r="BL39" s="201"/>
      <c r="BM39" s="201"/>
      <c r="BN39" s="201"/>
      <c r="BO39" s="201"/>
      <c r="BP39" s="201"/>
      <c r="BQ39" s="201"/>
      <c r="BR39" s="201"/>
      <c r="BS39" s="201"/>
    </row>
    <row r="40" spans="2:72" ht="13">
      <c r="B40" s="162"/>
      <c r="C40" s="162"/>
      <c r="D40" s="550"/>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137.04601141052419</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ht="13">
      <c r="B41" s="162"/>
      <c r="C41" s="162"/>
      <c r="D41" s="550"/>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0.45956763401710532</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0"/>
      <c r="E42" s="191"/>
      <c r="F42" s="191"/>
      <c r="G42" s="191"/>
      <c r="AC42" s="156"/>
      <c r="AD42" s="156"/>
      <c r="AE42" s="156"/>
      <c r="AF42" s="156"/>
      <c r="AG42" s="156"/>
      <c r="AH42" s="156"/>
      <c r="AN42" s="155"/>
      <c r="AO42" s="155"/>
      <c r="AP42" s="155"/>
      <c r="AQ42" s="155"/>
      <c r="AR42" s="155"/>
      <c r="AS42" s="155"/>
      <c r="AT42" s="155"/>
      <c r="AU42" s="190"/>
      <c r="AV42" s="190"/>
      <c r="BD42" s="221">
        <f t="shared" si="45"/>
        <v>4.8116407289654717E-2</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1"/>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67"/>
      <c r="AJ43" s="467"/>
      <c r="AK43" s="468"/>
      <c r="AL43" s="467"/>
      <c r="AM43" s="467"/>
      <c r="AN43" s="468"/>
      <c r="AO43" s="467"/>
      <c r="AP43" s="467"/>
      <c r="AQ43" s="468"/>
      <c r="AR43" s="467"/>
      <c r="AS43" s="467"/>
      <c r="AT43" s="468"/>
      <c r="BD43" s="469"/>
      <c r="BE43" s="469"/>
      <c r="BF43" s="469"/>
      <c r="BG43" s="470"/>
      <c r="BH43" s="470"/>
      <c r="BI43" s="470"/>
      <c r="BJ43" s="470"/>
      <c r="BK43" s="470"/>
      <c r="BL43" s="470"/>
      <c r="BM43" s="470"/>
      <c r="BN43" s="470"/>
      <c r="BO43" s="470"/>
      <c r="BP43" s="470"/>
    </row>
    <row r="44" spans="2:72" ht="14">
      <c r="B44" s="162"/>
      <c r="D44" s="552"/>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ht="13">
      <c r="D45" s="553"/>
      <c r="E45" s="154"/>
      <c r="F45" s="154"/>
      <c r="G45" s="154" t="s">
        <v>714</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ht="13">
      <c r="D46" s="553"/>
      <c r="E46" s="154"/>
      <c r="F46" s="154"/>
      <c r="G46" s="154" t="s">
        <v>715</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0">
      <c r="B47" s="466" t="s">
        <v>727</v>
      </c>
      <c r="D47" s="553"/>
      <c r="E47" s="154"/>
      <c r="F47" s="154"/>
      <c r="G47" s="154" t="s">
        <v>716</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ht="13">
      <c r="D48" s="553"/>
      <c r="E48" s="154"/>
      <c r="F48" s="154"/>
      <c r="G48" s="154" t="s">
        <v>717</v>
      </c>
      <c r="H48" s="154">
        <v>0</v>
      </c>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ht="13">
      <c r="D49" s="554"/>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ht="13">
      <c r="D50" s="554"/>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75" customHeight="1">
      <c r="B51" s="159" t="s">
        <v>2</v>
      </c>
      <c r="C51" s="159" t="s">
        <v>26</v>
      </c>
      <c r="D51" s="555" t="s">
        <v>14</v>
      </c>
      <c r="E51" s="159" t="s">
        <v>15</v>
      </c>
      <c r="F51" s="159" t="s">
        <v>103</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64" t="str">
        <f>H51&amp;"~2100"</f>
        <v>STOCK~DE1~2100</v>
      </c>
      <c r="R51" s="564" t="str">
        <f>I51&amp;"~2100"</f>
        <v>STOCK~DE2~2100</v>
      </c>
      <c r="S51" s="564" t="str">
        <f>J51&amp;"~2100"</f>
        <v>STOCK~DE3~2100</v>
      </c>
      <c r="T51" s="564" t="s">
        <v>929</v>
      </c>
      <c r="U51" s="564" t="s">
        <v>942</v>
      </c>
      <c r="V51" s="564" t="s">
        <v>956</v>
      </c>
      <c r="W51" s="564" t="str">
        <f t="shared" ref="W51:AB51" si="49">W7</f>
        <v>ACTBND~LO~DE1~2015</v>
      </c>
      <c r="X51" s="564" t="str">
        <f t="shared" si="49"/>
        <v>ACTBND~LO~DE2~2015</v>
      </c>
      <c r="Y51" s="564" t="str">
        <f t="shared" si="49"/>
        <v>ACTBND~LO~DE3~2015</v>
      </c>
      <c r="Z51" s="564" t="str">
        <f t="shared" si="49"/>
        <v>ACTBND~LO~DE1~2017</v>
      </c>
      <c r="AA51" s="564" t="str">
        <f t="shared" si="49"/>
        <v>ACTBND~LO~DE2~2017</v>
      </c>
      <c r="AB51" s="564" t="str">
        <f t="shared" si="49"/>
        <v>ACTBND~LO~DE3~2017</v>
      </c>
      <c r="AC51" s="564" t="s">
        <v>932</v>
      </c>
      <c r="AD51" s="564" t="s">
        <v>945</v>
      </c>
      <c r="AE51" s="564" t="s">
        <v>959</v>
      </c>
      <c r="AF51" s="564" t="s">
        <v>933</v>
      </c>
      <c r="AG51" s="564" t="s">
        <v>946</v>
      </c>
      <c r="AH51" s="564" t="s">
        <v>960</v>
      </c>
      <c r="AI51" s="205" t="str">
        <f t="shared" ref="AI51:AQ51" si="50">AI7</f>
        <v>EFF~DE1</v>
      </c>
      <c r="AJ51" s="205" t="str">
        <f t="shared" si="50"/>
        <v>*EFF~DE2</v>
      </c>
      <c r="AK51" s="205" t="str">
        <f t="shared" si="50"/>
        <v>*EFF~DE3</v>
      </c>
      <c r="AL51" s="205" t="str">
        <f t="shared" si="50"/>
        <v>EFF~DE1~2015</v>
      </c>
      <c r="AM51" s="205" t="str">
        <f t="shared" si="50"/>
        <v>*EFF~DE2~2015</v>
      </c>
      <c r="AN51" s="205" t="str">
        <f t="shared" si="50"/>
        <v>*EFF~DE3~2015</v>
      </c>
      <c r="AO51" s="205" t="str">
        <f t="shared" si="50"/>
        <v>EFF~DE1~2018</v>
      </c>
      <c r="AP51" s="205" t="str">
        <f t="shared" si="50"/>
        <v>*EFF~DE2~2018</v>
      </c>
      <c r="AQ51" s="205" t="str">
        <f t="shared" si="50"/>
        <v>*EFF~DE3~2018</v>
      </c>
      <c r="AR51" s="205" t="str">
        <f t="shared" ref="AR51:AT51" si="51">AR7</f>
        <v>EFF~DE1~2019</v>
      </c>
      <c r="AS51" s="205" t="str">
        <f t="shared" si="51"/>
        <v>*EFF~DE2~2019</v>
      </c>
      <c r="AT51" s="205" t="str">
        <f t="shared" si="51"/>
        <v>*EFF~DE3~2019</v>
      </c>
      <c r="AU51" s="159" t="s">
        <v>100</v>
      </c>
      <c r="AV51" s="159" t="s">
        <v>164</v>
      </c>
      <c r="AW51" s="159" t="s">
        <v>93</v>
      </c>
      <c r="AX51" s="298"/>
      <c r="AY51" s="198"/>
      <c r="AZ51" s="199"/>
      <c r="BA51" s="216" t="str">
        <f t="shared" ref="BA51:BF51" si="52">BA7</f>
        <v>DE1</v>
      </c>
      <c r="BB51" s="216" t="str">
        <f t="shared" si="52"/>
        <v>DE2</v>
      </c>
      <c r="BC51" s="216" t="str">
        <f t="shared" si="52"/>
        <v>DE3</v>
      </c>
      <c r="BD51" s="216" t="str">
        <f t="shared" si="52"/>
        <v>DE1</v>
      </c>
      <c r="BE51" s="216" t="str">
        <f t="shared" si="52"/>
        <v>*DE2</v>
      </c>
      <c r="BF51" s="216" t="str">
        <f t="shared" si="52"/>
        <v>*DE3</v>
      </c>
      <c r="BH51" s="201"/>
      <c r="BI51" s="201"/>
      <c r="BJ51" s="201"/>
      <c r="BK51" s="201"/>
      <c r="BL51" s="201"/>
      <c r="BM51" s="201"/>
      <c r="BN51" s="201"/>
      <c r="BO51" s="201"/>
      <c r="BP51" s="201"/>
      <c r="BQ51" s="201"/>
      <c r="BR51" s="201"/>
    </row>
    <row r="52" spans="1:70" ht="13" thickBot="1">
      <c r="B52" s="161" t="s">
        <v>27</v>
      </c>
      <c r="C52" s="161" t="s">
        <v>122</v>
      </c>
      <c r="D52" s="556"/>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97</v>
      </c>
      <c r="AJ52" s="206" t="s">
        <v>97</v>
      </c>
      <c r="AK52" s="206" t="s">
        <v>97</v>
      </c>
      <c r="AL52" s="206" t="s">
        <v>97</v>
      </c>
      <c r="AM52" s="206" t="s">
        <v>97</v>
      </c>
      <c r="AN52" s="206" t="s">
        <v>97</v>
      </c>
      <c r="AO52" s="206" t="s">
        <v>97</v>
      </c>
      <c r="AP52" s="206" t="s">
        <v>97</v>
      </c>
      <c r="AQ52" s="206" t="s">
        <v>97</v>
      </c>
      <c r="AR52" s="206" t="s">
        <v>97</v>
      </c>
      <c r="AS52" s="206" t="s">
        <v>97</v>
      </c>
      <c r="AT52" s="206" t="s">
        <v>97</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 thickBot="1">
      <c r="B53" s="165" t="str">
        <f>Processes!D23</f>
        <v>CDCUDL</v>
      </c>
      <c r="C53" s="165" t="str">
        <f>Processes!E23</f>
        <v xml:space="preserve">Commercial Demand Cooling Urban Detached -  - Low </v>
      </c>
      <c r="D53" s="127" t="str">
        <f>Commodities!$C$55&amp;","&amp;Commodities!C71</f>
        <v>COMCUDB,COMCUDSL</v>
      </c>
      <c r="E53" s="7" t="str">
        <f>Commodities!C11</f>
        <v>CCUDB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26">
        <f t="shared" ref="Q53:S55" si="60">H53*0.6</f>
        <v>0</v>
      </c>
      <c r="R53" s="526">
        <f t="shared" si="60"/>
        <v>0</v>
      </c>
      <c r="S53" s="526">
        <f t="shared" si="60"/>
        <v>0</v>
      </c>
      <c r="T53" s="526">
        <f t="shared" ref="T53:V55" si="61">H53*0.99</f>
        <v>0</v>
      </c>
      <c r="U53" s="526">
        <f t="shared" si="61"/>
        <v>0</v>
      </c>
      <c r="V53" s="526">
        <f t="shared" si="61"/>
        <v>0</v>
      </c>
      <c r="W53" s="526">
        <f t="shared" ref="W53:W55" si="62">K53*0.99</f>
        <v>0</v>
      </c>
      <c r="X53" s="526">
        <f t="shared" ref="X53:X55" si="63">L53*0.99</f>
        <v>0</v>
      </c>
      <c r="Y53" s="526">
        <f t="shared" ref="Y53:Y55" si="64">M53*0.99</f>
        <v>0</v>
      </c>
      <c r="Z53" s="526">
        <f t="shared" ref="Z53" si="65">N53*0.99</f>
        <v>0</v>
      </c>
      <c r="AA53" s="526">
        <f t="shared" ref="AA53:AA55" si="66">O53*0.99</f>
        <v>0</v>
      </c>
      <c r="AB53" s="526">
        <f t="shared" ref="AB53:AB55" si="67">P53*0.99</f>
        <v>0</v>
      </c>
      <c r="AC53" s="526">
        <f t="shared" ref="AC53:AH55" si="68">Q53*0.99</f>
        <v>0</v>
      </c>
      <c r="AD53" s="526">
        <f t="shared" si="68"/>
        <v>0</v>
      </c>
      <c r="AE53" s="526">
        <f t="shared" si="68"/>
        <v>0</v>
      </c>
      <c r="AF53" s="526">
        <f t="shared" si="68"/>
        <v>0</v>
      </c>
      <c r="AG53" s="526">
        <f t="shared" si="68"/>
        <v>0</v>
      </c>
      <c r="AH53" s="526">
        <f t="shared" si="68"/>
        <v>0</v>
      </c>
      <c r="AI53" s="519">
        <f t="shared" ref="AI53:AT53" si="69">AI54/2</f>
        <v>131.23349999999999</v>
      </c>
      <c r="AJ53" s="519" t="e">
        <f t="shared" si="69"/>
        <v>#DIV/0!</v>
      </c>
      <c r="AK53" s="519" t="e">
        <f t="shared" si="69"/>
        <v>#DIV/0!</v>
      </c>
      <c r="AL53" s="519">
        <f>AL54/2</f>
        <v>127.10250000000001</v>
      </c>
      <c r="AM53" s="519" t="e">
        <f t="shared" si="69"/>
        <v>#DIV/0!</v>
      </c>
      <c r="AN53" s="519" t="e">
        <f t="shared" si="69"/>
        <v>#DIV/0!</v>
      </c>
      <c r="AO53" s="519">
        <f>AO54/2</f>
        <v>134.02199999999999</v>
      </c>
      <c r="AP53" s="519" t="e">
        <f t="shared" si="69"/>
        <v>#DIV/0!</v>
      </c>
      <c r="AQ53" s="519" t="e">
        <f t="shared" si="69"/>
        <v>#DIV/0!</v>
      </c>
      <c r="AR53" s="519">
        <f>AR54/2</f>
        <v>134.02199999999999</v>
      </c>
      <c r="AS53" s="519" t="e">
        <f t="shared" si="69"/>
        <v>#DIV/0!</v>
      </c>
      <c r="AT53" s="519" t="e">
        <f t="shared" si="69"/>
        <v>#DIV/0!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CDCUDM</v>
      </c>
      <c r="C54" s="162" t="str">
        <f>Processes!E24</f>
        <v xml:space="preserve">Commercial Demand Cooling Urban Detached -  - Medium </v>
      </c>
      <c r="D54" s="127" t="str">
        <f>Commodities!$C$55&amp;","&amp;Commodities!C72</f>
        <v>COMCUDB,COMCUDSM</v>
      </c>
      <c r="E54" s="191" t="str">
        <f>E53</f>
        <v>CCUDB</v>
      </c>
      <c r="G54" s="191"/>
      <c r="H54" s="49" cm="1">
        <f t="array" ref="H54">ROUNDUP(INDEX(Dem!$F$53:$H$56,MATCH(Buildings_DR!$E54,Dem!$B$17:$B$20,0),MATCH(RIGHT(H$51,3),Dem!$F$1:$H$1,0))*_xlfn.IFS(RIGHT($D54,1)="H",$H$48,RIGHT($D54,1)="M",$H$47,RIGHT($D54,1)="L",$H$46),2)</f>
        <v>539.61</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539.61</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539.61</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26">
        <f t="shared" si="60"/>
        <v>323.76600000000002</v>
      </c>
      <c r="R54" s="526">
        <f t="shared" si="60"/>
        <v>0</v>
      </c>
      <c r="S54" s="526">
        <f t="shared" si="60"/>
        <v>0</v>
      </c>
      <c r="T54" s="526">
        <f t="shared" si="61"/>
        <v>534.21389999999997</v>
      </c>
      <c r="U54" s="526">
        <f t="shared" si="61"/>
        <v>0</v>
      </c>
      <c r="V54" s="526">
        <f t="shared" si="61"/>
        <v>0</v>
      </c>
      <c r="W54" s="526">
        <f>K54*0.99</f>
        <v>534.21389999999997</v>
      </c>
      <c r="X54" s="526">
        <f t="shared" si="63"/>
        <v>0</v>
      </c>
      <c r="Y54" s="526">
        <f t="shared" si="64"/>
        <v>0</v>
      </c>
      <c r="Z54" s="526">
        <f>N54*0.99</f>
        <v>534.21389999999997</v>
      </c>
      <c r="AA54" s="526">
        <f t="shared" si="66"/>
        <v>0</v>
      </c>
      <c r="AB54" s="526">
        <f t="shared" si="67"/>
        <v>0</v>
      </c>
      <c r="AC54" s="526">
        <f t="shared" si="68"/>
        <v>320.52834000000001</v>
      </c>
      <c r="AD54" s="526">
        <f t="shared" si="68"/>
        <v>0</v>
      </c>
      <c r="AE54" s="526">
        <f t="shared" si="68"/>
        <v>0</v>
      </c>
      <c r="AF54" s="526">
        <f t="shared" si="68"/>
        <v>528.87176099999999</v>
      </c>
      <c r="AG54" s="526">
        <f t="shared" si="68"/>
        <v>0</v>
      </c>
      <c r="AH54" s="526">
        <f t="shared" si="68"/>
        <v>0</v>
      </c>
      <c r="AI54" s="520">
        <f>ROUNDUP(SUM(H53:H59)/Cooling!AA7,3)</f>
        <v>262.46699999999998</v>
      </c>
      <c r="AJ54" s="520" t="e">
        <f>ROUNDUP(SUM(I53:I59)/Cooling!AB7,3)</f>
        <v>#DIV/0!</v>
      </c>
      <c r="AK54" s="520" t="e">
        <f>ROUNDUP(SUM(J53:J59)/Cooling!AC7,3)</f>
        <v>#DIV/0!</v>
      </c>
      <c r="AL54" s="520">
        <f>ROUNDUP(SUM(K53:K59)/Cooling!AA11,3)</f>
        <v>254.20500000000001</v>
      </c>
      <c r="AM54" s="520" t="e">
        <f>ROUNDUP(SUM(L53:L59)/Cooling!AB11,3)</f>
        <v>#DIV/0!</v>
      </c>
      <c r="AN54" s="520" t="e">
        <f>ROUNDUP(SUM(M53:M59)/Cooling!AC11,3)</f>
        <v>#DIV/0!</v>
      </c>
      <c r="AO54" s="520">
        <f>ROUNDUP(SUM(N53:N59)/Cooling!AA15,3)</f>
        <v>268.04399999999998</v>
      </c>
      <c r="AP54" s="520" t="e">
        <f>ROUNDUP(SUM(O53:O59)/Cooling!AB15,3)</f>
        <v>#DIV/0!</v>
      </c>
      <c r="AQ54" s="520" t="e">
        <f>ROUNDUP(SUM(P53:P59)/Cooling!AC15,3)</f>
        <v>#DIV/0!</v>
      </c>
      <c r="AR54" s="520">
        <f>AO54</f>
        <v>268.04399999999998</v>
      </c>
      <c r="AS54" s="520" t="e">
        <f>AP54</f>
        <v>#DIV/0!</v>
      </c>
      <c r="AT54" s="520" t="e">
        <f>AQ54</f>
        <v>#DIV/0!</v>
      </c>
      <c r="AU54" s="163">
        <v>1</v>
      </c>
      <c r="AV54" s="162">
        <v>1</v>
      </c>
      <c r="AW54" s="160"/>
      <c r="AX54" s="162"/>
      <c r="AY54" s="162"/>
      <c r="AZ54" s="199"/>
      <c r="BA54" s="202">
        <f t="shared" si="70"/>
        <v>539.61</v>
      </c>
      <c r="BB54" s="202">
        <f t="shared" si="71"/>
        <v>0</v>
      </c>
      <c r="BC54" s="202">
        <f t="shared" si="72"/>
        <v>0</v>
      </c>
      <c r="BD54" s="203">
        <f t="shared" si="73"/>
        <v>2.055915600818389</v>
      </c>
      <c r="BE54" s="203" t="e">
        <f t="shared" si="73"/>
        <v>#DIV/0!</v>
      </c>
      <c r="BF54" s="203" t="e">
        <f t="shared" si="73"/>
        <v>#DIV/0!</v>
      </c>
      <c r="BH54" s="201"/>
      <c r="BI54" s="201"/>
      <c r="BJ54" s="201"/>
      <c r="BK54" s="201"/>
      <c r="BL54" s="201"/>
      <c r="BM54" s="201"/>
      <c r="BN54" s="201"/>
      <c r="BO54" s="201"/>
      <c r="BP54" s="201"/>
      <c r="BQ54" s="201"/>
      <c r="BR54" s="201"/>
    </row>
    <row r="55" spans="1:70">
      <c r="A55" s="162"/>
      <c r="B55" s="162" t="str">
        <f>Processes!D25</f>
        <v>CDCUDH</v>
      </c>
      <c r="C55" s="162" t="str">
        <f>Processes!E25</f>
        <v xml:space="preserve">Commercial Demand Cooling Urban Detached -  - High </v>
      </c>
      <c r="D55" s="127" t="str">
        <f>Commodities!$C$55&amp;","&amp;Commodities!C73</f>
        <v>COMCUDB,COMCUDSH</v>
      </c>
      <c r="E55" s="191" t="str">
        <f>E54</f>
        <v>CCUDB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26">
        <f t="shared" si="60"/>
        <v>0</v>
      </c>
      <c r="R55" s="526">
        <f t="shared" si="60"/>
        <v>0</v>
      </c>
      <c r="S55" s="526">
        <f t="shared" si="60"/>
        <v>0</v>
      </c>
      <c r="T55" s="526">
        <f t="shared" si="61"/>
        <v>0</v>
      </c>
      <c r="U55" s="526">
        <f t="shared" si="61"/>
        <v>0</v>
      </c>
      <c r="V55" s="526">
        <f t="shared" si="61"/>
        <v>0</v>
      </c>
      <c r="W55" s="526">
        <f t="shared" si="62"/>
        <v>0</v>
      </c>
      <c r="X55" s="526">
        <f t="shared" si="63"/>
        <v>0</v>
      </c>
      <c r="Y55" s="526">
        <f t="shared" si="64"/>
        <v>0</v>
      </c>
      <c r="Z55" s="526">
        <f t="shared" ref="Z55" si="74">N55*0.99</f>
        <v>0</v>
      </c>
      <c r="AA55" s="526">
        <f t="shared" si="66"/>
        <v>0</v>
      </c>
      <c r="AB55" s="526">
        <f t="shared" si="67"/>
        <v>0</v>
      </c>
      <c r="AC55" s="526">
        <f t="shared" si="68"/>
        <v>0</v>
      </c>
      <c r="AD55" s="526">
        <f t="shared" si="68"/>
        <v>0</v>
      </c>
      <c r="AE55" s="526">
        <f t="shared" si="68"/>
        <v>0</v>
      </c>
      <c r="AF55" s="526">
        <f t="shared" si="68"/>
        <v>0</v>
      </c>
      <c r="AG55" s="526">
        <f t="shared" si="68"/>
        <v>0</v>
      </c>
      <c r="AH55" s="526">
        <f t="shared" si="68"/>
        <v>0</v>
      </c>
      <c r="AI55" s="520">
        <f t="shared" ref="AI55:AQ55" si="75">AI54/2+AI56/2</f>
        <v>345.15477439024386</v>
      </c>
      <c r="AJ55" s="520" t="e">
        <f t="shared" si="75"/>
        <v>#DIV/0!</v>
      </c>
      <c r="AK55" s="520" t="e">
        <f t="shared" si="75"/>
        <v>#DIV/0!</v>
      </c>
      <c r="AL55" s="520">
        <f t="shared" si="75"/>
        <v>341.02377439024389</v>
      </c>
      <c r="AM55" s="520" t="e">
        <f t="shared" si="75"/>
        <v>#DIV/0!</v>
      </c>
      <c r="AN55" s="520" t="e">
        <f t="shared" si="75"/>
        <v>#DIV/0!</v>
      </c>
      <c r="AO55" s="520">
        <f t="shared" si="75"/>
        <v>347.94327439024386</v>
      </c>
      <c r="AP55" s="520" t="e">
        <f t="shared" si="75"/>
        <v>#DIV/0!</v>
      </c>
      <c r="AQ55" s="520" t="e">
        <f t="shared" si="75"/>
        <v>#DIV/0!</v>
      </c>
      <c r="AR55" s="520">
        <f t="shared" ref="AR55:AT55" si="76">AR54/2+AR56/2</f>
        <v>347.94327439024386</v>
      </c>
      <c r="AS55" s="520" t="e">
        <f t="shared" si="76"/>
        <v>#DIV/0!</v>
      </c>
      <c r="AT55" s="520" t="e">
        <f t="shared" si="76"/>
        <v>#DIV/0!</v>
      </c>
      <c r="AU55" s="163">
        <v>1</v>
      </c>
      <c r="AV55" s="162">
        <v>1</v>
      </c>
      <c r="AW55" s="162"/>
      <c r="AX55" s="162"/>
      <c r="AY55" s="162"/>
      <c r="AZ55" s="199"/>
      <c r="BA55" s="202">
        <f t="shared" si="70"/>
        <v>0</v>
      </c>
      <c r="BB55" s="202">
        <f t="shared" si="71"/>
        <v>0</v>
      </c>
      <c r="BC55" s="202">
        <f t="shared" si="72"/>
        <v>0</v>
      </c>
      <c r="BD55" s="203">
        <f t="shared" si="73"/>
        <v>0</v>
      </c>
      <c r="BE55" s="203" t="e">
        <f t="shared" si="73"/>
        <v>#DIV/0!</v>
      </c>
      <c r="BF55" s="203" t="e">
        <f t="shared" si="73"/>
        <v>#DIV/0!</v>
      </c>
      <c r="BH55" s="201"/>
      <c r="BI55" s="201"/>
      <c r="BJ55" s="201"/>
      <c r="BK55" s="201"/>
      <c r="BL55" s="201"/>
      <c r="BM55" s="201"/>
      <c r="BN55" s="201"/>
      <c r="BO55" s="201"/>
      <c r="BP55" s="201"/>
      <c r="BQ55" s="201"/>
      <c r="BR55" s="201"/>
    </row>
    <row r="56" spans="1:70">
      <c r="B56" s="162" t="str">
        <f>Processes!D26</f>
        <v>CDCUDN</v>
      </c>
      <c r="C56" s="162" t="str">
        <f>Processes!E26</f>
        <v xml:space="preserve">Commercial Demand Cooling Urban Detached -  - New </v>
      </c>
      <c r="D56" s="133" t="str">
        <f>Commodities!$C$55</f>
        <v>COMCUDB</v>
      </c>
      <c r="E56" s="191" t="str">
        <f>E55</f>
        <v>CCUDB</v>
      </c>
      <c r="F56" s="156">
        <v>2010</v>
      </c>
      <c r="G56" s="191">
        <v>2010</v>
      </c>
      <c r="H56" s="49"/>
      <c r="I56" s="49"/>
      <c r="J56" s="49"/>
      <c r="K56" s="49"/>
      <c r="L56" s="49"/>
      <c r="M56" s="49"/>
      <c r="N56" s="49"/>
      <c r="O56" s="49"/>
      <c r="P56" s="49"/>
      <c r="Q56" s="526"/>
      <c r="R56" s="526"/>
      <c r="S56" s="526"/>
      <c r="T56" s="526"/>
      <c r="U56" s="526"/>
      <c r="V56" s="526"/>
      <c r="W56" s="526"/>
      <c r="X56" s="526"/>
      <c r="Y56" s="526"/>
      <c r="Z56" s="526"/>
      <c r="AA56" s="526"/>
      <c r="AB56" s="526"/>
      <c r="AC56" s="526"/>
      <c r="AD56" s="526"/>
      <c r="AE56" s="526"/>
      <c r="AF56" s="526"/>
      <c r="AG56" s="526"/>
      <c r="AH56" s="526"/>
      <c r="AI56" s="521">
        <f t="shared" ref="AI56:AQ56" si="77">$AI$54*AI12/$AI$10</f>
        <v>427.84254878048773</v>
      </c>
      <c r="AJ56" s="521">
        <f t="shared" si="77"/>
        <v>427.84254878048773</v>
      </c>
      <c r="AK56" s="521">
        <f t="shared" si="77"/>
        <v>427.84254878048773</v>
      </c>
      <c r="AL56" s="521">
        <f t="shared" si="77"/>
        <v>427.84254878048773</v>
      </c>
      <c r="AM56" s="521">
        <f t="shared" si="77"/>
        <v>427.84254878048773</v>
      </c>
      <c r="AN56" s="521">
        <f t="shared" si="77"/>
        <v>427.84254878048773</v>
      </c>
      <c r="AO56" s="521">
        <f t="shared" si="77"/>
        <v>427.84254878048773</v>
      </c>
      <c r="AP56" s="521">
        <f t="shared" si="77"/>
        <v>427.84254878048773</v>
      </c>
      <c r="AQ56" s="521">
        <f t="shared" si="77"/>
        <v>427.84254878048773</v>
      </c>
      <c r="AR56" s="521">
        <f t="shared" ref="AR56:AT56" si="78">$AI$54*AR12/$AI$10</f>
        <v>427.84254878048773</v>
      </c>
      <c r="AS56" s="521">
        <f t="shared" si="78"/>
        <v>427.84254878048773</v>
      </c>
      <c r="AT56" s="521">
        <f t="shared" si="78"/>
        <v>427.84254878048773</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0"/>
      <c r="E57" s="191"/>
      <c r="F57" s="156">
        <v>2016</v>
      </c>
      <c r="H57" s="49"/>
      <c r="I57" s="49"/>
      <c r="J57" s="49"/>
      <c r="K57" s="49"/>
      <c r="L57" s="49"/>
      <c r="M57" s="49"/>
      <c r="N57" s="49"/>
      <c r="O57" s="49"/>
      <c r="P57" s="49"/>
      <c r="Q57" s="526"/>
      <c r="R57" s="526"/>
      <c r="S57" s="526"/>
      <c r="T57" s="526"/>
      <c r="U57" s="526"/>
      <c r="V57" s="526"/>
      <c r="W57" s="526"/>
      <c r="X57" s="526"/>
      <c r="Y57" s="526"/>
      <c r="Z57" s="526"/>
      <c r="AA57" s="526"/>
      <c r="AB57" s="526"/>
      <c r="AC57" s="526"/>
      <c r="AD57" s="526"/>
      <c r="AE57" s="526"/>
      <c r="AF57" s="526"/>
      <c r="AG57" s="526"/>
      <c r="AH57" s="526"/>
      <c r="AI57" s="521">
        <f t="shared" ref="AI57:AQ57" si="80">$AI$54*AI13/$AI$10</f>
        <v>506.79603658536581</v>
      </c>
      <c r="AJ57" s="521">
        <f t="shared" si="80"/>
        <v>506.79603658536581</v>
      </c>
      <c r="AK57" s="521">
        <f t="shared" si="80"/>
        <v>506.79603658536581</v>
      </c>
      <c r="AL57" s="521">
        <f t="shared" si="80"/>
        <v>506.79603658536581</v>
      </c>
      <c r="AM57" s="521">
        <f t="shared" si="80"/>
        <v>506.79603658536581</v>
      </c>
      <c r="AN57" s="521">
        <f t="shared" si="80"/>
        <v>506.79603658536581</v>
      </c>
      <c r="AO57" s="521">
        <f t="shared" si="80"/>
        <v>506.79603658536581</v>
      </c>
      <c r="AP57" s="521">
        <f t="shared" si="80"/>
        <v>506.79603658536581</v>
      </c>
      <c r="AQ57" s="521">
        <f t="shared" si="80"/>
        <v>506.79603658536581</v>
      </c>
      <c r="AR57" s="521">
        <f t="shared" ref="AR57:AT57" si="81">$AI$54*AR13/$AI$10</f>
        <v>506.79603658536581</v>
      </c>
      <c r="AS57" s="521">
        <f t="shared" si="81"/>
        <v>506.79603658536581</v>
      </c>
      <c r="AT57" s="521">
        <f t="shared" si="81"/>
        <v>506.79603658536581</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0"/>
      <c r="E58" s="191"/>
      <c r="F58" s="156">
        <v>2021</v>
      </c>
      <c r="H58" s="49"/>
      <c r="I58" s="49"/>
      <c r="J58" s="49"/>
      <c r="K58" s="49"/>
      <c r="L58" s="49"/>
      <c r="M58" s="49"/>
      <c r="N58" s="49"/>
      <c r="O58" s="49"/>
      <c r="P58" s="49"/>
      <c r="Q58" s="526"/>
      <c r="R58" s="526"/>
      <c r="S58" s="526"/>
      <c r="T58" s="526"/>
      <c r="U58" s="526"/>
      <c r="V58" s="526"/>
      <c r="W58" s="526"/>
      <c r="X58" s="526"/>
      <c r="Y58" s="526"/>
      <c r="Z58" s="526"/>
      <c r="AA58" s="526"/>
      <c r="AB58" s="526"/>
      <c r="AC58" s="526"/>
      <c r="AD58" s="526"/>
      <c r="AE58" s="526"/>
      <c r="AF58" s="526"/>
      <c r="AG58" s="526"/>
      <c r="AH58" s="526"/>
      <c r="AI58" s="521">
        <f t="shared" ref="AI58:AQ58" si="82">$AI$54*AI14/$AI$10</f>
        <v>648.69892682926832</v>
      </c>
      <c r="AJ58" s="521">
        <f t="shared" si="82"/>
        <v>648.69892682926832</v>
      </c>
      <c r="AK58" s="521">
        <f t="shared" si="82"/>
        <v>648.69892682926832</v>
      </c>
      <c r="AL58" s="521">
        <f t="shared" si="82"/>
        <v>648.69892682926832</v>
      </c>
      <c r="AM58" s="521">
        <f t="shared" si="82"/>
        <v>648.69892682926832</v>
      </c>
      <c r="AN58" s="521">
        <f t="shared" si="82"/>
        <v>648.69892682926832</v>
      </c>
      <c r="AO58" s="521">
        <f t="shared" si="82"/>
        <v>648.69892682926832</v>
      </c>
      <c r="AP58" s="521">
        <f t="shared" si="82"/>
        <v>648.69892682926832</v>
      </c>
      <c r="AQ58" s="521">
        <f t="shared" si="82"/>
        <v>648.69892682926832</v>
      </c>
      <c r="AR58" s="521">
        <f t="shared" ref="AR58:AT58" si="83">$AI$54*AR14/$AI$10</f>
        <v>648.69892682926832</v>
      </c>
      <c r="AS58" s="521">
        <f t="shared" si="83"/>
        <v>648.69892682926832</v>
      </c>
      <c r="AT58" s="521">
        <f t="shared" si="83"/>
        <v>648.69892682926832</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3" thickBot="1">
      <c r="B59" s="162"/>
      <c r="C59" s="162"/>
      <c r="D59" s="550"/>
      <c r="E59" s="212"/>
      <c r="F59" s="164">
        <v>2031</v>
      </c>
      <c r="G59" s="164"/>
      <c r="H59" s="523"/>
      <c r="I59" s="523"/>
      <c r="J59" s="523"/>
      <c r="K59" s="523"/>
      <c r="L59" s="523"/>
      <c r="M59" s="523"/>
      <c r="N59" s="523"/>
      <c r="O59" s="523"/>
      <c r="P59" s="523"/>
      <c r="Q59" s="526"/>
      <c r="R59" s="526"/>
      <c r="S59" s="526"/>
      <c r="T59" s="526"/>
      <c r="U59" s="526"/>
      <c r="V59" s="526"/>
      <c r="W59" s="526"/>
      <c r="X59" s="526"/>
      <c r="Y59" s="526"/>
      <c r="Z59" s="526"/>
      <c r="AA59" s="526"/>
      <c r="AB59" s="526"/>
      <c r="AC59" s="526"/>
      <c r="AD59" s="526"/>
      <c r="AE59" s="526"/>
      <c r="AF59" s="526"/>
      <c r="AG59" s="526"/>
      <c r="AH59" s="526"/>
      <c r="AI59" s="521">
        <f t="shared" ref="AI59:AQ59" si="84">$AI$54*AI15/$AI$10</f>
        <v>740.45568292682924</v>
      </c>
      <c r="AJ59" s="521">
        <f t="shared" si="84"/>
        <v>740.45568292682924</v>
      </c>
      <c r="AK59" s="521">
        <f t="shared" si="84"/>
        <v>740.45568292682924</v>
      </c>
      <c r="AL59" s="521">
        <f t="shared" si="84"/>
        <v>740.45568292682924</v>
      </c>
      <c r="AM59" s="521">
        <f t="shared" si="84"/>
        <v>740.45568292682924</v>
      </c>
      <c r="AN59" s="521">
        <f t="shared" si="84"/>
        <v>740.45568292682924</v>
      </c>
      <c r="AO59" s="521">
        <f t="shared" si="84"/>
        <v>740.45568292682924</v>
      </c>
      <c r="AP59" s="521">
        <f t="shared" si="84"/>
        <v>740.45568292682924</v>
      </c>
      <c r="AQ59" s="521">
        <f t="shared" si="84"/>
        <v>740.45568292682924</v>
      </c>
      <c r="AR59" s="521">
        <f t="shared" ref="AR59:AT59" si="85">$AI$54*AR15/$AI$10</f>
        <v>740.45568292682924</v>
      </c>
      <c r="AS59" s="521">
        <f t="shared" si="85"/>
        <v>740.45568292682924</v>
      </c>
      <c r="AT59" s="521">
        <f t="shared" si="85"/>
        <v>740.45568292682924</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3" thickBot="1">
      <c r="B60" s="165" t="str">
        <f>Processes!D27</f>
        <v>CDCRDL</v>
      </c>
      <c r="C60" s="165" t="str">
        <f>Processes!E27</f>
        <v xml:space="preserve">Commercial Demand Cooling Rural Detached -  - Low </v>
      </c>
      <c r="D60" s="127" t="str">
        <f>Commodities!$C$56&amp;","&amp;Commodities!C74</f>
        <v>COMCRDB,COMCRDSL</v>
      </c>
      <c r="E60" s="7" t="str">
        <f>Commodities!C12</f>
        <v>CCRDB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26">
        <f t="shared" ref="Q60:S62" si="86">H60*0.6</f>
        <v>0</v>
      </c>
      <c r="R60" s="526">
        <f t="shared" si="86"/>
        <v>0</v>
      </c>
      <c r="S60" s="526">
        <f t="shared" si="86"/>
        <v>0</v>
      </c>
      <c r="T60" s="526">
        <f t="shared" ref="T60:V62" si="87">H60*0.99</f>
        <v>0</v>
      </c>
      <c r="U60" s="526">
        <f t="shared" si="87"/>
        <v>0</v>
      </c>
      <c r="V60" s="526">
        <f t="shared" si="87"/>
        <v>0</v>
      </c>
      <c r="W60" s="526">
        <f t="shared" ref="W60:W62" si="88">K60*0.99</f>
        <v>0</v>
      </c>
      <c r="X60" s="526">
        <f t="shared" ref="X60:X62" si="89">L60*0.99</f>
        <v>0</v>
      </c>
      <c r="Y60" s="526">
        <f t="shared" ref="Y60:Y62" si="90">M60*0.99</f>
        <v>0</v>
      </c>
      <c r="Z60" s="526">
        <f t="shared" ref="Z60:Z62" si="91">N60*0.99</f>
        <v>0</v>
      </c>
      <c r="AA60" s="526">
        <f t="shared" ref="AA60:AA62" si="92">O60*0.99</f>
        <v>0</v>
      </c>
      <c r="AB60" s="526">
        <f t="shared" ref="AB60:AB62" si="93">P60*0.99</f>
        <v>0</v>
      </c>
      <c r="AC60" s="526">
        <f t="shared" ref="AC60:AH62" si="94">Q60*0.99</f>
        <v>0</v>
      </c>
      <c r="AD60" s="526">
        <f t="shared" si="94"/>
        <v>0</v>
      </c>
      <c r="AE60" s="526">
        <f t="shared" si="94"/>
        <v>0</v>
      </c>
      <c r="AF60" s="526">
        <f t="shared" si="94"/>
        <v>0</v>
      </c>
      <c r="AG60" s="526">
        <f t="shared" si="94"/>
        <v>0</v>
      </c>
      <c r="AH60" s="526">
        <f t="shared" si="94"/>
        <v>0</v>
      </c>
      <c r="AI60" s="519">
        <f t="shared" ref="AI60:AT60" si="95">AI61/2</f>
        <v>131.55149999999998</v>
      </c>
      <c r="AJ60" s="519" t="e">
        <f t="shared" si="95"/>
        <v>#DIV/0!</v>
      </c>
      <c r="AK60" s="519" t="e">
        <f t="shared" si="95"/>
        <v>#DIV/0!</v>
      </c>
      <c r="AL60" s="519">
        <f t="shared" si="95"/>
        <v>127.4105</v>
      </c>
      <c r="AM60" s="519" t="e">
        <f t="shared" si="95"/>
        <v>#DIV/0!</v>
      </c>
      <c r="AN60" s="519" t="e">
        <f t="shared" si="95"/>
        <v>#DIV/0!</v>
      </c>
      <c r="AO60" s="519">
        <f t="shared" si="95"/>
        <v>134.34649999999999</v>
      </c>
      <c r="AP60" s="519" t="e">
        <f t="shared" si="95"/>
        <v>#DIV/0!</v>
      </c>
      <c r="AQ60" s="519" t="e">
        <f t="shared" si="95"/>
        <v>#DIV/0!</v>
      </c>
      <c r="AR60" s="519">
        <f t="shared" si="95"/>
        <v>134.34649999999999</v>
      </c>
      <c r="AS60" s="519" t="e">
        <f t="shared" si="95"/>
        <v>#DIV/0!</v>
      </c>
      <c r="AT60" s="519" t="e">
        <f t="shared" si="95"/>
        <v>#DIV/0!</v>
      </c>
      <c r="AU60" s="167">
        <v>1</v>
      </c>
      <c r="AV60" s="165">
        <v>1</v>
      </c>
      <c r="AW60" s="160"/>
      <c r="AX60" s="162"/>
      <c r="AY60" s="162"/>
      <c r="AZ60" s="199"/>
      <c r="BA60" s="202">
        <f t="shared" si="70"/>
        <v>0</v>
      </c>
      <c r="BB60" s="202">
        <f t="shared" si="71"/>
        <v>0</v>
      </c>
      <c r="BC60" s="202">
        <f t="shared" si="72"/>
        <v>0</v>
      </c>
      <c r="BD60" s="203">
        <f t="shared" ref="BD60:BD69" si="96">BA60/AI60</f>
        <v>0</v>
      </c>
      <c r="BE60" s="203" t="e">
        <f t="shared" ref="BE60:BE69" si="97">BB60/AJ60</f>
        <v>#DIV/0!</v>
      </c>
      <c r="BF60" s="203" t="e">
        <f t="shared" ref="BF60:BF69" si="98">BC60/AK60</f>
        <v>#DIV/0!</v>
      </c>
      <c r="BH60" s="201"/>
      <c r="BI60" s="201"/>
      <c r="BJ60" s="201"/>
      <c r="BK60" s="201"/>
      <c r="BL60" s="201"/>
      <c r="BM60" s="201"/>
      <c r="BN60" s="201"/>
      <c r="BO60" s="201"/>
      <c r="BP60" s="201"/>
      <c r="BQ60" s="201"/>
      <c r="BR60" s="201"/>
    </row>
    <row r="61" spans="1:70">
      <c r="A61" s="162"/>
      <c r="B61" s="162" t="str">
        <f>Processes!D28</f>
        <v>CDCRDM</v>
      </c>
      <c r="C61" s="162" t="str">
        <f>Processes!E28</f>
        <v xml:space="preserve">Commercial Demand Cooling Rural Detached -  - Medium </v>
      </c>
      <c r="D61" s="127" t="str">
        <f>Commodities!$C$56&amp;","&amp;Commodities!C75</f>
        <v>COMCRDB,COMCRDSM</v>
      </c>
      <c r="E61" s="191" t="str">
        <f>E60</f>
        <v>CCRDB</v>
      </c>
      <c r="G61" s="191"/>
      <c r="H61" s="49" cm="1">
        <f t="array" ref="H61">ROUNDUP(INDEX(Dem!$F$53:$H$56,MATCH(Buildings_DR!$E61,Dem!$B$17:$B$20,0),MATCH(RIGHT(H$51,3),Dem!$F$1:$H$1,0))*_xlfn.IFS(RIGHT($D61,1)="H",$H$48,RIGHT($D61,1)="M",$H$47,RIGHT($D61,1)="L",$H$46),2)</f>
        <v>410.84</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410.84</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410.84</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26">
        <f t="shared" si="86"/>
        <v>246.50399999999996</v>
      </c>
      <c r="R61" s="526">
        <f t="shared" si="86"/>
        <v>0</v>
      </c>
      <c r="S61" s="526">
        <f t="shared" si="86"/>
        <v>0</v>
      </c>
      <c r="T61" s="526">
        <f t="shared" si="87"/>
        <v>406.73159999999996</v>
      </c>
      <c r="U61" s="526">
        <f t="shared" si="87"/>
        <v>0</v>
      </c>
      <c r="V61" s="526">
        <f t="shared" si="87"/>
        <v>0</v>
      </c>
      <c r="W61" s="526">
        <f t="shared" si="88"/>
        <v>406.73159999999996</v>
      </c>
      <c r="X61" s="526">
        <f t="shared" si="89"/>
        <v>0</v>
      </c>
      <c r="Y61" s="526">
        <f t="shared" si="90"/>
        <v>0</v>
      </c>
      <c r="Z61" s="526">
        <f t="shared" si="91"/>
        <v>406.73159999999996</v>
      </c>
      <c r="AA61" s="526">
        <f t="shared" si="92"/>
        <v>0</v>
      </c>
      <c r="AB61" s="526">
        <f t="shared" si="93"/>
        <v>0</v>
      </c>
      <c r="AC61" s="526">
        <f t="shared" si="94"/>
        <v>244.03895999999997</v>
      </c>
      <c r="AD61" s="526">
        <f t="shared" si="94"/>
        <v>0</v>
      </c>
      <c r="AE61" s="526">
        <f t="shared" si="94"/>
        <v>0</v>
      </c>
      <c r="AF61" s="526">
        <f t="shared" si="94"/>
        <v>402.66428399999995</v>
      </c>
      <c r="AG61" s="526">
        <f t="shared" si="94"/>
        <v>0</v>
      </c>
      <c r="AH61" s="526">
        <f t="shared" si="94"/>
        <v>0</v>
      </c>
      <c r="AI61" s="520">
        <f>ROUNDUP(SUM(H60:H66)/Cooling!AA8,3)</f>
        <v>263.10299999999995</v>
      </c>
      <c r="AJ61" s="520" t="e">
        <f>ROUNDUP(SUM(I60:I66)/Cooling!AB8,3)</f>
        <v>#DIV/0!</v>
      </c>
      <c r="AK61" s="520" t="e">
        <f>ROUNDUP(SUM(J60:J66)/Cooling!AC8,3)</f>
        <v>#DIV/0!</v>
      </c>
      <c r="AL61" s="520">
        <f>ROUNDUP(SUM(K60:K66)/Cooling!AA12,3)</f>
        <v>254.821</v>
      </c>
      <c r="AM61" s="520" t="e">
        <f>ROUNDUP(SUM(L60:L66)/Cooling!AB12,3)</f>
        <v>#DIV/0!</v>
      </c>
      <c r="AN61" s="520" t="e">
        <f>ROUNDUP(SUM(M60:M66)/Cooling!AC12,3)</f>
        <v>#DIV/0!</v>
      </c>
      <c r="AO61" s="520">
        <f>ROUNDUP(SUM(N60:N66)/Cooling!AA16,3)</f>
        <v>268.69299999999998</v>
      </c>
      <c r="AP61" s="520" t="e">
        <f>ROUNDUP(SUM(O60:O66)/Cooling!AB16,3)</f>
        <v>#DIV/0!</v>
      </c>
      <c r="AQ61" s="520" t="e">
        <f>ROUNDUP(SUM(P60:P66)/Cooling!AC16,3)</f>
        <v>#DIV/0!</v>
      </c>
      <c r="AR61" s="520">
        <f>AO61</f>
        <v>268.69299999999998</v>
      </c>
      <c r="AS61" s="520" t="e">
        <f>AP61</f>
        <v>#DIV/0!</v>
      </c>
      <c r="AT61" s="520" t="e">
        <f>AQ61</f>
        <v>#DIV/0!</v>
      </c>
      <c r="AU61" s="163">
        <v>1</v>
      </c>
      <c r="AV61" s="162">
        <v>1</v>
      </c>
      <c r="AW61" s="160"/>
      <c r="AX61" s="162"/>
      <c r="AY61" s="162"/>
      <c r="AZ61" s="199"/>
      <c r="BA61" s="202">
        <f t="shared" si="70"/>
        <v>410.84</v>
      </c>
      <c r="BB61" s="202">
        <f t="shared" si="71"/>
        <v>0</v>
      </c>
      <c r="BC61" s="202">
        <f t="shared" si="72"/>
        <v>0</v>
      </c>
      <c r="BD61" s="203">
        <f t="shared" si="96"/>
        <v>1.5615177325990204</v>
      </c>
      <c r="BE61" s="203" t="e">
        <f t="shared" si="97"/>
        <v>#DIV/0!</v>
      </c>
      <c r="BF61" s="203" t="e">
        <f t="shared" si="98"/>
        <v>#DIV/0!</v>
      </c>
      <c r="BH61" s="201"/>
      <c r="BI61" s="201"/>
      <c r="BJ61" s="201"/>
      <c r="BK61" s="201"/>
      <c r="BL61" s="201"/>
      <c r="BM61" s="201"/>
      <c r="BN61" s="201"/>
      <c r="BO61" s="201"/>
      <c r="BP61" s="201"/>
      <c r="BQ61" s="201"/>
      <c r="BR61" s="201"/>
    </row>
    <row r="62" spans="1:70">
      <c r="A62" s="162"/>
      <c r="B62" s="162" t="str">
        <f>Processes!D29</f>
        <v>CDCRDH</v>
      </c>
      <c r="C62" s="162" t="str">
        <f>Processes!E29</f>
        <v xml:space="preserve">Commercial Demand Cooling Rural Detached -  - High </v>
      </c>
      <c r="D62" s="127" t="str">
        <f>Commodities!$C$56&amp;","&amp;Commodities!C76</f>
        <v>COMCRDB,COMCRDSH</v>
      </c>
      <c r="E62" s="191" t="str">
        <f>E61</f>
        <v>CCRDB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26">
        <f t="shared" si="86"/>
        <v>0</v>
      </c>
      <c r="R62" s="526">
        <f t="shared" si="86"/>
        <v>0</v>
      </c>
      <c r="S62" s="526">
        <f t="shared" si="86"/>
        <v>0</v>
      </c>
      <c r="T62" s="526">
        <f t="shared" si="87"/>
        <v>0</v>
      </c>
      <c r="U62" s="526">
        <f t="shared" si="87"/>
        <v>0</v>
      </c>
      <c r="V62" s="526">
        <f t="shared" si="87"/>
        <v>0</v>
      </c>
      <c r="W62" s="526">
        <f t="shared" si="88"/>
        <v>0</v>
      </c>
      <c r="X62" s="526">
        <f t="shared" si="89"/>
        <v>0</v>
      </c>
      <c r="Y62" s="526">
        <f t="shared" si="90"/>
        <v>0</v>
      </c>
      <c r="Z62" s="526">
        <f t="shared" si="91"/>
        <v>0</v>
      </c>
      <c r="AA62" s="526">
        <f t="shared" si="92"/>
        <v>0</v>
      </c>
      <c r="AB62" s="526">
        <f t="shared" si="93"/>
        <v>0</v>
      </c>
      <c r="AC62" s="526">
        <f t="shared" si="94"/>
        <v>0</v>
      </c>
      <c r="AD62" s="526">
        <f t="shared" si="94"/>
        <v>0</v>
      </c>
      <c r="AE62" s="526">
        <f t="shared" si="94"/>
        <v>0</v>
      </c>
      <c r="AF62" s="526">
        <f t="shared" si="94"/>
        <v>0</v>
      </c>
      <c r="AG62" s="526">
        <f t="shared" si="94"/>
        <v>0</v>
      </c>
      <c r="AH62" s="526">
        <f t="shared" si="94"/>
        <v>0</v>
      </c>
      <c r="AI62" s="520">
        <f t="shared" ref="AI62:AQ62" si="99">AI61/2+AI63/2</f>
        <v>362.92058552631573</v>
      </c>
      <c r="AJ62" s="520" t="e">
        <f t="shared" si="99"/>
        <v>#DIV/0!</v>
      </c>
      <c r="AK62" s="520" t="e">
        <f t="shared" si="99"/>
        <v>#DIV/0!</v>
      </c>
      <c r="AL62" s="520">
        <f t="shared" si="99"/>
        <v>358.77958552631577</v>
      </c>
      <c r="AM62" s="520" t="e">
        <f t="shared" si="99"/>
        <v>#DIV/0!</v>
      </c>
      <c r="AN62" s="520" t="e">
        <f t="shared" si="99"/>
        <v>#DIV/0!</v>
      </c>
      <c r="AO62" s="520">
        <f t="shared" si="99"/>
        <v>365.71558552631575</v>
      </c>
      <c r="AP62" s="520" t="e">
        <f t="shared" si="99"/>
        <v>#DIV/0!</v>
      </c>
      <c r="AQ62" s="520" t="e">
        <f t="shared" si="99"/>
        <v>#DIV/0!</v>
      </c>
      <c r="AR62" s="520">
        <f t="shared" ref="AR62:AT62" si="100">AR61/2+AR63/2</f>
        <v>365.71558552631575</v>
      </c>
      <c r="AS62" s="520" t="e">
        <f t="shared" si="100"/>
        <v>#DIV/0!</v>
      </c>
      <c r="AT62" s="520" t="e">
        <f t="shared" si="100"/>
        <v>#DIV/0!</v>
      </c>
      <c r="AU62" s="163">
        <v>1</v>
      </c>
      <c r="AV62" s="162">
        <v>1</v>
      </c>
      <c r="AW62" s="162"/>
      <c r="AX62" s="162"/>
      <c r="AY62" s="162"/>
      <c r="AZ62" s="199"/>
      <c r="BA62" s="202">
        <f t="shared" si="70"/>
        <v>0</v>
      </c>
      <c r="BB62" s="202">
        <f t="shared" si="71"/>
        <v>0</v>
      </c>
      <c r="BC62" s="202">
        <f t="shared" si="72"/>
        <v>0</v>
      </c>
      <c r="BD62" s="203">
        <f t="shared" si="96"/>
        <v>0</v>
      </c>
      <c r="BE62" s="203" t="e">
        <f t="shared" si="97"/>
        <v>#DIV/0!</v>
      </c>
      <c r="BF62" s="203" t="e">
        <f t="shared" si="98"/>
        <v>#DIV/0!</v>
      </c>
      <c r="BH62" s="201"/>
      <c r="BI62" s="201"/>
      <c r="BJ62" s="201"/>
      <c r="BK62" s="201"/>
      <c r="BL62" s="201"/>
      <c r="BM62" s="201"/>
      <c r="BN62" s="201"/>
      <c r="BO62" s="201"/>
      <c r="BP62" s="201"/>
      <c r="BQ62" s="201"/>
      <c r="BR62" s="201"/>
    </row>
    <row r="63" spans="1:70">
      <c r="B63" s="162" t="str">
        <f>Processes!D30</f>
        <v>CDCRDN</v>
      </c>
      <c r="C63" s="162" t="str">
        <f>Processes!E30</f>
        <v xml:space="preserve">Commercial Demand Cooling Rural Detached -  - New </v>
      </c>
      <c r="D63" s="133" t="str">
        <f>Commodities!$C$56</f>
        <v>COMCRDB</v>
      </c>
      <c r="E63" s="191" t="str">
        <f>E62</f>
        <v>CCRDB</v>
      </c>
      <c r="F63" s="156">
        <v>2010</v>
      </c>
      <c r="G63" s="191">
        <v>2010</v>
      </c>
      <c r="H63" s="49"/>
      <c r="I63" s="49"/>
      <c r="J63" s="49"/>
      <c r="K63" s="49"/>
      <c r="L63" s="49"/>
      <c r="M63" s="49"/>
      <c r="N63" s="49"/>
      <c r="O63" s="49"/>
      <c r="P63" s="49"/>
      <c r="Q63" s="526"/>
      <c r="R63" s="526"/>
      <c r="S63" s="526"/>
      <c r="T63" s="526"/>
      <c r="U63" s="526"/>
      <c r="V63" s="526"/>
      <c r="W63" s="526"/>
      <c r="X63" s="526"/>
      <c r="Y63" s="526"/>
      <c r="Z63" s="526"/>
      <c r="AA63" s="526"/>
      <c r="AB63" s="526"/>
      <c r="AC63" s="526"/>
      <c r="AD63" s="526"/>
      <c r="AE63" s="526"/>
      <c r="AF63" s="526"/>
      <c r="AG63" s="526"/>
      <c r="AH63" s="526"/>
      <c r="AI63" s="521">
        <f t="shared" ref="AI63:AQ63" si="101">$AI$61*AI19/$AI$17</f>
        <v>462.73817105263151</v>
      </c>
      <c r="AJ63" s="521">
        <f t="shared" si="101"/>
        <v>462.73817105263151</v>
      </c>
      <c r="AK63" s="521">
        <f t="shared" si="101"/>
        <v>462.73817105263151</v>
      </c>
      <c r="AL63" s="521">
        <f t="shared" si="101"/>
        <v>462.73817105263151</v>
      </c>
      <c r="AM63" s="521">
        <f t="shared" si="101"/>
        <v>462.73817105263151</v>
      </c>
      <c r="AN63" s="521">
        <f t="shared" si="101"/>
        <v>462.73817105263151</v>
      </c>
      <c r="AO63" s="521">
        <f t="shared" si="101"/>
        <v>462.73817105263151</v>
      </c>
      <c r="AP63" s="521">
        <f t="shared" si="101"/>
        <v>462.73817105263151</v>
      </c>
      <c r="AQ63" s="521">
        <f t="shared" si="101"/>
        <v>462.73817105263151</v>
      </c>
      <c r="AR63" s="521">
        <f t="shared" ref="AR63:AT63" si="102">$AI$61*AR19/$AI$17</f>
        <v>462.73817105263151</v>
      </c>
      <c r="AS63" s="521">
        <f t="shared" si="102"/>
        <v>462.73817105263151</v>
      </c>
      <c r="AT63" s="521">
        <f t="shared" si="102"/>
        <v>462.73817105263151</v>
      </c>
      <c r="AU63" s="163">
        <v>1</v>
      </c>
      <c r="AV63" s="168">
        <v>1</v>
      </c>
      <c r="AW63" s="162">
        <v>100</v>
      </c>
      <c r="AX63" s="162"/>
      <c r="AY63" s="162"/>
      <c r="BA63" s="202">
        <f t="shared" si="70"/>
        <v>0</v>
      </c>
      <c r="BB63" s="202">
        <f t="shared" si="71"/>
        <v>0</v>
      </c>
      <c r="BC63" s="202">
        <f t="shared" si="72"/>
        <v>0</v>
      </c>
      <c r="BD63" s="203">
        <f t="shared" si="96"/>
        <v>0</v>
      </c>
      <c r="BE63" s="203">
        <f t="shared" si="97"/>
        <v>0</v>
      </c>
      <c r="BF63" s="203">
        <f t="shared" si="98"/>
        <v>0</v>
      </c>
      <c r="BH63" s="201"/>
      <c r="BI63" s="201"/>
      <c r="BJ63" s="201"/>
      <c r="BK63" s="201"/>
      <c r="BL63" s="654"/>
      <c r="BM63" s="654"/>
      <c r="BN63" s="654"/>
      <c r="BO63" s="201"/>
      <c r="BP63" s="201"/>
      <c r="BQ63" s="201"/>
      <c r="BR63" s="201"/>
    </row>
    <row r="64" spans="1:70">
      <c r="B64" s="162"/>
      <c r="C64" s="162"/>
      <c r="D64" s="550"/>
      <c r="E64" s="191"/>
      <c r="F64" s="156">
        <v>2016</v>
      </c>
      <c r="H64" s="49"/>
      <c r="I64" s="49"/>
      <c r="J64" s="49"/>
      <c r="K64" s="49"/>
      <c r="L64" s="49"/>
      <c r="M64" s="49"/>
      <c r="N64" s="49"/>
      <c r="O64" s="49"/>
      <c r="P64" s="49"/>
      <c r="Q64" s="526"/>
      <c r="R64" s="526"/>
      <c r="S64" s="526"/>
      <c r="T64" s="526"/>
      <c r="U64" s="526"/>
      <c r="V64" s="526"/>
      <c r="W64" s="526"/>
      <c r="X64" s="526"/>
      <c r="Y64" s="526"/>
      <c r="Z64" s="526"/>
      <c r="AA64" s="526"/>
      <c r="AB64" s="526"/>
      <c r="AC64" s="526"/>
      <c r="AD64" s="526"/>
      <c r="AE64" s="526"/>
      <c r="AF64" s="526"/>
      <c r="AG64" s="526"/>
      <c r="AH64" s="526"/>
      <c r="AI64" s="521">
        <f t="shared" ref="AI64:AQ64" si="103">$AI$61*AI20/$AI$17</f>
        <v>548.13125000000002</v>
      </c>
      <c r="AJ64" s="521">
        <f t="shared" si="103"/>
        <v>548.13125000000002</v>
      </c>
      <c r="AK64" s="521">
        <f t="shared" si="103"/>
        <v>548.13125000000002</v>
      </c>
      <c r="AL64" s="521">
        <f t="shared" si="103"/>
        <v>548.13125000000002</v>
      </c>
      <c r="AM64" s="521">
        <f t="shared" si="103"/>
        <v>548.13125000000002</v>
      </c>
      <c r="AN64" s="521">
        <f t="shared" si="103"/>
        <v>548.13125000000002</v>
      </c>
      <c r="AO64" s="521">
        <f t="shared" si="103"/>
        <v>548.13125000000002</v>
      </c>
      <c r="AP64" s="521">
        <f t="shared" si="103"/>
        <v>548.13125000000002</v>
      </c>
      <c r="AQ64" s="521">
        <f t="shared" si="103"/>
        <v>548.13125000000002</v>
      </c>
      <c r="AR64" s="521">
        <f t="shared" ref="AR64:AT64" si="104">$AI$61*AR20/$AI$17</f>
        <v>548.13125000000002</v>
      </c>
      <c r="AS64" s="521">
        <f t="shared" si="104"/>
        <v>548.13125000000002</v>
      </c>
      <c r="AT64" s="521">
        <f t="shared" si="104"/>
        <v>548.13125000000002</v>
      </c>
      <c r="AU64" s="163">
        <v>1</v>
      </c>
      <c r="AV64" s="168">
        <v>1</v>
      </c>
      <c r="AW64" s="162">
        <v>100</v>
      </c>
      <c r="AX64" s="162"/>
      <c r="AY64" s="162"/>
      <c r="BA64" s="202">
        <f t="shared" si="70"/>
        <v>0</v>
      </c>
      <c r="BB64" s="202">
        <f t="shared" si="71"/>
        <v>0</v>
      </c>
      <c r="BC64" s="202">
        <f t="shared" si="72"/>
        <v>0</v>
      </c>
      <c r="BD64" s="203">
        <f t="shared" si="96"/>
        <v>0</v>
      </c>
      <c r="BE64" s="203">
        <f t="shared" si="97"/>
        <v>0</v>
      </c>
      <c r="BF64" s="203">
        <f t="shared" si="98"/>
        <v>0</v>
      </c>
      <c r="BH64" s="201"/>
      <c r="BI64" s="201"/>
      <c r="BJ64" s="201"/>
      <c r="BK64" s="201"/>
      <c r="BL64" s="201"/>
      <c r="BM64" s="201"/>
      <c r="BN64" s="201"/>
      <c r="BO64" s="201"/>
      <c r="BP64" s="201"/>
      <c r="BQ64" s="201"/>
      <c r="BR64" s="201"/>
    </row>
    <row r="65" spans="1:70">
      <c r="B65" s="162"/>
      <c r="C65" s="162"/>
      <c r="D65" s="550"/>
      <c r="E65" s="191"/>
      <c r="F65" s="156">
        <v>2021</v>
      </c>
      <c r="H65" s="49"/>
      <c r="I65" s="49"/>
      <c r="J65" s="49"/>
      <c r="K65" s="49"/>
      <c r="L65" s="49"/>
      <c r="M65" s="49"/>
      <c r="N65" s="49"/>
      <c r="O65" s="49"/>
      <c r="P65" s="49"/>
      <c r="Q65" s="526"/>
      <c r="R65" s="526"/>
      <c r="S65" s="526"/>
      <c r="T65" s="526"/>
      <c r="U65" s="526"/>
      <c r="V65" s="526"/>
      <c r="W65" s="526"/>
      <c r="X65" s="526"/>
      <c r="Y65" s="526"/>
      <c r="Z65" s="526"/>
      <c r="AA65" s="526"/>
      <c r="AB65" s="526"/>
      <c r="AC65" s="526"/>
      <c r="AD65" s="526"/>
      <c r="AE65" s="526"/>
      <c r="AF65" s="526"/>
      <c r="AG65" s="526"/>
      <c r="AH65" s="526"/>
      <c r="AI65" s="521">
        <f t="shared" ref="AI65:AQ65" si="105">$AI$61*AI21/$AI$17</f>
        <v>701.60799999999995</v>
      </c>
      <c r="AJ65" s="521">
        <f t="shared" si="105"/>
        <v>701.60799999999995</v>
      </c>
      <c r="AK65" s="521">
        <f t="shared" si="105"/>
        <v>701.60799999999995</v>
      </c>
      <c r="AL65" s="521">
        <f t="shared" si="105"/>
        <v>701.60799999999995</v>
      </c>
      <c r="AM65" s="521">
        <f t="shared" si="105"/>
        <v>701.60799999999995</v>
      </c>
      <c r="AN65" s="521">
        <f t="shared" si="105"/>
        <v>701.60799999999995</v>
      </c>
      <c r="AO65" s="521">
        <f t="shared" si="105"/>
        <v>701.60799999999995</v>
      </c>
      <c r="AP65" s="521">
        <f t="shared" si="105"/>
        <v>701.60799999999995</v>
      </c>
      <c r="AQ65" s="521">
        <f t="shared" si="105"/>
        <v>701.60799999999995</v>
      </c>
      <c r="AR65" s="521">
        <f t="shared" ref="AR65:AT65" si="106">$AI$61*AR21/$AI$17</f>
        <v>701.60799999999995</v>
      </c>
      <c r="AS65" s="521">
        <f t="shared" si="106"/>
        <v>701.60799999999995</v>
      </c>
      <c r="AT65" s="521">
        <f t="shared" si="106"/>
        <v>701.60799999999995</v>
      </c>
      <c r="AU65" s="163">
        <v>1</v>
      </c>
      <c r="AV65" s="168">
        <v>1</v>
      </c>
      <c r="AW65" s="162">
        <v>100</v>
      </c>
      <c r="AX65" s="162"/>
      <c r="AY65" s="162"/>
      <c r="BA65" s="202">
        <f t="shared" si="70"/>
        <v>0</v>
      </c>
      <c r="BB65" s="202">
        <f t="shared" si="71"/>
        <v>0</v>
      </c>
      <c r="BC65" s="202">
        <f t="shared" si="72"/>
        <v>0</v>
      </c>
      <c r="BD65" s="203">
        <f t="shared" si="96"/>
        <v>0</v>
      </c>
      <c r="BE65" s="203">
        <f t="shared" si="97"/>
        <v>0</v>
      </c>
      <c r="BF65" s="203">
        <f t="shared" si="98"/>
        <v>0</v>
      </c>
      <c r="BH65" s="201"/>
      <c r="BI65" s="201"/>
      <c r="BJ65" s="201"/>
      <c r="BK65" s="201"/>
      <c r="BL65" s="201"/>
      <c r="BM65" s="201"/>
      <c r="BN65" s="201"/>
      <c r="BO65" s="201"/>
      <c r="BP65" s="201"/>
      <c r="BQ65" s="201"/>
      <c r="BR65" s="201"/>
    </row>
    <row r="66" spans="1:70" ht="13" thickBot="1">
      <c r="B66" s="162"/>
      <c r="C66" s="162"/>
      <c r="D66" s="550"/>
      <c r="E66" s="212"/>
      <c r="F66" s="164">
        <v>2031</v>
      </c>
      <c r="G66" s="164"/>
      <c r="H66" s="523"/>
      <c r="I66" s="523"/>
      <c r="J66" s="523"/>
      <c r="K66" s="523"/>
      <c r="L66" s="523"/>
      <c r="M66" s="523"/>
      <c r="N66" s="523"/>
      <c r="O66" s="523"/>
      <c r="P66" s="523"/>
      <c r="Q66" s="526"/>
      <c r="R66" s="526"/>
      <c r="S66" s="526"/>
      <c r="T66" s="526"/>
      <c r="U66" s="526"/>
      <c r="V66" s="526"/>
      <c r="W66" s="526"/>
      <c r="X66" s="526"/>
      <c r="Y66" s="526"/>
      <c r="Z66" s="526"/>
      <c r="AA66" s="526"/>
      <c r="AB66" s="526"/>
      <c r="AC66" s="526"/>
      <c r="AD66" s="526"/>
      <c r="AE66" s="526"/>
      <c r="AF66" s="526"/>
      <c r="AG66" s="526"/>
      <c r="AH66" s="526"/>
      <c r="AI66" s="521">
        <f t="shared" ref="AI66:AQ66" si="107">$AI$61*AI22/$AI$17</f>
        <v>800.84860526315788</v>
      </c>
      <c r="AJ66" s="521">
        <f t="shared" si="107"/>
        <v>800.84860526315788</v>
      </c>
      <c r="AK66" s="521">
        <f t="shared" si="107"/>
        <v>800.84860526315788</v>
      </c>
      <c r="AL66" s="521">
        <f t="shared" si="107"/>
        <v>800.84860526315788</v>
      </c>
      <c r="AM66" s="521">
        <f t="shared" si="107"/>
        <v>800.84860526315788</v>
      </c>
      <c r="AN66" s="521">
        <f t="shared" si="107"/>
        <v>800.84860526315788</v>
      </c>
      <c r="AO66" s="521">
        <f t="shared" si="107"/>
        <v>800.84860526315788</v>
      </c>
      <c r="AP66" s="521">
        <f t="shared" si="107"/>
        <v>800.84860526315788</v>
      </c>
      <c r="AQ66" s="521">
        <f t="shared" si="107"/>
        <v>800.84860526315788</v>
      </c>
      <c r="AR66" s="521">
        <f t="shared" ref="AR66:AT66" si="108">$AI$61*AR22/$AI$17</f>
        <v>800.84860526315788</v>
      </c>
      <c r="AS66" s="521">
        <f t="shared" si="108"/>
        <v>800.84860526315788</v>
      </c>
      <c r="AT66" s="521">
        <f t="shared" si="108"/>
        <v>800.84860526315788</v>
      </c>
      <c r="AU66" s="163">
        <v>1</v>
      </c>
      <c r="AV66" s="168">
        <v>1</v>
      </c>
      <c r="AW66" s="162">
        <v>100</v>
      </c>
      <c r="AX66" s="162"/>
      <c r="AY66" s="162"/>
      <c r="AZ66" s="199"/>
      <c r="BA66" s="202">
        <f t="shared" si="70"/>
        <v>0</v>
      </c>
      <c r="BB66" s="202">
        <f t="shared" si="71"/>
        <v>0</v>
      </c>
      <c r="BC66" s="202">
        <f t="shared" si="72"/>
        <v>0</v>
      </c>
      <c r="BD66" s="203">
        <f t="shared" si="96"/>
        <v>0</v>
      </c>
      <c r="BE66" s="203">
        <f t="shared" si="97"/>
        <v>0</v>
      </c>
      <c r="BF66" s="203">
        <f t="shared" si="98"/>
        <v>0</v>
      </c>
      <c r="BH66" s="201"/>
      <c r="BI66" s="201"/>
      <c r="BJ66" s="201"/>
      <c r="BK66" s="201"/>
      <c r="BL66" s="201"/>
      <c r="BM66" s="201"/>
      <c r="BN66" s="201"/>
      <c r="BO66" s="201"/>
      <c r="BP66" s="201"/>
      <c r="BQ66" s="201"/>
      <c r="BR66" s="201"/>
    </row>
    <row r="67" spans="1:70" ht="13" thickBot="1">
      <c r="B67" s="165" t="str">
        <f>Processes!D31</f>
        <v>CDCUML</v>
      </c>
      <c r="C67" s="165" t="str">
        <f>Processes!E31</f>
        <v xml:space="preserve">Commercial Demand Cooling Urban Multi -  - Low </v>
      </c>
      <c r="D67" s="127" t="str">
        <f>Commodities!$C$57&amp;","&amp;Commodities!C77</f>
        <v>COMCUMB,COMCUMSL</v>
      </c>
      <c r="E67" s="7" t="str">
        <f>Commodities!C13</f>
        <v>CCUMB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26">
        <f t="shared" ref="Q67:S69" si="109">H67*0.6</f>
        <v>0</v>
      </c>
      <c r="R67" s="526">
        <f t="shared" si="109"/>
        <v>0</v>
      </c>
      <c r="S67" s="526">
        <f t="shared" si="109"/>
        <v>0</v>
      </c>
      <c r="T67" s="526">
        <f t="shared" ref="T67:V69" si="110">H67*0.99</f>
        <v>0</v>
      </c>
      <c r="U67" s="526">
        <f t="shared" si="110"/>
        <v>0</v>
      </c>
      <c r="V67" s="526">
        <f t="shared" si="110"/>
        <v>0</v>
      </c>
      <c r="W67" s="526">
        <f t="shared" ref="W67:W69" si="111">K67*0.99</f>
        <v>0</v>
      </c>
      <c r="X67" s="526">
        <f t="shared" ref="X67:X69" si="112">L67*0.99</f>
        <v>0</v>
      </c>
      <c r="Y67" s="526">
        <f t="shared" ref="Y67:Y69" si="113">M67*0.99</f>
        <v>0</v>
      </c>
      <c r="Z67" s="526">
        <f t="shared" ref="Z67:Z69" si="114">N67*0.99</f>
        <v>0</v>
      </c>
      <c r="AA67" s="526">
        <f t="shared" ref="AA67:AA69" si="115">O67*0.99</f>
        <v>0</v>
      </c>
      <c r="AB67" s="526">
        <f t="shared" ref="AB67:AB69" si="116">P67*0.99</f>
        <v>0</v>
      </c>
      <c r="AC67" s="526">
        <f t="shared" ref="AC67:AH69" si="117">Q67*0.99</f>
        <v>0</v>
      </c>
      <c r="AD67" s="526">
        <f t="shared" si="117"/>
        <v>0</v>
      </c>
      <c r="AE67" s="526">
        <f t="shared" si="117"/>
        <v>0</v>
      </c>
      <c r="AF67" s="526">
        <f t="shared" si="117"/>
        <v>0</v>
      </c>
      <c r="AG67" s="526">
        <f t="shared" si="117"/>
        <v>0</v>
      </c>
      <c r="AH67" s="526">
        <f t="shared" si="117"/>
        <v>0</v>
      </c>
      <c r="AI67" s="519">
        <f t="shared" ref="AI67:AT67" si="118">AI68/2</f>
        <v>156.48299999999998</v>
      </c>
      <c r="AJ67" s="519" t="e">
        <f t="shared" si="118"/>
        <v>#DIV/0!</v>
      </c>
      <c r="AK67" s="519" t="e">
        <f t="shared" si="118"/>
        <v>#DIV/0!</v>
      </c>
      <c r="AL67" s="519">
        <f t="shared" si="118"/>
        <v>151.55749999999998</v>
      </c>
      <c r="AM67" s="519" t="e">
        <f t="shared" si="118"/>
        <v>#DIV/0!</v>
      </c>
      <c r="AN67" s="519" t="e">
        <f t="shared" si="118"/>
        <v>#DIV/0!</v>
      </c>
      <c r="AO67" s="519">
        <f t="shared" si="118"/>
        <v>159.80799999999999</v>
      </c>
      <c r="AP67" s="519" t="e">
        <f t="shared" si="118"/>
        <v>#DIV/0!</v>
      </c>
      <c r="AQ67" s="519" t="e">
        <f t="shared" si="118"/>
        <v>#DIV/0!</v>
      </c>
      <c r="AR67" s="519">
        <f t="shared" si="118"/>
        <v>159.80799999999999</v>
      </c>
      <c r="AS67" s="519" t="e">
        <f t="shared" si="118"/>
        <v>#DIV/0!</v>
      </c>
      <c r="AT67" s="519" t="e">
        <f t="shared" si="118"/>
        <v>#DIV/0!</v>
      </c>
      <c r="AU67" s="167">
        <v>1</v>
      </c>
      <c r="AV67" s="165">
        <v>1</v>
      </c>
      <c r="AW67" s="160"/>
      <c r="AX67" s="162"/>
      <c r="AY67" s="162"/>
      <c r="AZ67" s="199"/>
      <c r="BA67" s="202">
        <f t="shared" si="70"/>
        <v>0</v>
      </c>
      <c r="BB67" s="202">
        <f t="shared" si="71"/>
        <v>0</v>
      </c>
      <c r="BC67" s="202">
        <f t="shared" si="72"/>
        <v>0</v>
      </c>
      <c r="BD67" s="203">
        <f t="shared" si="96"/>
        <v>0</v>
      </c>
      <c r="BE67" s="203" t="e">
        <f t="shared" si="97"/>
        <v>#DIV/0!</v>
      </c>
      <c r="BF67" s="203" t="e">
        <f t="shared" si="98"/>
        <v>#DIV/0!</v>
      </c>
      <c r="BH67" s="201"/>
      <c r="BI67" s="201"/>
      <c r="BJ67" s="201"/>
      <c r="BK67" s="201"/>
      <c r="BL67" s="201"/>
      <c r="BM67" s="201"/>
      <c r="BN67" s="201"/>
      <c r="BO67" s="201"/>
      <c r="BP67" s="201"/>
      <c r="BQ67" s="201"/>
      <c r="BR67" s="201"/>
    </row>
    <row r="68" spans="1:70">
      <c r="A68" s="162"/>
      <c r="B68" s="162" t="str">
        <f>Processes!D32</f>
        <v>CDCUMM</v>
      </c>
      <c r="C68" s="162" t="str">
        <f>Processes!E32</f>
        <v xml:space="preserve">Commercial Demand Cooling Urban Multi -  - Medium </v>
      </c>
      <c r="D68" s="127" t="str">
        <f>Commodities!$C$57&amp;","&amp;Commodities!C78</f>
        <v>COMCUMB,COMCUMSM</v>
      </c>
      <c r="E68" s="191" t="str">
        <f>E67</f>
        <v>CCUMB</v>
      </c>
      <c r="G68" s="191"/>
      <c r="H68" s="49" cm="1">
        <f t="array" ref="H68">ROUNDUP(INDEX(Dem!$F$53:$H$56,MATCH(Buildings_DR!$E68,Dem!$B$17:$B$20,0),MATCH(RIGHT(H$51,3),Dem!$F$1:$H$1,0))*_xlfn.IFS(RIGHT($D68,1)="H",$H$48,RIGHT($D68,1)="M",$H$47,RIGHT($D68,1)="L",$H$46),2)</f>
        <v>378.4</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378.4</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378.4</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26">
        <f t="shared" si="109"/>
        <v>227.04</v>
      </c>
      <c r="R68" s="526">
        <f t="shared" si="109"/>
        <v>0</v>
      </c>
      <c r="S68" s="526">
        <f t="shared" si="109"/>
        <v>0</v>
      </c>
      <c r="T68" s="526">
        <f t="shared" si="110"/>
        <v>374.61599999999999</v>
      </c>
      <c r="U68" s="526">
        <f t="shared" si="110"/>
        <v>0</v>
      </c>
      <c r="V68" s="526">
        <f t="shared" si="110"/>
        <v>0</v>
      </c>
      <c r="W68" s="526">
        <f t="shared" si="111"/>
        <v>374.61599999999999</v>
      </c>
      <c r="X68" s="526">
        <f t="shared" si="112"/>
        <v>0</v>
      </c>
      <c r="Y68" s="526">
        <f t="shared" si="113"/>
        <v>0</v>
      </c>
      <c r="Z68" s="526">
        <f t="shared" si="114"/>
        <v>374.61599999999999</v>
      </c>
      <c r="AA68" s="526">
        <f t="shared" si="115"/>
        <v>0</v>
      </c>
      <c r="AB68" s="526">
        <f t="shared" si="116"/>
        <v>0</v>
      </c>
      <c r="AC68" s="526">
        <f t="shared" si="117"/>
        <v>224.7696</v>
      </c>
      <c r="AD68" s="526">
        <f t="shared" si="117"/>
        <v>0</v>
      </c>
      <c r="AE68" s="526">
        <f t="shared" si="117"/>
        <v>0</v>
      </c>
      <c r="AF68" s="526">
        <f t="shared" si="117"/>
        <v>370.86984000000001</v>
      </c>
      <c r="AG68" s="526">
        <f t="shared" si="117"/>
        <v>0</v>
      </c>
      <c r="AH68" s="526">
        <f t="shared" si="117"/>
        <v>0</v>
      </c>
      <c r="AI68" s="520">
        <f>ROUNDUP(SUM(H67:H73)/Cooling!AA9,3)</f>
        <v>312.96599999999995</v>
      </c>
      <c r="AJ68" s="520" t="e">
        <f>ROUNDUP(SUM(I67:I73)/Cooling!AB9,3)</f>
        <v>#DIV/0!</v>
      </c>
      <c r="AK68" s="520" t="e">
        <f>ROUNDUP(SUM(J67:J73)/Cooling!AC9,3)</f>
        <v>#DIV/0!</v>
      </c>
      <c r="AL68" s="520">
        <f>ROUNDUP(SUM(K67:K73)/Cooling!AA13,3)</f>
        <v>303.11499999999995</v>
      </c>
      <c r="AM68" s="520" t="e">
        <f>ROUNDUP(SUM(L67:L73)/Cooling!AB13,3)</f>
        <v>#DIV/0!</v>
      </c>
      <c r="AN68" s="520" t="e">
        <f>ROUNDUP(SUM(M67:M73)/Cooling!AC13,3)</f>
        <v>#DIV/0!</v>
      </c>
      <c r="AO68" s="520">
        <f>ROUNDUP(SUM(N67:N73)/Cooling!AA17,3)</f>
        <v>319.61599999999999</v>
      </c>
      <c r="AP68" s="520" t="e">
        <f>ROUNDUP(SUM(O67:O73)/Cooling!AB17,3)</f>
        <v>#DIV/0!</v>
      </c>
      <c r="AQ68" s="520" t="e">
        <f>ROUNDUP(SUM(P67:P73)/Cooling!AC17,3)</f>
        <v>#DIV/0!</v>
      </c>
      <c r="AR68" s="520">
        <f>AO68</f>
        <v>319.61599999999999</v>
      </c>
      <c r="AS68" s="520" t="e">
        <f>AP68</f>
        <v>#DIV/0!</v>
      </c>
      <c r="AT68" s="520" t="e">
        <f>AQ68</f>
        <v>#DIV/0!</v>
      </c>
      <c r="AU68" s="163">
        <v>1</v>
      </c>
      <c r="AV68" s="162">
        <v>1</v>
      </c>
      <c r="AW68" s="160"/>
      <c r="AX68" s="162"/>
      <c r="AY68" s="162"/>
      <c r="AZ68" s="199"/>
      <c r="BA68" s="202">
        <f t="shared" si="70"/>
        <v>378.4</v>
      </c>
      <c r="BB68" s="202">
        <f t="shared" si="71"/>
        <v>0</v>
      </c>
      <c r="BC68" s="202">
        <f t="shared" si="72"/>
        <v>0</v>
      </c>
      <c r="BD68" s="203">
        <f t="shared" si="96"/>
        <v>1.2090770243413023</v>
      </c>
      <c r="BE68" s="203" t="e">
        <f t="shared" si="97"/>
        <v>#DIV/0!</v>
      </c>
      <c r="BF68" s="203" t="e">
        <f t="shared" si="98"/>
        <v>#DIV/0!</v>
      </c>
      <c r="BH68" s="201"/>
      <c r="BI68" s="201"/>
      <c r="BJ68" s="201"/>
      <c r="BK68" s="201"/>
      <c r="BL68" s="201"/>
      <c r="BM68" s="201"/>
      <c r="BN68" s="201"/>
      <c r="BO68" s="201"/>
      <c r="BP68" s="201"/>
      <c r="BQ68" s="201"/>
      <c r="BR68" s="201"/>
    </row>
    <row r="69" spans="1:70">
      <c r="A69" s="162"/>
      <c r="B69" s="162" t="str">
        <f>Processes!D33</f>
        <v>CDCUMH</v>
      </c>
      <c r="C69" s="162" t="str">
        <f>Processes!E33</f>
        <v xml:space="preserve">Commercial Demand Cooling Urban Multi -  - High </v>
      </c>
      <c r="D69" s="127" t="str">
        <f>Commodities!$C$57&amp;","&amp;Commodities!C79</f>
        <v>COMCUMB,COMCUMSH</v>
      </c>
      <c r="E69" s="191" t="str">
        <f>E68</f>
        <v>CCUMB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26">
        <f t="shared" si="109"/>
        <v>0</v>
      </c>
      <c r="R69" s="526">
        <f t="shared" si="109"/>
        <v>0</v>
      </c>
      <c r="S69" s="526">
        <f t="shared" si="109"/>
        <v>0</v>
      </c>
      <c r="T69" s="526">
        <f t="shared" si="110"/>
        <v>0</v>
      </c>
      <c r="U69" s="526">
        <f t="shared" si="110"/>
        <v>0</v>
      </c>
      <c r="V69" s="526">
        <f t="shared" si="110"/>
        <v>0</v>
      </c>
      <c r="W69" s="526">
        <f t="shared" si="111"/>
        <v>0</v>
      </c>
      <c r="X69" s="526">
        <f t="shared" si="112"/>
        <v>0</v>
      </c>
      <c r="Y69" s="526">
        <f t="shared" si="113"/>
        <v>0</v>
      </c>
      <c r="Z69" s="526">
        <f t="shared" si="114"/>
        <v>0</v>
      </c>
      <c r="AA69" s="526">
        <f t="shared" si="115"/>
        <v>0</v>
      </c>
      <c r="AB69" s="526">
        <f t="shared" si="116"/>
        <v>0</v>
      </c>
      <c r="AC69" s="526">
        <f t="shared" si="117"/>
        <v>0</v>
      </c>
      <c r="AD69" s="526">
        <f t="shared" si="117"/>
        <v>0</v>
      </c>
      <c r="AE69" s="526">
        <f t="shared" si="117"/>
        <v>0</v>
      </c>
      <c r="AF69" s="526">
        <f t="shared" si="117"/>
        <v>0</v>
      </c>
      <c r="AG69" s="526">
        <f t="shared" si="117"/>
        <v>0</v>
      </c>
      <c r="AH69" s="526">
        <f t="shared" si="117"/>
        <v>0</v>
      </c>
      <c r="AI69" s="520">
        <f t="shared" ref="AI69:AQ69" si="119">AI68/2+AI70/2</f>
        <v>324.1815051194539</v>
      </c>
      <c r="AJ69" s="520" t="e">
        <f t="shared" si="119"/>
        <v>#DIV/0!</v>
      </c>
      <c r="AK69" s="520" t="e">
        <f t="shared" si="119"/>
        <v>#DIV/0!</v>
      </c>
      <c r="AL69" s="520">
        <f t="shared" si="119"/>
        <v>319.2560051194539</v>
      </c>
      <c r="AM69" s="520" t="e">
        <f t="shared" si="119"/>
        <v>#DIV/0!</v>
      </c>
      <c r="AN69" s="520" t="e">
        <f t="shared" si="119"/>
        <v>#DIV/0!</v>
      </c>
      <c r="AO69" s="520">
        <f t="shared" si="119"/>
        <v>327.50650511945389</v>
      </c>
      <c r="AP69" s="520" t="e">
        <f t="shared" si="119"/>
        <v>#DIV/0!</v>
      </c>
      <c r="AQ69" s="520" t="e">
        <f t="shared" si="119"/>
        <v>#DIV/0!</v>
      </c>
      <c r="AR69" s="520">
        <f t="shared" ref="AR69:AT69" si="120">AR68/2+AR70/2</f>
        <v>327.50650511945389</v>
      </c>
      <c r="AS69" s="520" t="e">
        <f t="shared" si="120"/>
        <v>#DIV/0!</v>
      </c>
      <c r="AT69" s="520" t="e">
        <f t="shared" si="120"/>
        <v>#DIV/0!</v>
      </c>
      <c r="AU69" s="163">
        <v>1</v>
      </c>
      <c r="AV69" s="162">
        <v>1</v>
      </c>
      <c r="AW69" s="162"/>
      <c r="AX69" s="162"/>
      <c r="AY69" s="162"/>
      <c r="AZ69" s="199"/>
      <c r="BA69" s="202">
        <f t="shared" si="70"/>
        <v>0</v>
      </c>
      <c r="BB69" s="202">
        <f t="shared" si="71"/>
        <v>0</v>
      </c>
      <c r="BC69" s="202">
        <f t="shared" si="72"/>
        <v>0</v>
      </c>
      <c r="BD69" s="203">
        <f t="shared" si="96"/>
        <v>0</v>
      </c>
      <c r="BE69" s="203" t="e">
        <f t="shared" si="97"/>
        <v>#DIV/0!</v>
      </c>
      <c r="BF69" s="203" t="e">
        <f t="shared" si="98"/>
        <v>#DIV/0!</v>
      </c>
      <c r="BH69" s="201"/>
      <c r="BI69" s="201"/>
      <c r="BJ69" s="201"/>
      <c r="BK69" s="201"/>
      <c r="BL69" s="201"/>
      <c r="BM69" s="201"/>
      <c r="BN69" s="201"/>
      <c r="BO69" s="201"/>
      <c r="BP69" s="201"/>
      <c r="BQ69" s="201"/>
      <c r="BR69" s="201"/>
    </row>
    <row r="70" spans="1:70">
      <c r="B70" s="162" t="str">
        <f>Processes!D34</f>
        <v>CDCUMN</v>
      </c>
      <c r="C70" s="162" t="str">
        <f>Processes!E34</f>
        <v xml:space="preserve">Commercial Demand Cooling Urban Multi -  - New </v>
      </c>
      <c r="D70" s="133" t="str">
        <f>Commodities!$C$57</f>
        <v>COMCUMB</v>
      </c>
      <c r="E70" s="191" t="str">
        <f>E69</f>
        <v>CCUMB</v>
      </c>
      <c r="F70" s="156">
        <v>2010</v>
      </c>
      <c r="G70" s="191">
        <v>2010</v>
      </c>
      <c r="H70" s="49"/>
      <c r="I70" s="49"/>
      <c r="J70" s="49"/>
      <c r="K70" s="49"/>
      <c r="L70" s="49"/>
      <c r="M70" s="49"/>
      <c r="N70" s="49"/>
      <c r="O70" s="49"/>
      <c r="P70" s="49"/>
      <c r="Q70" s="526"/>
      <c r="R70" s="526"/>
      <c r="S70" s="526"/>
      <c r="T70" s="526"/>
      <c r="U70" s="526"/>
      <c r="V70" s="526"/>
      <c r="W70" s="526"/>
      <c r="X70" s="526"/>
      <c r="Y70" s="526"/>
      <c r="Z70" s="526"/>
      <c r="AA70" s="526"/>
      <c r="AB70" s="526"/>
      <c r="AC70" s="526"/>
      <c r="AD70" s="526"/>
      <c r="AE70" s="526"/>
      <c r="AF70" s="526"/>
      <c r="AG70" s="526"/>
      <c r="AH70" s="526"/>
      <c r="AI70" s="521">
        <f t="shared" ref="AI70:AQ70" si="121">$AI$68*AI26/$AI$24</f>
        <v>335.39701023890785</v>
      </c>
      <c r="AJ70" s="521">
        <f t="shared" si="121"/>
        <v>335.39701023890785</v>
      </c>
      <c r="AK70" s="521">
        <f t="shared" si="121"/>
        <v>335.39701023890785</v>
      </c>
      <c r="AL70" s="521">
        <f t="shared" si="121"/>
        <v>335.39701023890785</v>
      </c>
      <c r="AM70" s="521">
        <f t="shared" si="121"/>
        <v>335.39701023890785</v>
      </c>
      <c r="AN70" s="521">
        <f t="shared" si="121"/>
        <v>335.39701023890785</v>
      </c>
      <c r="AO70" s="521">
        <f t="shared" si="121"/>
        <v>335.39701023890785</v>
      </c>
      <c r="AP70" s="521">
        <f t="shared" si="121"/>
        <v>335.39701023890785</v>
      </c>
      <c r="AQ70" s="521">
        <f t="shared" si="121"/>
        <v>335.39701023890785</v>
      </c>
      <c r="AR70" s="521">
        <f t="shared" ref="AR70:AT70" si="122">$AI$68*AR26/$AI$24</f>
        <v>335.39701023890785</v>
      </c>
      <c r="AS70" s="521">
        <f t="shared" si="122"/>
        <v>335.39701023890785</v>
      </c>
      <c r="AT70" s="521">
        <f t="shared" si="122"/>
        <v>335.39701023890785</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0"/>
      <c r="E71" s="191"/>
      <c r="F71" s="156">
        <v>2016</v>
      </c>
      <c r="H71" s="49"/>
      <c r="I71" s="49"/>
      <c r="J71" s="49"/>
      <c r="K71" s="49"/>
      <c r="L71" s="49"/>
      <c r="M71" s="49"/>
      <c r="N71" s="49"/>
      <c r="O71" s="49"/>
      <c r="P71" s="49"/>
      <c r="Q71" s="526"/>
      <c r="R71" s="526"/>
      <c r="S71" s="526"/>
      <c r="T71" s="526"/>
      <c r="U71" s="526"/>
      <c r="V71" s="526"/>
      <c r="W71" s="526"/>
      <c r="X71" s="526"/>
      <c r="Y71" s="526"/>
      <c r="Z71" s="526"/>
      <c r="AA71" s="526"/>
      <c r="AB71" s="526"/>
      <c r="AC71" s="526"/>
      <c r="AD71" s="526"/>
      <c r="AE71" s="526"/>
      <c r="AF71" s="526"/>
      <c r="AG71" s="526"/>
      <c r="AH71" s="526"/>
      <c r="AI71" s="521">
        <f t="shared" ref="AI71:AQ71" si="124">$AI$68*AI27/$AI$24</f>
        <v>394.14489419795217</v>
      </c>
      <c r="AJ71" s="521">
        <f t="shared" si="124"/>
        <v>394.14489419795217</v>
      </c>
      <c r="AK71" s="521">
        <f t="shared" si="124"/>
        <v>394.14489419795217</v>
      </c>
      <c r="AL71" s="521">
        <f t="shared" si="124"/>
        <v>394.14489419795217</v>
      </c>
      <c r="AM71" s="521">
        <f t="shared" si="124"/>
        <v>394.14489419795217</v>
      </c>
      <c r="AN71" s="521">
        <f t="shared" si="124"/>
        <v>394.14489419795217</v>
      </c>
      <c r="AO71" s="521">
        <f t="shared" si="124"/>
        <v>394.14489419795217</v>
      </c>
      <c r="AP71" s="521">
        <f t="shared" si="124"/>
        <v>394.14489419795217</v>
      </c>
      <c r="AQ71" s="521">
        <f t="shared" si="124"/>
        <v>394.14489419795217</v>
      </c>
      <c r="AR71" s="521">
        <f t="shared" ref="AR71:AT71" si="125">$AI$68*AR27/$AI$24</f>
        <v>394.14489419795217</v>
      </c>
      <c r="AS71" s="521">
        <f t="shared" si="125"/>
        <v>394.14489419795217</v>
      </c>
      <c r="AT71" s="521">
        <f t="shared" si="125"/>
        <v>394.14489419795217</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0"/>
      <c r="E72" s="191"/>
      <c r="F72" s="156">
        <v>2021</v>
      </c>
      <c r="H72" s="49"/>
      <c r="I72" s="49"/>
      <c r="J72" s="49"/>
      <c r="K72" s="49"/>
      <c r="L72" s="49"/>
      <c r="M72" s="49"/>
      <c r="N72" s="49"/>
      <c r="O72" s="49"/>
      <c r="P72" s="49"/>
      <c r="Q72" s="526"/>
      <c r="R72" s="526"/>
      <c r="S72" s="526"/>
      <c r="T72" s="526"/>
      <c r="U72" s="526"/>
      <c r="V72" s="526"/>
      <c r="W72" s="526"/>
      <c r="X72" s="526"/>
      <c r="Y72" s="526"/>
      <c r="Z72" s="526"/>
      <c r="AA72" s="526"/>
      <c r="AB72" s="526"/>
      <c r="AC72" s="526"/>
      <c r="AD72" s="526"/>
      <c r="AE72" s="526"/>
      <c r="AF72" s="526"/>
      <c r="AG72" s="526"/>
      <c r="AH72" s="526"/>
      <c r="AI72" s="521">
        <f t="shared" ref="AI72:AQ72" si="126">$AI$68*AI28/$AI$24</f>
        <v>649.43115358361774</v>
      </c>
      <c r="AJ72" s="521">
        <f t="shared" si="126"/>
        <v>649.43115358361774</v>
      </c>
      <c r="AK72" s="521">
        <f t="shared" si="126"/>
        <v>649.43115358361774</v>
      </c>
      <c r="AL72" s="521">
        <f t="shared" si="126"/>
        <v>649.43115358361774</v>
      </c>
      <c r="AM72" s="521">
        <f t="shared" si="126"/>
        <v>649.43115358361774</v>
      </c>
      <c r="AN72" s="521">
        <f t="shared" si="126"/>
        <v>649.43115358361774</v>
      </c>
      <c r="AO72" s="521">
        <f t="shared" si="126"/>
        <v>649.43115358361774</v>
      </c>
      <c r="AP72" s="521">
        <f t="shared" si="126"/>
        <v>649.43115358361774</v>
      </c>
      <c r="AQ72" s="521">
        <f t="shared" si="126"/>
        <v>649.43115358361774</v>
      </c>
      <c r="AR72" s="521">
        <f t="shared" ref="AR72:AT72" si="127">$AI$68*AR28/$AI$24</f>
        <v>649.43115358361774</v>
      </c>
      <c r="AS72" s="521">
        <f t="shared" si="127"/>
        <v>649.43115358361774</v>
      </c>
      <c r="AT72" s="521">
        <f t="shared" si="127"/>
        <v>649.43115358361774</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3" thickBot="1">
      <c r="B73" s="162"/>
      <c r="C73" s="162"/>
      <c r="D73" s="550"/>
      <c r="E73" s="212"/>
      <c r="F73" s="164">
        <v>2031</v>
      </c>
      <c r="G73" s="164"/>
      <c r="H73" s="523"/>
      <c r="I73" s="523"/>
      <c r="J73" s="523"/>
      <c r="K73" s="523"/>
      <c r="L73" s="523"/>
      <c r="M73" s="523"/>
      <c r="N73" s="523"/>
      <c r="O73" s="523"/>
      <c r="P73" s="523"/>
      <c r="Q73" s="527"/>
      <c r="R73" s="527"/>
      <c r="S73" s="527"/>
      <c r="T73" s="527"/>
      <c r="U73" s="527"/>
      <c r="V73" s="527"/>
      <c r="W73" s="527"/>
      <c r="X73" s="527"/>
      <c r="Y73" s="527"/>
      <c r="Z73" s="527"/>
      <c r="AA73" s="527"/>
      <c r="AB73" s="527"/>
      <c r="AC73" s="527"/>
      <c r="AD73" s="527"/>
      <c r="AE73" s="527"/>
      <c r="AF73" s="527"/>
      <c r="AG73" s="527"/>
      <c r="AH73" s="527"/>
      <c r="AI73" s="521">
        <f t="shared" ref="AI73:AQ73" si="128">$AI$68*AI29/$AI$24</f>
        <v>741.291481228669</v>
      </c>
      <c r="AJ73" s="521">
        <f t="shared" si="128"/>
        <v>741.291481228669</v>
      </c>
      <c r="AK73" s="521">
        <f t="shared" si="128"/>
        <v>741.291481228669</v>
      </c>
      <c r="AL73" s="521">
        <f t="shared" si="128"/>
        <v>741.291481228669</v>
      </c>
      <c r="AM73" s="521">
        <f t="shared" si="128"/>
        <v>741.291481228669</v>
      </c>
      <c r="AN73" s="521">
        <f t="shared" si="128"/>
        <v>741.291481228669</v>
      </c>
      <c r="AO73" s="521">
        <f t="shared" si="128"/>
        <v>741.291481228669</v>
      </c>
      <c r="AP73" s="521">
        <f t="shared" si="128"/>
        <v>741.291481228669</v>
      </c>
      <c r="AQ73" s="521">
        <f t="shared" si="128"/>
        <v>741.291481228669</v>
      </c>
      <c r="AR73" s="521">
        <f t="shared" ref="AR73:AT73" si="129">$AI$68*AR29/$AI$24</f>
        <v>741.291481228669</v>
      </c>
      <c r="AS73" s="521">
        <f t="shared" si="129"/>
        <v>741.291481228669</v>
      </c>
      <c r="AT73" s="521">
        <f t="shared" si="129"/>
        <v>741.291481228669</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3" thickBot="1">
      <c r="B74" s="165" t="str">
        <f>Processes!D35</f>
        <v>CDCRML</v>
      </c>
      <c r="C74" s="165" t="str">
        <f>Processes!E35</f>
        <v xml:space="preserve">Commercial Demand Cooling Rural Multi -  - Low </v>
      </c>
      <c r="D74" s="127" t="str">
        <f>Commodities!$C$58&amp;","&amp;Commodities!C80</f>
        <v>COMCRMB,COMCRMSL</v>
      </c>
      <c r="E74" s="7" t="str">
        <f>Commodities!C14</f>
        <v>CCRMB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26">
        <f t="shared" ref="Q74:S76" si="130">H74*0.6</f>
        <v>0</v>
      </c>
      <c r="R74" s="526">
        <f t="shared" si="130"/>
        <v>0</v>
      </c>
      <c r="S74" s="526">
        <f t="shared" si="130"/>
        <v>0</v>
      </c>
      <c r="T74" s="526">
        <f t="shared" ref="T74:V76" si="131">H74*0.99</f>
        <v>0</v>
      </c>
      <c r="U74" s="526">
        <f t="shared" si="131"/>
        <v>0</v>
      </c>
      <c r="V74" s="526">
        <f t="shared" si="131"/>
        <v>0</v>
      </c>
      <c r="W74" s="526">
        <f t="shared" ref="W74:W76" si="132">K74*0.99</f>
        <v>0</v>
      </c>
      <c r="X74" s="526">
        <f t="shared" ref="X74:X76" si="133">L74*0.99</f>
        <v>0</v>
      </c>
      <c r="Y74" s="526">
        <f t="shared" ref="Y74:Y76" si="134">M74*0.99</f>
        <v>0</v>
      </c>
      <c r="Z74" s="526">
        <f t="shared" ref="Z74:Z76" si="135">N74*0.99</f>
        <v>0</v>
      </c>
      <c r="AA74" s="526">
        <f t="shared" ref="AA74:AA76" si="136">O74*0.99</f>
        <v>0</v>
      </c>
      <c r="AB74" s="526">
        <f t="shared" ref="AB74:AB76" si="137">P74*0.99</f>
        <v>0</v>
      </c>
      <c r="AC74" s="526">
        <f t="shared" ref="AC74:AH76" si="138">Q74*0.99</f>
        <v>0</v>
      </c>
      <c r="AD74" s="526">
        <f t="shared" si="138"/>
        <v>0</v>
      </c>
      <c r="AE74" s="526">
        <f t="shared" si="138"/>
        <v>0</v>
      </c>
      <c r="AF74" s="526">
        <f t="shared" si="138"/>
        <v>0</v>
      </c>
      <c r="AG74" s="526">
        <f t="shared" si="138"/>
        <v>0</v>
      </c>
      <c r="AH74" s="526">
        <f t="shared" si="138"/>
        <v>0</v>
      </c>
      <c r="AI74" s="519">
        <f t="shared" ref="AI74:AT74" si="139">AI75/2</f>
        <v>154.45649999999998</v>
      </c>
      <c r="AJ74" s="519" t="e">
        <f t="shared" si="139"/>
        <v>#DIV/0!</v>
      </c>
      <c r="AK74" s="519" t="e">
        <f t="shared" si="139"/>
        <v>#DIV/0!</v>
      </c>
      <c r="AL74" s="519">
        <f t="shared" si="139"/>
        <v>149.59449999999998</v>
      </c>
      <c r="AM74" s="519" t="e">
        <f t="shared" si="139"/>
        <v>#DIV/0!</v>
      </c>
      <c r="AN74" s="519" t="e">
        <f t="shared" si="139"/>
        <v>#DIV/0!</v>
      </c>
      <c r="AO74" s="519">
        <f t="shared" si="139"/>
        <v>157.73849999999999</v>
      </c>
      <c r="AP74" s="519" t="e">
        <f t="shared" si="139"/>
        <v>#DIV/0!</v>
      </c>
      <c r="AQ74" s="519" t="e">
        <f t="shared" si="139"/>
        <v>#DIV/0!</v>
      </c>
      <c r="AR74" s="519">
        <f t="shared" si="139"/>
        <v>157.73849999999999</v>
      </c>
      <c r="AS74" s="519" t="e">
        <f t="shared" si="139"/>
        <v>#DIV/0!</v>
      </c>
      <c r="AT74" s="519" t="e">
        <f t="shared" si="139"/>
        <v>#DIV/0!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CDCRMM</v>
      </c>
      <c r="C75" s="162" t="str">
        <f>Processes!E36</f>
        <v xml:space="preserve">Commercial Demand Cooling Rural Multi -  - Medium </v>
      </c>
      <c r="D75" s="127" t="str">
        <f>Commodities!$C$58&amp;","&amp;Commodities!C81</f>
        <v>COMCRMB,COMCRMSM</v>
      </c>
      <c r="E75" s="191" t="str">
        <f>E74</f>
        <v>CCRMB</v>
      </c>
      <c r="F75" s="191"/>
      <c r="G75" s="191"/>
      <c r="H75" s="49" cm="1">
        <f t="array" ref="H75">ROUNDUP(INDEX(Dem!$F$53:$H$56,MATCH(Buildings_DR!$E75,Dem!$B$17:$B$20,0),MATCH(RIGHT(H$51,3),Dem!$F$1:$H$1,0))*_xlfn.IFS(RIGHT($D75,1)="H",$H$48,RIGHT($D75,1)="M",$H$47,RIGHT($D75,1)="L",$H$46),2)</f>
        <v>21.17</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21.17</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21.17</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26">
        <f t="shared" si="130"/>
        <v>12.702</v>
      </c>
      <c r="R75" s="526">
        <f t="shared" si="130"/>
        <v>0</v>
      </c>
      <c r="S75" s="526">
        <f t="shared" si="130"/>
        <v>0</v>
      </c>
      <c r="T75" s="526">
        <f t="shared" si="131"/>
        <v>20.958300000000001</v>
      </c>
      <c r="U75" s="526">
        <f t="shared" si="131"/>
        <v>0</v>
      </c>
      <c r="V75" s="526">
        <f t="shared" si="131"/>
        <v>0</v>
      </c>
      <c r="W75" s="526">
        <f t="shared" si="132"/>
        <v>20.958300000000001</v>
      </c>
      <c r="X75" s="526">
        <f t="shared" si="133"/>
        <v>0</v>
      </c>
      <c r="Y75" s="526">
        <f t="shared" si="134"/>
        <v>0</v>
      </c>
      <c r="Z75" s="526">
        <f t="shared" si="135"/>
        <v>20.958300000000001</v>
      </c>
      <c r="AA75" s="526">
        <f t="shared" si="136"/>
        <v>0</v>
      </c>
      <c r="AB75" s="526">
        <f t="shared" si="137"/>
        <v>0</v>
      </c>
      <c r="AC75" s="526">
        <f t="shared" si="138"/>
        <v>12.57498</v>
      </c>
      <c r="AD75" s="526">
        <f t="shared" si="138"/>
        <v>0</v>
      </c>
      <c r="AE75" s="526">
        <f t="shared" si="138"/>
        <v>0</v>
      </c>
      <c r="AF75" s="526">
        <f t="shared" si="138"/>
        <v>20.748717000000003</v>
      </c>
      <c r="AG75" s="526">
        <f t="shared" si="138"/>
        <v>0</v>
      </c>
      <c r="AH75" s="526">
        <f t="shared" si="138"/>
        <v>0</v>
      </c>
      <c r="AI75" s="520">
        <f>ROUNDUP(SUM(H74:H80)/Cooling!AA10,3)</f>
        <v>308.91299999999995</v>
      </c>
      <c r="AJ75" s="520" t="e">
        <f>ROUNDUP(SUM(I74:I80)/Cooling!AB10,3)</f>
        <v>#DIV/0!</v>
      </c>
      <c r="AK75" s="520" t="e">
        <f>ROUNDUP(SUM(J74:J80)/Cooling!AC10,3)</f>
        <v>#DIV/0!</v>
      </c>
      <c r="AL75" s="520">
        <f>ROUNDUP(SUM(K74:K80)/Cooling!AA14,3)</f>
        <v>299.18899999999996</v>
      </c>
      <c r="AM75" s="520" t="e">
        <f>ROUNDUP(SUM(L74:L80)/Cooling!AB14,3)</f>
        <v>#DIV/0!</v>
      </c>
      <c r="AN75" s="520" t="e">
        <f>ROUNDUP(SUM(M74:M80)/Cooling!AC14,3)</f>
        <v>#DIV/0!</v>
      </c>
      <c r="AO75" s="520">
        <f>ROUNDUP(SUM(N74:N80)/Cooling!AA18,3)</f>
        <v>315.47699999999998</v>
      </c>
      <c r="AP75" s="520" t="e">
        <f>ROUNDUP(SUM(O74:O80)/Cooling!AB18,3)</f>
        <v>#DIV/0!</v>
      </c>
      <c r="AQ75" s="520" t="e">
        <f>ROUNDUP(SUM(P74:P80)/Cooling!AC18,3)</f>
        <v>#DIV/0!</v>
      </c>
      <c r="AR75" s="520">
        <f>AO75</f>
        <v>315.47699999999998</v>
      </c>
      <c r="AS75" s="520" t="e">
        <f>AP75</f>
        <v>#DIV/0!</v>
      </c>
      <c r="AT75" s="520" t="e">
        <f>AQ75</f>
        <v>#DIV/0!</v>
      </c>
      <c r="AU75" s="163">
        <v>1</v>
      </c>
      <c r="AV75" s="162">
        <v>1</v>
      </c>
      <c r="AW75" s="160"/>
      <c r="AX75" s="162"/>
      <c r="AY75" s="162"/>
      <c r="AZ75" s="199"/>
      <c r="BA75" s="202">
        <f t="shared" si="70"/>
        <v>21.17</v>
      </c>
      <c r="BB75" s="202">
        <f t="shared" si="71"/>
        <v>0</v>
      </c>
      <c r="BC75" s="202">
        <f t="shared" si="72"/>
        <v>0</v>
      </c>
      <c r="BD75" s="203">
        <f t="shared" si="140"/>
        <v>6.8530621890305704E-2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CDCRMH</v>
      </c>
      <c r="C76" s="162" t="str">
        <f>Processes!E37</f>
        <v xml:space="preserve">Commercial Demand Cooling Rural Multi -  - High </v>
      </c>
      <c r="D76" s="127" t="str">
        <f>Commodities!$C$58&amp;","&amp;Commodities!C82</f>
        <v>COMCRMB,COMCRMSH</v>
      </c>
      <c r="E76" s="191" t="str">
        <f>E75</f>
        <v>CCRMB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26">
        <f t="shared" si="130"/>
        <v>0</v>
      </c>
      <c r="R76" s="526">
        <f t="shared" si="130"/>
        <v>0</v>
      </c>
      <c r="S76" s="526">
        <f t="shared" si="130"/>
        <v>0</v>
      </c>
      <c r="T76" s="526">
        <f t="shared" si="131"/>
        <v>0</v>
      </c>
      <c r="U76" s="526">
        <f t="shared" si="131"/>
        <v>0</v>
      </c>
      <c r="V76" s="526">
        <f t="shared" si="131"/>
        <v>0</v>
      </c>
      <c r="W76" s="526">
        <f t="shared" si="132"/>
        <v>0</v>
      </c>
      <c r="X76" s="526">
        <f t="shared" si="133"/>
        <v>0</v>
      </c>
      <c r="Y76" s="526">
        <f t="shared" si="134"/>
        <v>0</v>
      </c>
      <c r="Z76" s="526">
        <f t="shared" si="135"/>
        <v>0</v>
      </c>
      <c r="AA76" s="526">
        <f t="shared" si="136"/>
        <v>0</v>
      </c>
      <c r="AB76" s="526">
        <f t="shared" si="137"/>
        <v>0</v>
      </c>
      <c r="AC76" s="526">
        <f t="shared" si="138"/>
        <v>0</v>
      </c>
      <c r="AD76" s="526">
        <f t="shared" si="138"/>
        <v>0</v>
      </c>
      <c r="AE76" s="526">
        <f t="shared" si="138"/>
        <v>0</v>
      </c>
      <c r="AF76" s="526">
        <f t="shared" si="138"/>
        <v>0</v>
      </c>
      <c r="AG76" s="526">
        <f t="shared" si="138"/>
        <v>0</v>
      </c>
      <c r="AH76" s="526">
        <f t="shared" si="138"/>
        <v>0</v>
      </c>
      <c r="AI76" s="520">
        <f t="shared" ref="AI76:AQ76" si="141">AI75/2+AI77/2</f>
        <v>335.42419029850743</v>
      </c>
      <c r="AJ76" s="520" t="e">
        <f t="shared" si="141"/>
        <v>#DIV/0!</v>
      </c>
      <c r="AK76" s="520" t="e">
        <f t="shared" si="141"/>
        <v>#DIV/0!</v>
      </c>
      <c r="AL76" s="520">
        <f t="shared" si="141"/>
        <v>330.5621902985074</v>
      </c>
      <c r="AM76" s="520" t="e">
        <f t="shared" si="141"/>
        <v>#DIV/0!</v>
      </c>
      <c r="AN76" s="520" t="e">
        <f t="shared" si="141"/>
        <v>#DIV/0!</v>
      </c>
      <c r="AO76" s="520">
        <f t="shared" si="141"/>
        <v>338.70619029850741</v>
      </c>
      <c r="AP76" s="520" t="e">
        <f t="shared" si="141"/>
        <v>#DIV/0!</v>
      </c>
      <c r="AQ76" s="520" t="e">
        <f t="shared" si="141"/>
        <v>#DIV/0!</v>
      </c>
      <c r="AR76" s="520">
        <f t="shared" ref="AR76:AT76" si="142">AR75/2+AR77/2</f>
        <v>338.70619029850741</v>
      </c>
      <c r="AS76" s="520" t="e">
        <f t="shared" si="142"/>
        <v>#DIV/0!</v>
      </c>
      <c r="AT76" s="520" t="e">
        <f t="shared" si="142"/>
        <v>#DIV/0!</v>
      </c>
      <c r="AU76" s="163">
        <v>1</v>
      </c>
      <c r="AV76" s="162">
        <v>1</v>
      </c>
      <c r="AW76" s="162"/>
      <c r="AX76" s="162"/>
      <c r="AY76" s="162"/>
      <c r="AZ76" s="199"/>
      <c r="BA76" s="202">
        <f t="shared" si="70"/>
        <v>0</v>
      </c>
      <c r="BB76" s="202">
        <f t="shared" si="71"/>
        <v>0</v>
      </c>
      <c r="BC76" s="202">
        <f t="shared" si="72"/>
        <v>0</v>
      </c>
      <c r="BD76" s="203">
        <f t="shared" si="140"/>
        <v>0</v>
      </c>
      <c r="BE76" s="203" t="e">
        <f t="shared" si="140"/>
        <v>#DIV/0!</v>
      </c>
      <c r="BF76" s="203" t="e">
        <f t="shared" si="140"/>
        <v>#DIV/0!</v>
      </c>
      <c r="BH76" s="201"/>
      <c r="BI76" s="201"/>
      <c r="BJ76" s="201"/>
      <c r="BK76" s="201"/>
      <c r="BL76" s="201"/>
      <c r="BM76" s="201"/>
      <c r="BN76" s="201"/>
      <c r="BO76" s="201"/>
      <c r="BP76" s="201"/>
      <c r="BQ76" s="201"/>
      <c r="BR76" s="201"/>
    </row>
    <row r="77" spans="1:70">
      <c r="B77" s="162" t="str">
        <f>Processes!D38</f>
        <v>CDCRMN</v>
      </c>
      <c r="C77" s="162" t="str">
        <f>Processes!E38</f>
        <v xml:space="preserve">Commercial Demand Cooling Rural Multi -  - New </v>
      </c>
      <c r="D77" s="133" t="str">
        <f>Commodities!$C$58</f>
        <v>COMCRMB</v>
      </c>
      <c r="E77" s="191" t="str">
        <f>E76</f>
        <v>CCRMB</v>
      </c>
      <c r="F77" s="191">
        <v>2010</v>
      </c>
      <c r="G77" s="191">
        <v>2010</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1">
        <f t="shared" ref="AI77:AQ77" si="143">$AI$75*AI33/$AI$31</f>
        <v>361.9353805970149</v>
      </c>
      <c r="AJ77" s="521">
        <f t="shared" si="143"/>
        <v>361.9353805970149</v>
      </c>
      <c r="AK77" s="521">
        <f t="shared" si="143"/>
        <v>361.9353805970149</v>
      </c>
      <c r="AL77" s="521">
        <f t="shared" si="143"/>
        <v>361.9353805970149</v>
      </c>
      <c r="AM77" s="521">
        <f t="shared" si="143"/>
        <v>361.9353805970149</v>
      </c>
      <c r="AN77" s="521">
        <f t="shared" si="143"/>
        <v>361.9353805970149</v>
      </c>
      <c r="AO77" s="521">
        <f t="shared" si="143"/>
        <v>361.9353805970149</v>
      </c>
      <c r="AP77" s="521">
        <f t="shared" si="143"/>
        <v>361.9353805970149</v>
      </c>
      <c r="AQ77" s="521">
        <f t="shared" si="143"/>
        <v>361.9353805970149</v>
      </c>
      <c r="AR77" s="521">
        <f t="shared" ref="AR77:AT77" si="144">$AI$75*AR33/$AI$31</f>
        <v>361.9353805970149</v>
      </c>
      <c r="AS77" s="521">
        <f t="shared" si="144"/>
        <v>361.9353805970149</v>
      </c>
      <c r="AT77" s="521">
        <f t="shared" si="144"/>
        <v>361.9353805970149</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0"/>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1">
        <f t="shared" ref="AI78:AQ78" si="145">$AI$75*AI34/$AI$31</f>
        <v>425.33170522388053</v>
      </c>
      <c r="AJ78" s="521">
        <f t="shared" si="145"/>
        <v>425.33170522388053</v>
      </c>
      <c r="AK78" s="521">
        <f t="shared" si="145"/>
        <v>425.33170522388053</v>
      </c>
      <c r="AL78" s="521">
        <f t="shared" si="145"/>
        <v>425.33170522388053</v>
      </c>
      <c r="AM78" s="521">
        <f t="shared" si="145"/>
        <v>425.33170522388053</v>
      </c>
      <c r="AN78" s="521">
        <f t="shared" si="145"/>
        <v>425.33170522388053</v>
      </c>
      <c r="AO78" s="521">
        <f t="shared" si="145"/>
        <v>425.33170522388053</v>
      </c>
      <c r="AP78" s="521">
        <f t="shared" si="145"/>
        <v>425.33170522388053</v>
      </c>
      <c r="AQ78" s="521">
        <f t="shared" si="145"/>
        <v>425.33170522388053</v>
      </c>
      <c r="AR78" s="521">
        <f t="shared" ref="AR78:AT78" si="146">$AI$75*AR34/$AI$31</f>
        <v>425.33170522388053</v>
      </c>
      <c r="AS78" s="521">
        <f t="shared" si="146"/>
        <v>425.33170522388053</v>
      </c>
      <c r="AT78" s="521">
        <f t="shared" si="146"/>
        <v>425.33170522388053</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0"/>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1">
        <f t="shared" ref="AI79:AQ79" si="147">$AI$75*AI35/$AI$31</f>
        <v>700.81755223880589</v>
      </c>
      <c r="AJ79" s="521">
        <f t="shared" si="147"/>
        <v>700.81755223880589</v>
      </c>
      <c r="AK79" s="521">
        <f t="shared" si="147"/>
        <v>700.81755223880589</v>
      </c>
      <c r="AL79" s="521">
        <f t="shared" si="147"/>
        <v>700.81755223880589</v>
      </c>
      <c r="AM79" s="521">
        <f t="shared" si="147"/>
        <v>700.81755223880589</v>
      </c>
      <c r="AN79" s="521">
        <f t="shared" si="147"/>
        <v>700.81755223880589</v>
      </c>
      <c r="AO79" s="521">
        <f t="shared" si="147"/>
        <v>700.81755223880589</v>
      </c>
      <c r="AP79" s="521">
        <f t="shared" si="147"/>
        <v>700.81755223880589</v>
      </c>
      <c r="AQ79" s="521">
        <f t="shared" si="147"/>
        <v>700.81755223880589</v>
      </c>
      <c r="AR79" s="521">
        <f t="shared" ref="AR79:AT79" si="148">$AI$75*AR35/$AI$31</f>
        <v>700.81755223880589</v>
      </c>
      <c r="AS79" s="521">
        <f t="shared" si="148"/>
        <v>700.81755223880589</v>
      </c>
      <c r="AT79" s="521">
        <f t="shared" si="148"/>
        <v>700.81755223880589</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51"/>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1">
        <f t="shared" ref="AI80:AQ80" si="149">$AI$75*AI36/$AI$31</f>
        <v>799.94635074626865</v>
      </c>
      <c r="AJ80" s="521">
        <f t="shared" si="149"/>
        <v>799.94635074626865</v>
      </c>
      <c r="AK80" s="521">
        <f t="shared" si="149"/>
        <v>799.94635074626865</v>
      </c>
      <c r="AL80" s="521">
        <f t="shared" si="149"/>
        <v>799.94635074626865</v>
      </c>
      <c r="AM80" s="521">
        <f t="shared" si="149"/>
        <v>799.94635074626865</v>
      </c>
      <c r="AN80" s="521">
        <f t="shared" si="149"/>
        <v>799.94635074626865</v>
      </c>
      <c r="AO80" s="521">
        <f t="shared" si="149"/>
        <v>799.94635074626865</v>
      </c>
      <c r="AP80" s="521">
        <f t="shared" si="149"/>
        <v>799.94635074626865</v>
      </c>
      <c r="AQ80" s="521">
        <f t="shared" si="149"/>
        <v>799.94635074626865</v>
      </c>
      <c r="AR80" s="521">
        <f t="shared" ref="AR80:AT80" si="150">$AI$75*AR36/$AI$31</f>
        <v>799.94635074626865</v>
      </c>
      <c r="AS80" s="521">
        <f t="shared" si="150"/>
        <v>799.94635074626865</v>
      </c>
      <c r="AT80" s="521">
        <f t="shared" si="150"/>
        <v>799.94635074626865</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ht="13">
      <c r="B81" s="162"/>
      <c r="C81" s="162"/>
      <c r="D81" s="550"/>
      <c r="E81" s="191"/>
      <c r="F81" s="191"/>
      <c r="G81" s="191"/>
      <c r="AC81" s="156"/>
      <c r="AD81" s="156"/>
      <c r="AE81" s="156"/>
      <c r="AF81" s="190"/>
      <c r="AG81" s="190"/>
      <c r="AH81" s="190"/>
      <c r="AI81" s="190"/>
      <c r="AJ81" s="190"/>
      <c r="AK81" s="190"/>
      <c r="AL81" s="190"/>
      <c r="AM81" s="190"/>
      <c r="AN81" s="190"/>
      <c r="AZ81" s="287" t="s">
        <v>175</v>
      </c>
      <c r="BD81" s="289">
        <f>SUM(Cooling!AA7:AA8)</f>
        <v>3.6174422347443747</v>
      </c>
      <c r="BE81" s="289">
        <f>SUM(Cooling!AB7:AB8)</f>
        <v>0</v>
      </c>
      <c r="BF81" s="289">
        <f>SUM(Cooling!AC7:AC8)</f>
        <v>0</v>
      </c>
      <c r="BG81" s="287"/>
      <c r="BH81" s="201"/>
      <c r="BI81" s="201"/>
      <c r="BJ81" s="201"/>
      <c r="BK81" s="201"/>
      <c r="BL81" s="201"/>
      <c r="BM81" s="201"/>
      <c r="BN81" s="201"/>
      <c r="BO81" s="201"/>
      <c r="BP81" s="201"/>
      <c r="BQ81" s="201"/>
      <c r="BR81" s="201"/>
    </row>
    <row r="82" spans="2:72" ht="13">
      <c r="B82" s="162"/>
      <c r="C82" s="162"/>
      <c r="D82" s="550"/>
      <c r="E82" s="191"/>
      <c r="F82" s="191"/>
      <c r="G82" s="191"/>
      <c r="H82" s="224"/>
      <c r="I82" s="224"/>
      <c r="J82" s="224"/>
      <c r="K82" s="224"/>
      <c r="L82" s="224"/>
      <c r="M82" s="224"/>
      <c r="N82" s="224"/>
      <c r="O82" s="224"/>
      <c r="P82" s="224"/>
      <c r="Q82" s="224"/>
      <c r="R82" s="224"/>
      <c r="S82" s="224"/>
      <c r="T82" s="224"/>
      <c r="U82" s="224"/>
      <c r="V82" s="224"/>
      <c r="W82" s="224"/>
      <c r="X82" s="224"/>
      <c r="Y82" s="224"/>
      <c r="Z82" s="224"/>
      <c r="AA82" s="224"/>
      <c r="AB82" s="224"/>
      <c r="AC82" s="224"/>
      <c r="AD82" s="224"/>
      <c r="AE82" s="224"/>
      <c r="AF82" s="190"/>
      <c r="AG82" s="190"/>
      <c r="AH82" s="190"/>
      <c r="AI82" s="190"/>
      <c r="AJ82" s="190"/>
      <c r="AK82" s="190"/>
      <c r="AL82" s="190"/>
      <c r="AM82" s="190"/>
      <c r="AN82" s="190"/>
      <c r="BD82" s="289">
        <f>SUM(Cooling!X9:X10)</f>
        <v>1.2776081505660104</v>
      </c>
      <c r="BE82" s="289">
        <f>SUM(Cooling!Y9:Y10)</f>
        <v>0</v>
      </c>
      <c r="BF82" s="289">
        <f>SUM(Cooling!Z9:Z10)</f>
        <v>0</v>
      </c>
      <c r="BG82" s="288"/>
      <c r="BH82" s="201"/>
      <c r="BI82" s="201"/>
      <c r="BJ82" s="201"/>
      <c r="BK82" s="201"/>
      <c r="BL82" s="201"/>
      <c r="BM82" s="201"/>
      <c r="BN82" s="201"/>
      <c r="BO82" s="201"/>
      <c r="BP82" s="201"/>
      <c r="BQ82" s="201"/>
      <c r="BR82" s="201"/>
    </row>
    <row r="83" spans="2:72" ht="13">
      <c r="B83" s="162"/>
      <c r="C83" s="162"/>
      <c r="D83" s="550"/>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AO83" s="190"/>
      <c r="AR83" s="190"/>
      <c r="AZ83" s="282" t="s">
        <v>174</v>
      </c>
      <c r="BA83"/>
      <c r="BB83"/>
      <c r="BC83"/>
      <c r="BD83" s="283">
        <f>SUM(BD53:BD66)</f>
        <v>3.6174333334174094</v>
      </c>
      <c r="BE83" s="283" t="e">
        <f>SUM(BE53:BE66)</f>
        <v>#DIV/0!</v>
      </c>
      <c r="BF83" s="283" t="e">
        <f>SUM(BF53:BF66)</f>
        <v>#DIV/0!</v>
      </c>
      <c r="BG83" s="283"/>
      <c r="BH83" s="285"/>
      <c r="BI83" s="201"/>
      <c r="BJ83" s="201"/>
      <c r="BK83" s="201"/>
      <c r="BL83" s="201"/>
      <c r="BM83" s="201"/>
      <c r="BN83" s="201"/>
      <c r="BO83" s="201"/>
      <c r="BP83" s="201"/>
      <c r="BQ83" s="201"/>
      <c r="BR83" s="201"/>
      <c r="BS83" s="201"/>
    </row>
    <row r="84" spans="2:72" ht="13">
      <c r="B84" s="162"/>
      <c r="C84" s="162"/>
      <c r="D84" s="550"/>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225"/>
      <c r="AG84" s="225"/>
      <c r="AH84" s="225"/>
      <c r="AI84" s="225"/>
      <c r="AJ84" s="225"/>
      <c r="AK84" s="225"/>
      <c r="AL84" s="225"/>
      <c r="AM84" s="225"/>
      <c r="AN84" s="225"/>
      <c r="AO84" s="190"/>
      <c r="AP84" s="190"/>
      <c r="AR84" s="190"/>
      <c r="AS84" s="190"/>
      <c r="BD84" s="283">
        <f>SUM(BD67:BD80)</f>
        <v>1.2776076462316079</v>
      </c>
      <c r="BE84" s="283" t="e">
        <f>SUM(BE67:BE80)</f>
        <v>#DIV/0!</v>
      </c>
      <c r="BF84" s="283" t="e">
        <f>SUM(BF67:BF80)</f>
        <v>#DIV/0!</v>
      </c>
      <c r="BG84" s="284"/>
      <c r="BH84" s="283"/>
      <c r="BI84" s="286"/>
      <c r="BJ84" s="201"/>
      <c r="BK84" s="201"/>
      <c r="BL84" s="201"/>
      <c r="BM84" s="201"/>
      <c r="BN84" s="201"/>
      <c r="BO84" s="201"/>
      <c r="BP84" s="201"/>
      <c r="BQ84" s="201"/>
      <c r="BR84" s="201"/>
      <c r="BS84" s="201"/>
      <c r="BT84" s="201"/>
    </row>
    <row r="85" spans="2:72" ht="13">
      <c r="B85" s="162"/>
      <c r="C85" s="162"/>
      <c r="D85" s="550"/>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21">
        <f>BD81-BD83</f>
        <v>8.9013269652937765E-6</v>
      </c>
      <c r="BE85" s="221" t="e">
        <f>BE81-BE83</f>
        <v>#DIV/0!</v>
      </c>
      <c r="BF85" s="221" t="e">
        <f>BF81-BF83</f>
        <v>#DIV/0!</v>
      </c>
      <c r="BG85" s="221"/>
      <c r="BH85" s="221"/>
      <c r="BJ85" s="201"/>
      <c r="BK85" s="201"/>
      <c r="BL85" s="201"/>
      <c r="BM85" s="201"/>
      <c r="BN85" s="201"/>
      <c r="BO85" s="201"/>
      <c r="BP85" s="201"/>
      <c r="BQ85" s="201"/>
      <c r="BR85" s="201"/>
      <c r="BS85" s="201"/>
      <c r="BT85" s="201"/>
    </row>
    <row r="86" spans="2:72">
      <c r="B86" s="162"/>
      <c r="C86" s="162"/>
      <c r="D86" s="550"/>
      <c r="E86" s="191"/>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0"/>
      <c r="AG86" s="190"/>
      <c r="AH86" s="190"/>
      <c r="AI86" s="190"/>
      <c r="AJ86" s="190"/>
      <c r="AK86" s="190"/>
      <c r="AL86" s="190"/>
      <c r="AM86" s="190"/>
      <c r="AN86" s="190"/>
      <c r="AO86" s="190"/>
      <c r="AP86" s="190"/>
      <c r="AR86" s="190"/>
      <c r="AS86" s="190"/>
    </row>
    <row r="87" spans="2:72">
      <c r="B87" s="162"/>
      <c r="C87" s="162"/>
      <c r="D87" s="550"/>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0"/>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0"/>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0"/>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0"/>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0"/>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0"/>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0"/>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0"/>
      <c r="AD94" s="190"/>
      <c r="AE94" s="190"/>
      <c r="AF94" s="190"/>
      <c r="AG94" s="190"/>
      <c r="AH94" s="190"/>
      <c r="AI94" s="190"/>
      <c r="AJ94" s="190"/>
      <c r="AK94" s="190"/>
      <c r="AL94" s="190"/>
      <c r="AM94" s="190"/>
    </row>
    <row r="95" spans="2:72">
      <c r="B95" s="162"/>
      <c r="C95" s="162"/>
      <c r="D95" s="550"/>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0"/>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0"/>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0"/>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0"/>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0"/>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0"/>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0"/>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0"/>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0"/>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0"/>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0"/>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0"/>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0"/>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0"/>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0"/>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0"/>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0"/>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0"/>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0"/>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0"/>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0"/>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0"/>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0"/>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0"/>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0"/>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0"/>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0"/>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0"/>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0"/>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0"/>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0"/>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0"/>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0"/>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0"/>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0"/>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0"/>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0"/>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0"/>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0"/>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0"/>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0"/>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0"/>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0"/>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0"/>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0"/>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0"/>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0"/>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0"/>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0"/>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0"/>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0"/>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0"/>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0"/>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0"/>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0"/>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0"/>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0"/>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0"/>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0"/>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0"/>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0"/>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0"/>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0"/>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0"/>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0"/>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0"/>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0"/>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0"/>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0"/>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0"/>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0"/>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0"/>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0"/>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0"/>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0"/>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0"/>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0"/>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0"/>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0"/>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0"/>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0"/>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0"/>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0"/>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0"/>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0"/>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0"/>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0"/>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0"/>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0"/>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0"/>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0"/>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0"/>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92D050"/>
  </sheetPr>
  <dimension ref="B1:AQ74"/>
  <sheetViews>
    <sheetView topLeftCell="A5" zoomScaleNormal="100" workbookViewId="0">
      <selection activeCell="F41" sqref="F41"/>
    </sheetView>
  </sheetViews>
  <sheetFormatPr defaultColWidth="8.81640625" defaultRowHeight="12.5"/>
  <cols>
    <col min="1" max="1" width="2.81640625" customWidth="1"/>
    <col min="2" max="2" width="10.6328125" customWidth="1"/>
    <col min="3" max="3" width="54" bestFit="1" customWidth="1"/>
    <col min="4" max="4" width="9.453125" style="24" bestFit="1" customWidth="1"/>
    <col min="5" max="5" width="9.1796875" customWidth="1"/>
    <col min="6" max="6" width="12.453125" bestFit="1" customWidth="1"/>
    <col min="7" max="7" width="13.1796875" customWidth="1"/>
    <col min="8" max="8" width="12.453125" customWidth="1"/>
    <col min="9" max="9" width="12.6328125" bestFit="1" customWidth="1"/>
    <col min="10" max="11" width="5.81640625" bestFit="1" customWidth="1"/>
    <col min="12" max="12" width="5.453125" bestFit="1" customWidth="1"/>
    <col min="13" max="13" width="12.36328125" bestFit="1" customWidth="1"/>
    <col min="14" max="15" width="13.6328125" customWidth="1"/>
    <col min="16" max="16" width="6.81640625" bestFit="1" customWidth="1"/>
    <col min="17" max="17" width="12.6328125" bestFit="1" customWidth="1"/>
    <col min="18" max="18" width="5.453125" bestFit="1" customWidth="1"/>
    <col min="19" max="19" width="5.81640625" bestFit="1" customWidth="1"/>
    <col min="20" max="21" width="11.6328125" bestFit="1" customWidth="1"/>
    <col min="22" max="22" width="5.81640625" bestFit="1" customWidth="1"/>
    <col min="23" max="23" width="7" bestFit="1" customWidth="1"/>
    <col min="24" max="24" width="14.81640625" customWidth="1"/>
    <col min="25" max="25" width="10.6328125" bestFit="1" customWidth="1"/>
    <col min="26" max="26" width="5.6328125" bestFit="1" customWidth="1"/>
    <col min="27" max="27" width="6.36328125" bestFit="1" customWidth="1"/>
    <col min="28" max="30" width="6.453125" bestFit="1" customWidth="1"/>
    <col min="31" max="31" width="21.36328125" bestFit="1" customWidth="1"/>
    <col min="32" max="33" width="6.453125" bestFit="1" customWidth="1"/>
    <col min="34" max="35" width="6.1796875" bestFit="1" customWidth="1"/>
    <col min="36" max="38" width="6" bestFit="1" customWidth="1"/>
    <col min="39" max="39" width="5.36328125" bestFit="1" customWidth="1"/>
    <col min="40" max="41" width="5.8164062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ht="13">
      <c r="G2" s="192"/>
      <c r="H2" s="192"/>
      <c r="I2" s="192"/>
      <c r="AG2" s="192"/>
      <c r="AH2" s="192"/>
      <c r="AI2" s="192"/>
      <c r="AJ2" s="192"/>
      <c r="AK2" s="192"/>
      <c r="AL2" s="192"/>
      <c r="AM2" s="192"/>
      <c r="AN2" s="192"/>
      <c r="AO2" s="192"/>
    </row>
    <row r="3" spans="2:43" ht="13">
      <c r="B3" s="5" t="s">
        <v>8</v>
      </c>
      <c r="C3" s="5"/>
    </row>
    <row r="4" spans="2:43" s="10" customFormat="1" ht="13">
      <c r="B4" s="25" t="s">
        <v>4</v>
      </c>
      <c r="C4" s="103" t="s">
        <v>120</v>
      </c>
      <c r="D4" s="103" t="s">
        <v>27</v>
      </c>
      <c r="E4" s="417" t="s">
        <v>94</v>
      </c>
      <c r="F4" s="197" t="s">
        <v>949</v>
      </c>
      <c r="G4" s="197" t="s">
        <v>950</v>
      </c>
      <c r="H4" s="197" t="s">
        <v>961</v>
      </c>
      <c r="I4"/>
      <c r="J4"/>
      <c r="AH4"/>
      <c r="AI4"/>
      <c r="AJ4"/>
      <c r="AK4"/>
      <c r="AL4"/>
      <c r="AM4"/>
      <c r="AN4"/>
      <c r="AO4"/>
      <c r="AP4"/>
      <c r="AQ4"/>
    </row>
    <row r="5" spans="2:43">
      <c r="B5" s="7" t="str">
        <f>Commodities!C7</f>
        <v>CHUDB</v>
      </c>
      <c r="C5" s="464" t="str">
        <f>Commodities!D7</f>
        <v>Commercial Heating Urban Detached Building  Demand</v>
      </c>
      <c r="D5" s="464" t="str">
        <f>Commodities!E7</f>
        <v>Mm2</v>
      </c>
      <c r="E5" s="465">
        <v>2010</v>
      </c>
      <c r="F5" s="9">
        <f>F41</f>
        <v>539.60708248989863</v>
      </c>
      <c r="G5" s="9">
        <f t="shared" ref="G5:H5" si="1">G41</f>
        <v>0</v>
      </c>
      <c r="H5" s="9">
        <f t="shared" si="1"/>
        <v>0</v>
      </c>
    </row>
    <row r="6" spans="2:43">
      <c r="B6" s="7" t="str">
        <f>Commodities!C8</f>
        <v>CHRDB</v>
      </c>
      <c r="C6" s="464" t="str">
        <f>Commodities!D8</f>
        <v>Commercial Heating Rural Detached Building  Demand</v>
      </c>
      <c r="D6" s="464" t="str">
        <f>Commodities!E8</f>
        <v>Mm2</v>
      </c>
      <c r="E6" s="465">
        <v>2010</v>
      </c>
      <c r="F6" s="9">
        <f t="shared" ref="F6:H6" si="2">F42</f>
        <v>410.83200000000005</v>
      </c>
      <c r="G6" s="9">
        <f t="shared" si="2"/>
        <v>0</v>
      </c>
      <c r="H6" s="9">
        <f t="shared" si="2"/>
        <v>0</v>
      </c>
    </row>
    <row r="7" spans="2:43">
      <c r="B7" s="7" t="str">
        <f>Commodities!C9</f>
        <v>CHUMB</v>
      </c>
      <c r="C7" s="464" t="str">
        <f>Commodities!D9</f>
        <v>Commercial Heating Urban Multi Building  Demand</v>
      </c>
      <c r="D7" s="464" t="str">
        <f>Commodities!E9</f>
        <v>Mm2</v>
      </c>
      <c r="E7" s="465">
        <v>2010</v>
      </c>
      <c r="F7" s="9">
        <f t="shared" ref="F7:H7" si="3">F43</f>
        <v>378.39291751010154</v>
      </c>
      <c r="G7" s="9">
        <f t="shared" si="3"/>
        <v>0</v>
      </c>
      <c r="H7" s="9">
        <f t="shared" si="3"/>
        <v>0</v>
      </c>
      <c r="AJ7" s="9"/>
    </row>
    <row r="8" spans="2:43">
      <c r="B8" s="7" t="str">
        <f>Commodities!C10</f>
        <v>CHRMB</v>
      </c>
      <c r="C8" s="464" t="str">
        <f>Commodities!D10</f>
        <v>Commercial Heating Rural Multi Building  Demand</v>
      </c>
      <c r="D8" s="464" t="str">
        <f>Commodities!E10</f>
        <v>Mm2</v>
      </c>
      <c r="E8" s="465">
        <v>2010</v>
      </c>
      <c r="F8" s="9">
        <f t="shared" ref="F8:H8" si="4">F44</f>
        <v>21.167999999999999</v>
      </c>
      <c r="G8" s="9">
        <f t="shared" si="4"/>
        <v>0</v>
      </c>
      <c r="H8" s="9">
        <f t="shared" si="4"/>
        <v>0</v>
      </c>
    </row>
    <row r="9" spans="2:43">
      <c r="B9" s="7" t="str">
        <f t="shared" ref="B9:C12" si="5">B5</f>
        <v>CHUDB</v>
      </c>
      <c r="C9" s="464" t="str">
        <f t="shared" si="5"/>
        <v>Commercial Heating Urban Detached Building  Demand</v>
      </c>
      <c r="D9" s="464" t="str">
        <f>Commodities!E11</f>
        <v>Mm2</v>
      </c>
      <c r="E9" s="465">
        <v>2015</v>
      </c>
      <c r="F9" s="9">
        <f>F45</f>
        <v>539.60708248989863</v>
      </c>
      <c r="G9" s="9">
        <f t="shared" ref="G9:H9" si="6">G45</f>
        <v>0</v>
      </c>
      <c r="H9" s="9">
        <f t="shared" si="6"/>
        <v>0</v>
      </c>
    </row>
    <row r="10" spans="2:43">
      <c r="B10" s="7" t="str">
        <f t="shared" si="5"/>
        <v>CHRDB</v>
      </c>
      <c r="C10" s="464" t="str">
        <f t="shared" si="5"/>
        <v>Commercial Heating Rural Detached Building  Demand</v>
      </c>
      <c r="D10" s="464" t="str">
        <f>Commodities!E12</f>
        <v>Mm2</v>
      </c>
      <c r="E10" s="465">
        <v>2015</v>
      </c>
      <c r="F10" s="9">
        <f t="shared" ref="F10:H10" si="7">F46</f>
        <v>410.83200000000005</v>
      </c>
      <c r="G10" s="9">
        <f t="shared" si="7"/>
        <v>0</v>
      </c>
      <c r="H10" s="9">
        <f t="shared" si="7"/>
        <v>0</v>
      </c>
    </row>
    <row r="11" spans="2:43">
      <c r="B11" s="7" t="str">
        <f t="shared" si="5"/>
        <v>CHUMB</v>
      </c>
      <c r="C11" s="464" t="str">
        <f t="shared" si="5"/>
        <v>Commercial Heating Urban Multi Building  Demand</v>
      </c>
      <c r="D11" s="464" t="str">
        <f>Commodities!E13</f>
        <v>Mm2</v>
      </c>
      <c r="E11" s="465">
        <v>2015</v>
      </c>
      <c r="F11" s="9">
        <f t="shared" ref="F11:H11" si="8">F47</f>
        <v>378.39291751010154</v>
      </c>
      <c r="G11" s="9">
        <f t="shared" si="8"/>
        <v>0</v>
      </c>
      <c r="H11" s="9">
        <f t="shared" si="8"/>
        <v>0</v>
      </c>
    </row>
    <row r="12" spans="2:43">
      <c r="B12" s="7" t="str">
        <f t="shared" si="5"/>
        <v>CHRMB</v>
      </c>
      <c r="C12" s="464" t="str">
        <f t="shared" si="5"/>
        <v>Commercial Heating Rural Multi Building  Demand</v>
      </c>
      <c r="D12" s="464" t="str">
        <f>Commodities!E14</f>
        <v>Mm2</v>
      </c>
      <c r="E12" s="465">
        <v>2015</v>
      </c>
      <c r="F12" s="9">
        <f t="shared" ref="F12:H12" si="9">F48</f>
        <v>21.167999999999999</v>
      </c>
      <c r="G12" s="9">
        <f t="shared" si="9"/>
        <v>0</v>
      </c>
      <c r="H12" s="9">
        <f t="shared" si="9"/>
        <v>0</v>
      </c>
    </row>
    <row r="13" spans="2:43">
      <c r="B13" s="7" t="str">
        <f t="shared" ref="B13:D16" si="10">B5</f>
        <v>CHUDB</v>
      </c>
      <c r="C13" s="464" t="str">
        <f t="shared" si="10"/>
        <v>Commercial Heating Urban Detached Building  Demand</v>
      </c>
      <c r="D13" s="464" t="str">
        <f t="shared" si="10"/>
        <v>Mm2</v>
      </c>
      <c r="E13" s="465">
        <v>2017</v>
      </c>
      <c r="F13" s="9">
        <f>F49</f>
        <v>539.60708248989863</v>
      </c>
      <c r="G13" s="9">
        <f t="shared" ref="G13:H13" si="11">G49</f>
        <v>0</v>
      </c>
      <c r="H13" s="9">
        <f t="shared" si="11"/>
        <v>0</v>
      </c>
      <c r="L13" s="570"/>
      <c r="M13" s="570"/>
      <c r="N13" s="570"/>
    </row>
    <row r="14" spans="2:43">
      <c r="B14" s="7" t="str">
        <f t="shared" si="10"/>
        <v>CHRDB</v>
      </c>
      <c r="C14" s="464" t="str">
        <f t="shared" si="10"/>
        <v>Commercial Heating Rural Detached Building  Demand</v>
      </c>
      <c r="D14" s="464" t="str">
        <f t="shared" si="10"/>
        <v>Mm2</v>
      </c>
      <c r="E14" s="465">
        <v>2017</v>
      </c>
      <c r="F14" s="9">
        <f t="shared" ref="F14:H14" si="12">F50</f>
        <v>410.83200000000005</v>
      </c>
      <c r="G14" s="9">
        <f t="shared" si="12"/>
        <v>0</v>
      </c>
      <c r="H14" s="9">
        <f t="shared" si="12"/>
        <v>0</v>
      </c>
      <c r="L14" s="570"/>
      <c r="M14" s="570"/>
      <c r="N14" s="570"/>
    </row>
    <row r="15" spans="2:43">
      <c r="B15" s="7" t="str">
        <f t="shared" si="10"/>
        <v>CHUMB</v>
      </c>
      <c r="C15" s="464" t="str">
        <f t="shared" si="10"/>
        <v>Commercial Heating Urban Multi Building  Demand</v>
      </c>
      <c r="D15" s="464" t="str">
        <f t="shared" si="10"/>
        <v>Mm2</v>
      </c>
      <c r="E15" s="465">
        <v>2017</v>
      </c>
      <c r="F15" s="9">
        <f t="shared" ref="F15:H15" si="13">F51</f>
        <v>378.39291751010154</v>
      </c>
      <c r="G15" s="9">
        <f t="shared" si="13"/>
        <v>0</v>
      </c>
      <c r="H15" s="9">
        <f t="shared" si="13"/>
        <v>0</v>
      </c>
      <c r="L15" s="570"/>
      <c r="M15" s="570"/>
      <c r="N15" s="570"/>
    </row>
    <row r="16" spans="2:43">
      <c r="B16" s="7" t="str">
        <f t="shared" si="10"/>
        <v>CHRMB</v>
      </c>
      <c r="C16" s="464" t="str">
        <f t="shared" si="10"/>
        <v>Commercial Heating Rural Multi Building  Demand</v>
      </c>
      <c r="D16" s="464" t="str">
        <f t="shared" si="10"/>
        <v>Mm2</v>
      </c>
      <c r="E16" s="465">
        <v>2017</v>
      </c>
      <c r="F16" s="9">
        <f t="shared" ref="F16:H16" si="14">F52</f>
        <v>21.167999999999999</v>
      </c>
      <c r="G16" s="9">
        <f t="shared" si="14"/>
        <v>0</v>
      </c>
      <c r="H16" s="9">
        <f t="shared" si="14"/>
        <v>0</v>
      </c>
      <c r="L16" s="570"/>
      <c r="M16" s="570"/>
      <c r="N16" s="570"/>
    </row>
    <row r="17" spans="2:8">
      <c r="B17" s="7" t="str">
        <f>Commodities!C11</f>
        <v>CCUDB</v>
      </c>
      <c r="C17" s="104" t="str">
        <f>Commodities!D11</f>
        <v>Commercial Cooling Urban Detached Building  Demand</v>
      </c>
      <c r="D17" s="104" t="str">
        <f>Commodities!E11</f>
        <v>Mm2</v>
      </c>
      <c r="E17" s="418">
        <v>2010</v>
      </c>
      <c r="F17" s="9">
        <f t="shared" ref="F17:H17" si="15">F53</f>
        <v>539.60708248989863</v>
      </c>
      <c r="G17" s="9">
        <f t="shared" si="15"/>
        <v>0</v>
      </c>
      <c r="H17" s="9">
        <f t="shared" si="15"/>
        <v>0</v>
      </c>
    </row>
    <row r="18" spans="2:8">
      <c r="B18" s="7" t="str">
        <f>Commodities!C12</f>
        <v>CCRDB</v>
      </c>
      <c r="C18" s="104" t="str">
        <f>Commodities!D12</f>
        <v>Commercial Cooling Rural Detached Building  Demand</v>
      </c>
      <c r="D18" s="104" t="str">
        <f>Commodities!E12</f>
        <v>Mm2</v>
      </c>
      <c r="E18" s="418">
        <v>2010</v>
      </c>
      <c r="F18" s="9">
        <f t="shared" ref="F18:H18" si="16">F54</f>
        <v>410.83200000000005</v>
      </c>
      <c r="G18" s="9">
        <f t="shared" si="16"/>
        <v>0</v>
      </c>
      <c r="H18" s="9">
        <f t="shared" si="16"/>
        <v>0</v>
      </c>
    </row>
    <row r="19" spans="2:8">
      <c r="B19" s="7" t="str">
        <f>Commodities!C13</f>
        <v>CCUMB</v>
      </c>
      <c r="C19" s="104" t="str">
        <f>Commodities!D13</f>
        <v>Commercial Cooling Urban Multi Building  Demand</v>
      </c>
      <c r="D19" s="104" t="str">
        <f>Commodities!E13</f>
        <v>Mm2</v>
      </c>
      <c r="E19" s="418">
        <v>2010</v>
      </c>
      <c r="F19" s="9">
        <f t="shared" ref="F19:H19" si="17">F55</f>
        <v>378.39291751010154</v>
      </c>
      <c r="G19" s="9">
        <f t="shared" si="17"/>
        <v>0</v>
      </c>
      <c r="H19" s="9">
        <f t="shared" si="17"/>
        <v>0</v>
      </c>
    </row>
    <row r="20" spans="2:8">
      <c r="B20" s="7" t="str">
        <f>Commodities!C14</f>
        <v>CCRMB</v>
      </c>
      <c r="C20" s="104" t="str">
        <f>Commodities!D14</f>
        <v>Commercial Cooling Rural Multi Building  Demand</v>
      </c>
      <c r="D20" s="104" t="str">
        <f>Commodities!E14</f>
        <v>Mm2</v>
      </c>
      <c r="E20" s="418">
        <v>2010</v>
      </c>
      <c r="F20" s="9">
        <f t="shared" ref="F20:H20" si="18">F56</f>
        <v>21.167999999999999</v>
      </c>
      <c r="G20" s="9">
        <f t="shared" si="18"/>
        <v>0</v>
      </c>
      <c r="H20" s="9">
        <f t="shared" si="18"/>
        <v>0</v>
      </c>
    </row>
    <row r="21" spans="2:8">
      <c r="B21" s="7" t="str">
        <f t="shared" ref="B21:D24" si="19">B17</f>
        <v>CCUDB</v>
      </c>
      <c r="C21" s="104" t="str">
        <f t="shared" si="19"/>
        <v>Commercial Cooling Urban Detached Building  Demand</v>
      </c>
      <c r="D21" s="104" t="str">
        <f t="shared" si="19"/>
        <v>Mm2</v>
      </c>
      <c r="E21" s="418">
        <v>2015</v>
      </c>
      <c r="F21" s="9">
        <f t="shared" ref="F21:H21" si="20">F57</f>
        <v>539.60708248989863</v>
      </c>
      <c r="G21" s="9">
        <f t="shared" si="20"/>
        <v>0</v>
      </c>
      <c r="H21" s="9">
        <f t="shared" si="20"/>
        <v>0</v>
      </c>
    </row>
    <row r="22" spans="2:8">
      <c r="B22" s="7" t="str">
        <f t="shared" si="19"/>
        <v>CCRDB</v>
      </c>
      <c r="C22" s="104" t="str">
        <f t="shared" si="19"/>
        <v>Commercial Cooling Rural Detached Building  Demand</v>
      </c>
      <c r="D22" s="104" t="str">
        <f t="shared" si="19"/>
        <v>Mm2</v>
      </c>
      <c r="E22" s="418">
        <v>2015</v>
      </c>
      <c r="F22" s="9">
        <f t="shared" ref="F22:H22" si="21">F58</f>
        <v>410.83200000000005</v>
      </c>
      <c r="G22" s="9">
        <f t="shared" si="21"/>
        <v>0</v>
      </c>
      <c r="H22" s="9">
        <f t="shared" si="21"/>
        <v>0</v>
      </c>
    </row>
    <row r="23" spans="2:8">
      <c r="B23" s="7" t="str">
        <f t="shared" si="19"/>
        <v>CCUMB</v>
      </c>
      <c r="C23" s="104" t="str">
        <f t="shared" si="19"/>
        <v>Commercial Cooling Urban Multi Building  Demand</v>
      </c>
      <c r="D23" s="104" t="str">
        <f t="shared" si="19"/>
        <v>Mm2</v>
      </c>
      <c r="E23" s="418">
        <v>2015</v>
      </c>
      <c r="F23" s="9">
        <f t="shared" ref="F23:H23" si="22">F59</f>
        <v>378.39291751010154</v>
      </c>
      <c r="G23" s="9">
        <f t="shared" si="22"/>
        <v>0</v>
      </c>
      <c r="H23" s="9">
        <f t="shared" si="22"/>
        <v>0</v>
      </c>
    </row>
    <row r="24" spans="2:8">
      <c r="B24" s="7" t="str">
        <f t="shared" si="19"/>
        <v>CCRMB</v>
      </c>
      <c r="C24" s="104" t="str">
        <f t="shared" si="19"/>
        <v>Commercial Cooling Rural Multi Building  Demand</v>
      </c>
      <c r="D24" s="104" t="str">
        <f t="shared" si="19"/>
        <v>Mm2</v>
      </c>
      <c r="E24" s="418">
        <v>2015</v>
      </c>
      <c r="F24" s="9">
        <f t="shared" ref="F24:H24" si="23">F60</f>
        <v>21.167999999999999</v>
      </c>
      <c r="G24" s="9">
        <f t="shared" si="23"/>
        <v>0</v>
      </c>
      <c r="H24" s="9">
        <f t="shared" si="23"/>
        <v>0</v>
      </c>
    </row>
    <row r="25" spans="2:8">
      <c r="B25" s="7" t="str">
        <f t="shared" ref="B25:D28" si="24">B17</f>
        <v>CCUDB</v>
      </c>
      <c r="C25" s="104" t="str">
        <f t="shared" si="24"/>
        <v>Commercial Cooling Urban Detached Building  Demand</v>
      </c>
      <c r="D25" s="104" t="str">
        <f t="shared" si="24"/>
        <v>Mm2</v>
      </c>
      <c r="E25" s="418">
        <v>2017</v>
      </c>
      <c r="F25" s="9">
        <f t="shared" ref="F25:H25" si="25">F61</f>
        <v>539.60708248989863</v>
      </c>
      <c r="G25" s="9">
        <f t="shared" si="25"/>
        <v>0</v>
      </c>
      <c r="H25" s="9">
        <f t="shared" si="25"/>
        <v>0</v>
      </c>
    </row>
    <row r="26" spans="2:8">
      <c r="B26" s="7" t="str">
        <f t="shared" si="24"/>
        <v>CCRDB</v>
      </c>
      <c r="C26" s="104" t="str">
        <f t="shared" si="24"/>
        <v>Commercial Cooling Rural Detached Building  Demand</v>
      </c>
      <c r="D26" s="104" t="str">
        <f t="shared" si="24"/>
        <v>Mm2</v>
      </c>
      <c r="E26" s="418">
        <v>2017</v>
      </c>
      <c r="F26" s="9">
        <f t="shared" ref="F26:H26" si="26">F62</f>
        <v>410.83200000000005</v>
      </c>
      <c r="G26" s="9">
        <f t="shared" si="26"/>
        <v>0</v>
      </c>
      <c r="H26" s="9">
        <f t="shared" si="26"/>
        <v>0</v>
      </c>
    </row>
    <row r="27" spans="2:8">
      <c r="B27" s="7" t="str">
        <f t="shared" si="24"/>
        <v>CCUMB</v>
      </c>
      <c r="C27" s="104" t="str">
        <f t="shared" si="24"/>
        <v>Commercial Cooling Urban Multi Building  Demand</v>
      </c>
      <c r="D27" s="104" t="str">
        <f t="shared" si="24"/>
        <v>Mm2</v>
      </c>
      <c r="E27" s="418">
        <v>2017</v>
      </c>
      <c r="F27" s="9">
        <f t="shared" ref="F27:H27" si="27">F63</f>
        <v>378.39291751010154</v>
      </c>
      <c r="G27" s="9">
        <f t="shared" si="27"/>
        <v>0</v>
      </c>
      <c r="H27" s="9">
        <f t="shared" si="27"/>
        <v>0</v>
      </c>
    </row>
    <row r="28" spans="2:8">
      <c r="B28" s="7" t="str">
        <f t="shared" si="24"/>
        <v>CCRMB</v>
      </c>
      <c r="C28" s="104" t="str">
        <f t="shared" si="24"/>
        <v>Commercial Cooling Rural Multi Building  Demand</v>
      </c>
      <c r="D28" s="104" t="str">
        <f t="shared" si="24"/>
        <v>Mm2</v>
      </c>
      <c r="E28" s="418">
        <v>2017</v>
      </c>
      <c r="F28" s="9">
        <f t="shared" ref="F28:H28" si="28">F64</f>
        <v>21.167999999999999</v>
      </c>
      <c r="G28" s="9">
        <f t="shared" si="28"/>
        <v>0</v>
      </c>
      <c r="H28" s="9">
        <f t="shared" si="28"/>
        <v>0</v>
      </c>
    </row>
    <row r="29" spans="2:8">
      <c r="B29" s="3" t="str">
        <f>Commodities!$C$15</f>
        <v>CWDEM</v>
      </c>
      <c r="C29" s="492" t="s">
        <v>178</v>
      </c>
      <c r="D29" s="498" t="s">
        <v>44</v>
      </c>
      <c r="E29" s="493">
        <v>2010</v>
      </c>
      <c r="F29" s="9">
        <f>F65</f>
        <v>155.1866234786728</v>
      </c>
      <c r="G29" s="9">
        <f t="shared" ref="G29:H30" si="29">G65</f>
        <v>0</v>
      </c>
      <c r="H29" s="9">
        <f t="shared" si="29"/>
        <v>0</v>
      </c>
    </row>
    <row r="30" spans="2:8">
      <c r="B30" s="3" t="str">
        <f>Commodities!$C$15</f>
        <v>CWDEM</v>
      </c>
      <c r="C30" s="492" t="s">
        <v>178</v>
      </c>
      <c r="D30" s="498" t="s">
        <v>44</v>
      </c>
      <c r="E30" s="493">
        <v>2015</v>
      </c>
      <c r="F30" s="9">
        <f>F66</f>
        <v>135.23713694706692</v>
      </c>
      <c r="G30" s="9">
        <f t="shared" si="29"/>
        <v>0</v>
      </c>
      <c r="H30" s="9">
        <f t="shared" si="29"/>
        <v>0</v>
      </c>
    </row>
    <row r="31" spans="2:8">
      <c r="B31" s="3" t="str">
        <f>B29</f>
        <v>CWDEM</v>
      </c>
      <c r="C31" s="492" t="s">
        <v>178</v>
      </c>
      <c r="D31" s="498" t="s">
        <v>44</v>
      </c>
      <c r="E31" s="493">
        <v>2018</v>
      </c>
      <c r="F31" s="9">
        <f t="shared" ref="F31:H31" si="30">F67</f>
        <v>139.29249687236398</v>
      </c>
      <c r="G31" s="9">
        <f t="shared" si="30"/>
        <v>0</v>
      </c>
      <c r="H31" s="9">
        <f t="shared" si="30"/>
        <v>0</v>
      </c>
    </row>
    <row r="32" spans="2:8">
      <c r="B32" s="3" t="str">
        <f>Commodities!$C$16</f>
        <v>CADEM</v>
      </c>
      <c r="C32" s="494" t="s">
        <v>179</v>
      </c>
      <c r="D32" s="499" t="s">
        <v>44</v>
      </c>
      <c r="E32" s="495">
        <v>2010</v>
      </c>
      <c r="F32" s="9">
        <f t="shared" ref="F32:H33" si="31">F68</f>
        <v>251.06169229340028</v>
      </c>
      <c r="G32" s="9">
        <f t="shared" si="31"/>
        <v>0</v>
      </c>
      <c r="H32" s="9">
        <f t="shared" si="31"/>
        <v>0</v>
      </c>
    </row>
    <row r="33" spans="2:28">
      <c r="B33" s="3" t="str">
        <f>Commodities!$C$16</f>
        <v>CADEM</v>
      </c>
      <c r="C33" s="494" t="s">
        <v>179</v>
      </c>
      <c r="D33" s="499" t="s">
        <v>44</v>
      </c>
      <c r="E33" s="495">
        <v>2015</v>
      </c>
      <c r="F33" s="9">
        <f t="shared" si="31"/>
        <v>259.22129859730302</v>
      </c>
      <c r="G33" s="9">
        <f t="shared" si="31"/>
        <v>0</v>
      </c>
      <c r="H33" s="9">
        <f t="shared" si="31"/>
        <v>0</v>
      </c>
    </row>
    <row r="34" spans="2:28">
      <c r="B34" s="3" t="str">
        <f>B32</f>
        <v>CADEM</v>
      </c>
      <c r="C34" s="494" t="s">
        <v>179</v>
      </c>
      <c r="D34" s="499" t="s">
        <v>44</v>
      </c>
      <c r="E34" s="495">
        <v>2018</v>
      </c>
      <c r="F34" s="9">
        <f t="shared" ref="F34:H34" si="32">F70</f>
        <v>245.83807074083413</v>
      </c>
      <c r="G34" s="9">
        <f t="shared" si="32"/>
        <v>0</v>
      </c>
      <c r="H34" s="9">
        <f t="shared" si="32"/>
        <v>0</v>
      </c>
    </row>
    <row r="35" spans="2:28">
      <c r="B35" s="3" t="str">
        <f>Commodities!$C$17</f>
        <v>CFDEM</v>
      </c>
      <c r="C35" s="496" t="s">
        <v>177</v>
      </c>
      <c r="D35" s="500" t="s">
        <v>44</v>
      </c>
      <c r="E35" s="497">
        <v>2010</v>
      </c>
      <c r="F35" s="9">
        <f t="shared" ref="F35:H36" si="33">F71</f>
        <v>143.67324778105569</v>
      </c>
      <c r="G35" s="9">
        <f t="shared" si="33"/>
        <v>0</v>
      </c>
      <c r="H35" s="9">
        <f t="shared" si="33"/>
        <v>0</v>
      </c>
    </row>
    <row r="36" spans="2:28">
      <c r="B36" s="3" t="str">
        <f>Commodities!$C$17</f>
        <v>CFDEM</v>
      </c>
      <c r="C36" s="496" t="s">
        <v>177</v>
      </c>
      <c r="D36" s="500" t="s">
        <v>44</v>
      </c>
      <c r="E36" s="497">
        <v>2015</v>
      </c>
      <c r="F36" s="9">
        <f t="shared" si="33"/>
        <v>148.49514919050537</v>
      </c>
      <c r="G36" s="9">
        <f t="shared" si="33"/>
        <v>0</v>
      </c>
      <c r="H36" s="9">
        <f t="shared" si="33"/>
        <v>0</v>
      </c>
    </row>
    <row r="37" spans="2:28">
      <c r="B37" s="3" t="str">
        <f>B35</f>
        <v>CFDEM</v>
      </c>
      <c r="C37" s="496" t="s">
        <v>177</v>
      </c>
      <c r="D37" s="500" t="s">
        <v>44</v>
      </c>
      <c r="E37" s="497">
        <v>2018</v>
      </c>
      <c r="F37" s="9">
        <f t="shared" ref="F37:H37" si="34">F73</f>
        <v>141.03189501198881</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751</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539.60708248989863</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410.83200000000005</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378.39291751010154</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21.167999999999999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539.60708248989863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410.83200000000005</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378.39291751010154</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21.167999999999999</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539.60708248989863</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410.83200000000005</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378.39291751010154</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21.167999999999999</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539.60708248989863</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410.83200000000005</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378.39291751010154</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21.167999999999999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539.60708248989863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410.83200000000005</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378.39291751010154</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21.167999999999999</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539.60708248989863</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410.83200000000005</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378.39291751010154</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21.167999999999999</v>
      </c>
      <c r="G64" s="23">
        <f>SUMIFS('Data manipulation'!$W$5:$AF$5,Sources!$D$13:$M$13,Dem!$E28)*'Data manipulation'!Y24</f>
        <v>0</v>
      </c>
      <c r="H64" s="23">
        <f>SUMIFS('Data manipulation'!$W$5:$AF$5,Sources!$D$13:$M$13,Dem!$E28)*'Data manipulation'!Z24</f>
        <v>0</v>
      </c>
    </row>
    <row r="65" spans="4:8">
      <c r="D65"/>
      <c r="F65" s="23">
        <f>SUM('Appliances&amp;Cooking'!Y45:Y52)</f>
        <v>155.1866234786728</v>
      </c>
      <c r="G65" s="23">
        <f>SUM('Appliances&amp;Cooking'!Z45:Z46)</f>
        <v>0</v>
      </c>
      <c r="H65" s="23">
        <f>SUM('Appliances&amp;Cooking'!AA45:AA46)</f>
        <v>0</v>
      </c>
    </row>
    <row r="66" spans="4:8">
      <c r="F66" s="23">
        <f>SUM('Appliances&amp;Cooking'!Y53:Y60)</f>
        <v>135.23713694706692</v>
      </c>
      <c r="G66" s="23">
        <f>SUM('Appliances&amp;Cooking'!Z53:Z54)</f>
        <v>0</v>
      </c>
      <c r="H66" s="23">
        <f>SUM('Appliances&amp;Cooking'!AA53:AA54)</f>
        <v>0</v>
      </c>
    </row>
    <row r="67" spans="4:8">
      <c r="F67" s="23">
        <f>SUM('Appliances&amp;Cooking'!Y61:Y68)</f>
        <v>139.29249687236398</v>
      </c>
      <c r="G67" s="23">
        <f>SUM('Appliances&amp;Cooking'!Z61:Z62)</f>
        <v>0</v>
      </c>
      <c r="H67" s="23">
        <f>SUM('Appliances&amp;Cooking'!AA61:AA62)</f>
        <v>0</v>
      </c>
    </row>
    <row r="68" spans="4:8">
      <c r="F68" s="23">
        <f>SUM('Appliances&amp;Cooking'!Y30:Y31)</f>
        <v>251.06169229340028</v>
      </c>
      <c r="G68" s="23">
        <f>SUM('Appliances&amp;Cooking'!Z30:Z31)</f>
        <v>0</v>
      </c>
      <c r="H68" s="23">
        <f>SUM('Appliances&amp;Cooking'!AA30:AA31)</f>
        <v>0</v>
      </c>
    </row>
    <row r="69" spans="4:8">
      <c r="F69" s="23">
        <f>SUM('Appliances&amp;Cooking'!Y32:Y33)</f>
        <v>259.22129859730302</v>
      </c>
      <c r="G69" s="23">
        <f>SUM('Appliances&amp;Cooking'!Z32:Z33)</f>
        <v>0</v>
      </c>
      <c r="H69" s="23">
        <f>SUM('Appliances&amp;Cooking'!AA32:AA33)</f>
        <v>0</v>
      </c>
    </row>
    <row r="70" spans="4:8">
      <c r="F70" s="23">
        <f>SUM('Appliances&amp;Cooking'!Y34:Y35)</f>
        <v>245.83807074083413</v>
      </c>
      <c r="G70" s="23">
        <f>SUM('Appliances&amp;Cooking'!Z34:Z35)</f>
        <v>0</v>
      </c>
      <c r="H70" s="23">
        <f>SUM('Appliances&amp;Cooking'!AA34:AA35)</f>
        <v>0</v>
      </c>
    </row>
    <row r="71" spans="4:8">
      <c r="F71" s="23">
        <f>SUM('Appliances&amp;Cooking'!Y7:Y10)</f>
        <v>143.67324778105569</v>
      </c>
      <c r="G71" s="23">
        <f>SUM('Appliances&amp;Cooking'!Z7:Z8)</f>
        <v>0</v>
      </c>
      <c r="H71" s="23">
        <f>SUM('Appliances&amp;Cooking'!AA7:AA8)</f>
        <v>0</v>
      </c>
    </row>
    <row r="72" spans="4:8">
      <c r="F72" s="23">
        <f>SUM('Appliances&amp;Cooking'!Y11:Y14)</f>
        <v>148.49514919050537</v>
      </c>
      <c r="G72" s="23">
        <f>SUM('Appliances&amp;Cooking'!Z11:Z12)</f>
        <v>0</v>
      </c>
      <c r="H72" s="23">
        <f>SUM('Appliances&amp;Cooking'!AA11:AA12)</f>
        <v>0</v>
      </c>
    </row>
    <row r="73" spans="4:8">
      <c r="F73" s="23">
        <f>SUM('Appliances&amp;Cooking'!Y15:Y18)</f>
        <v>141.03189501198881</v>
      </c>
      <c r="G73" s="23">
        <f>SUM('Appliances&amp;Cooking'!Z15:Z16)</f>
        <v>0</v>
      </c>
      <c r="H73" s="23">
        <f>SUM('Appliances&amp;Cooking'!AA15:AA16)</f>
        <v>0</v>
      </c>
    </row>
    <row r="74" spans="4:8">
      <c r="F74" s="6"/>
      <c r="G74" s="6"/>
      <c r="H74" s="6"/>
    </row>
  </sheetData>
  <phoneticPr fontId="29" type="noConversion"/>
  <pageMargins left="0.75" right="0.75" top="1" bottom="1" header="0.5" footer="0.5"/>
  <pageSetup paperSize="9" orientation="portrait"/>
  <headerFooter alignWithMargins="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theme="6" tint="0.39997558519241921"/>
  </sheetPr>
  <dimension ref="B2:G11"/>
  <sheetViews>
    <sheetView zoomScaleNormal="100" workbookViewId="0">
      <selection activeCell="E6" sqref="E6"/>
    </sheetView>
  </sheetViews>
  <sheetFormatPr defaultColWidth="8.81640625" defaultRowHeight="12.5"/>
  <cols>
    <col min="2" max="2" width="30.6328125" bestFit="1" customWidth="1"/>
    <col min="3" max="3" width="7.6328125" bestFit="1" customWidth="1"/>
    <col min="4" max="4" width="6.453125" bestFit="1" customWidth="1"/>
  </cols>
  <sheetData>
    <row r="2" spans="2:7" ht="13">
      <c r="B2" s="51" t="s">
        <v>106</v>
      </c>
      <c r="C2" s="50"/>
      <c r="D2" s="51"/>
    </row>
    <row r="4" spans="2:7" ht="13">
      <c r="B4" s="52" t="s">
        <v>107</v>
      </c>
      <c r="C4" s="54"/>
      <c r="D4" s="56"/>
    </row>
    <row r="5" spans="2:7" ht="13">
      <c r="B5" s="51" t="s">
        <v>108</v>
      </c>
      <c r="C5" s="50"/>
      <c r="D5" s="51"/>
    </row>
    <row r="6" spans="2:7" ht="13">
      <c r="B6" s="50"/>
      <c r="C6" s="55" t="s">
        <v>110</v>
      </c>
      <c r="E6" s="55" t="s">
        <v>109</v>
      </c>
    </row>
    <row r="7" spans="2:7" ht="13">
      <c r="B7" s="50"/>
    </row>
    <row r="8" spans="2:7" ht="13">
      <c r="B8" s="53" t="s">
        <v>111</v>
      </c>
      <c r="C8" s="50"/>
      <c r="D8" s="50"/>
    </row>
    <row r="9" spans="2:7" ht="13">
      <c r="B9" s="57" t="s">
        <v>4</v>
      </c>
      <c r="C9" s="58" t="str">
        <f>Commodities!$C$18</f>
        <v>COMNGA</v>
      </c>
      <c r="D9" s="58" t="str">
        <f>Commodities!$C$20</f>
        <v>COMLPG</v>
      </c>
      <c r="E9" s="58" t="str">
        <f>Commodities!$C$21</f>
        <v>COMDSL</v>
      </c>
      <c r="F9" s="58" t="str">
        <f>Commodities!$C$22</f>
        <v>COMGSL</v>
      </c>
      <c r="G9" s="58" t="str">
        <f>Commodities!$C$25</f>
        <v>COMCOA</v>
      </c>
    </row>
    <row r="10" spans="2:7" ht="13.5" thickBot="1">
      <c r="B10" s="59" t="s">
        <v>112</v>
      </c>
      <c r="C10" s="60" t="s">
        <v>113</v>
      </c>
      <c r="D10" s="60"/>
      <c r="E10" s="60" t="s">
        <v>113</v>
      </c>
      <c r="F10" s="60"/>
      <c r="G10" s="60"/>
    </row>
    <row r="11" spans="2:7" ht="13">
      <c r="B11" s="61" t="str">
        <f>Commodities!$C$83</f>
        <v>COMCO2</v>
      </c>
      <c r="C11" s="62">
        <v>56.97</v>
      </c>
      <c r="D11" s="62">
        <v>63.1</v>
      </c>
      <c r="E11" s="62">
        <v>74</v>
      </c>
      <c r="F11" s="62">
        <v>69.3</v>
      </c>
      <c r="G11" s="62">
        <v>94.6</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84C80-198B-4F42-9013-00339303CCF0}">
  <sheetPr>
    <tabColor rgb="FF92D050"/>
  </sheetPr>
  <dimension ref="B1:BA1647"/>
  <sheetViews>
    <sheetView topLeftCell="Q1" zoomScale="70" zoomScaleNormal="70" workbookViewId="0">
      <selection activeCell="AB7" sqref="AB7"/>
    </sheetView>
  </sheetViews>
  <sheetFormatPr defaultColWidth="9.1796875" defaultRowHeight="13"/>
  <cols>
    <col min="1" max="1" width="12.453125" style="227" bestFit="1" customWidth="1"/>
    <col min="2" max="2" width="20.453125" style="227" customWidth="1"/>
    <col min="3" max="3" width="67.453125" style="227" customWidth="1"/>
    <col min="4" max="4" width="10.453125" style="227" bestFit="1" customWidth="1"/>
    <col min="5" max="5" width="13.453125" style="227" bestFit="1" customWidth="1"/>
    <col min="6" max="6" width="21.453125" style="230" customWidth="1"/>
    <col min="7" max="8" width="20.1796875" style="230" customWidth="1"/>
    <col min="9" max="11" width="30.36328125" style="230" customWidth="1"/>
    <col min="12" max="14" width="21" style="230" customWidth="1"/>
    <col min="15" max="15" width="29.6328125" style="232" customWidth="1"/>
    <col min="16" max="16" width="16.81640625" style="232" bestFit="1" customWidth="1"/>
    <col min="17" max="17" width="16.6328125" style="232" customWidth="1"/>
    <col min="18" max="19" width="14" style="227" customWidth="1"/>
    <col min="20" max="20" width="17.6328125" style="227" customWidth="1"/>
    <col min="21" max="21" width="13.6328125" style="227" customWidth="1"/>
    <col min="22" max="22" width="24" style="227" customWidth="1"/>
    <col min="23" max="25" width="13.6328125" style="227" customWidth="1"/>
    <col min="26" max="26" width="14.6328125" style="227" customWidth="1"/>
    <col min="27" max="27" width="17.453125" style="227" customWidth="1"/>
    <col min="28" max="28" width="16" style="227" customWidth="1"/>
    <col min="29" max="29" width="12.6328125" style="227" customWidth="1"/>
    <col min="30" max="30" width="16.6328125" style="233" customWidth="1"/>
    <col min="31" max="31" width="12.81640625" style="227" customWidth="1"/>
    <col min="32" max="32" width="14.36328125" style="227" customWidth="1"/>
    <col min="33" max="33" width="11.6328125" style="227" bestFit="1" customWidth="1"/>
    <col min="34" max="35" width="15.6328125" style="227" customWidth="1"/>
    <col min="36" max="36" width="20.36328125" style="227" customWidth="1"/>
    <col min="37" max="37" width="24.1796875" style="227" customWidth="1"/>
    <col min="38" max="38" width="14.1796875" style="227" bestFit="1" customWidth="1"/>
    <col min="39" max="39" width="11.6328125" style="227" customWidth="1"/>
    <col min="40" max="40" width="23.453125" style="227" customWidth="1"/>
    <col min="41" max="41" width="20.1796875" style="227" customWidth="1"/>
    <col min="42" max="42" width="33" style="227" customWidth="1"/>
    <col min="43" max="43" width="8.6328125" style="227" customWidth="1"/>
    <col min="44" max="44" width="20.1796875" style="227" customWidth="1"/>
    <col min="45" max="45" width="12.81640625" style="227" bestFit="1" customWidth="1"/>
    <col min="46" max="46" width="9.1796875" style="227"/>
    <col min="47" max="47" width="16.453125" style="227" bestFit="1" customWidth="1"/>
    <col min="48" max="49" width="15.453125" style="227" bestFit="1" customWidth="1"/>
    <col min="50" max="50" width="13" style="227" bestFit="1" customWidth="1"/>
    <col min="51" max="51" width="9.1796875" style="227"/>
    <col min="52" max="52" width="24" style="227" bestFit="1" customWidth="1"/>
    <col min="53" max="53" width="16.36328125" style="227" bestFit="1" customWidth="1"/>
    <col min="54" max="54" width="17.6328125" style="227" bestFit="1" customWidth="1"/>
    <col min="55" max="55" width="13" style="227" bestFit="1" customWidth="1"/>
    <col min="56" max="16384" width="9.1796875" style="227"/>
  </cols>
  <sheetData>
    <row r="1" spans="2:53" ht="15" thickBot="1">
      <c r="B1" s="226" t="s">
        <v>728</v>
      </c>
      <c r="C1" s="227" t="s">
        <v>795</v>
      </c>
      <c r="F1" s="228"/>
      <c r="G1" s="229" t="s">
        <v>161</v>
      </c>
      <c r="H1" s="229"/>
      <c r="I1" s="271">
        <v>1.05</v>
      </c>
      <c r="J1" s="271"/>
      <c r="K1" s="271"/>
      <c r="O1" s="231"/>
      <c r="U1" s="233"/>
      <c r="V1" s="295"/>
      <c r="W1" s="233"/>
      <c r="X1" s="233"/>
      <c r="Y1" s="233" t="s">
        <v>750</v>
      </c>
      <c r="Z1" s="596">
        <f>'Data manipulation'!G40/1000</f>
        <v>690.01754160521114</v>
      </c>
      <c r="AA1" s="701"/>
      <c r="AB1" s="233"/>
      <c r="AD1" s="227"/>
    </row>
    <row r="2" spans="2:53" ht="14.5">
      <c r="B2" s="226"/>
      <c r="F2" s="228"/>
      <c r="G2" s="229"/>
      <c r="H2" s="229"/>
      <c r="I2" s="271"/>
      <c r="J2" s="271"/>
      <c r="K2" s="271"/>
      <c r="P2" s="227"/>
      <c r="Q2" s="227"/>
      <c r="R2" s="233"/>
      <c r="S2" s="233"/>
      <c r="T2" s="295"/>
      <c r="U2" s="233"/>
      <c r="V2" s="233"/>
      <c r="W2" s="266" t="s">
        <v>173</v>
      </c>
      <c r="X2" s="233"/>
      <c r="Y2" s="233" t="s">
        <v>92</v>
      </c>
      <c r="Z2" s="596">
        <f>SUM(Y6:AA49)</f>
        <v>690.01754160521125</v>
      </c>
      <c r="AD2" s="227"/>
    </row>
    <row r="3" spans="2:53" ht="13.5" thickBot="1">
      <c r="H3" s="234" t="s">
        <v>8</v>
      </c>
      <c r="J3" s="234"/>
      <c r="K3" s="234"/>
      <c r="L3" s="234"/>
      <c r="M3" s="234"/>
      <c r="N3" s="234"/>
      <c r="O3" s="235"/>
      <c r="P3" s="227"/>
      <c r="Q3" s="233"/>
      <c r="R3" s="233"/>
      <c r="S3" s="233"/>
      <c r="T3" s="268"/>
      <c r="U3" s="233"/>
      <c r="V3" s="233"/>
      <c r="W3" s="267">
        <v>3.5999999999999999E-3</v>
      </c>
      <c r="X3" s="233"/>
      <c r="Y3" s="436" t="s">
        <v>938</v>
      </c>
      <c r="Z3" s="437" t="s">
        <v>948</v>
      </c>
      <c r="AA3" s="438" t="s">
        <v>951</v>
      </c>
      <c r="AB3" s="436" t="s">
        <v>938</v>
      </c>
      <c r="AC3" s="437" t="s">
        <v>948</v>
      </c>
      <c r="AD3" s="438" t="s">
        <v>951</v>
      </c>
      <c r="AG3" s="236"/>
      <c r="AH3" s="237"/>
      <c r="AI3" s="237"/>
      <c r="AJ3" s="237"/>
      <c r="AK3" s="237"/>
      <c r="AL3" s="237"/>
    </row>
    <row r="4" spans="2:53">
      <c r="B4" s="238" t="s">
        <v>2</v>
      </c>
      <c r="C4" s="238" t="s">
        <v>26</v>
      </c>
      <c r="D4" s="421" t="s">
        <v>745</v>
      </c>
      <c r="E4" s="421" t="s">
        <v>746</v>
      </c>
      <c r="F4" s="238" t="s">
        <v>14</v>
      </c>
      <c r="G4" s="238" t="s">
        <v>15</v>
      </c>
      <c r="H4" s="421" t="s">
        <v>94</v>
      </c>
      <c r="I4" s="239" t="s">
        <v>926</v>
      </c>
      <c r="J4" s="239" t="s">
        <v>939</v>
      </c>
      <c r="K4" s="239" t="s">
        <v>952</v>
      </c>
      <c r="L4" s="240" t="s">
        <v>934</v>
      </c>
      <c r="M4" s="240" t="s">
        <v>947</v>
      </c>
      <c r="N4" s="240" t="s">
        <v>953</v>
      </c>
      <c r="O4" s="238" t="s">
        <v>0</v>
      </c>
      <c r="P4" s="238" t="s">
        <v>164</v>
      </c>
      <c r="Q4" s="239" t="s">
        <v>93</v>
      </c>
      <c r="R4" s="227" t="s">
        <v>811</v>
      </c>
      <c r="Y4" s="273" t="s">
        <v>75</v>
      </c>
      <c r="Z4" s="272" t="s">
        <v>75</v>
      </c>
      <c r="AA4" s="439" t="s">
        <v>75</v>
      </c>
      <c r="AB4" s="273" t="s">
        <v>71</v>
      </c>
      <c r="AC4" s="272" t="s">
        <v>71</v>
      </c>
      <c r="AD4" s="439" t="s">
        <v>71</v>
      </c>
      <c r="AG4" s="241"/>
      <c r="AH4" s="237"/>
      <c r="AI4" s="237"/>
      <c r="AJ4" s="237"/>
      <c r="AK4" s="237"/>
      <c r="AL4" s="237"/>
    </row>
    <row r="5" spans="2:53" ht="13.5" thickBot="1">
      <c r="B5" s="242" t="s">
        <v>27</v>
      </c>
      <c r="C5" s="242"/>
      <c r="D5" s="243"/>
      <c r="E5" s="243"/>
      <c r="F5" s="242"/>
      <c r="G5" s="242"/>
      <c r="H5" s="243"/>
      <c r="I5" s="243" t="s">
        <v>65</v>
      </c>
      <c r="J5" s="243" t="s">
        <v>65</v>
      </c>
      <c r="K5" s="243" t="s">
        <v>65</v>
      </c>
      <c r="L5" s="243" t="s">
        <v>69</v>
      </c>
      <c r="M5" s="243" t="s">
        <v>69</v>
      </c>
      <c r="N5" s="243" t="s">
        <v>69</v>
      </c>
      <c r="O5" s="242"/>
      <c r="P5" s="242" t="s">
        <v>744</v>
      </c>
      <c r="Q5" s="242" t="s">
        <v>94</v>
      </c>
      <c r="X5" s="227" t="s">
        <v>94</v>
      </c>
      <c r="Y5" s="275" t="s">
        <v>48</v>
      </c>
      <c r="Z5" s="457" t="s">
        <v>48</v>
      </c>
      <c r="AA5" s="440" t="s">
        <v>48</v>
      </c>
      <c r="AB5" s="275" t="s">
        <v>70</v>
      </c>
      <c r="AC5" s="274" t="s">
        <v>70</v>
      </c>
      <c r="AD5" s="440" t="s">
        <v>70</v>
      </c>
      <c r="AG5" s="241"/>
      <c r="AH5" s="237"/>
      <c r="AI5" s="237"/>
      <c r="AJ5" s="237"/>
      <c r="AK5" s="237"/>
      <c r="AL5" s="237"/>
    </row>
    <row r="6" spans="2:53" ht="15" customHeight="1">
      <c r="B6" s="227" t="str">
        <f>Processes!D53</f>
        <v>CHTUDNGAE1</v>
      </c>
      <c r="C6" s="227" t="str">
        <f>Processes!E53</f>
        <v>Commercial Heating Technology Urban Detached - Natural Gas - Existing 1</v>
      </c>
      <c r="D6" s="227" t="s">
        <v>704</v>
      </c>
      <c r="E6" s="227" t="s">
        <v>102</v>
      </c>
      <c r="F6" s="230" t="str">
        <f>Commodities!$C$18&amp;","&amp;Commodities!$C$37&amp;","&amp;Commodities!$C$19</f>
        <v>COMNGA,COMSNG,COMBGA</v>
      </c>
      <c r="G6" s="230" t="str">
        <f>Commodities!$C$43</f>
        <v>COMHUDB</v>
      </c>
      <c r="H6" s="230">
        <v>2010</v>
      </c>
      <c r="I6" s="250">
        <f>ROUNDUP(AB6/($O6*$P6)*$R6,1)</f>
        <v>13853.2</v>
      </c>
      <c r="J6" s="250">
        <f>ROUNDUP(AC6/($O6*$P6)*$R6,1)</f>
        <v>0</v>
      </c>
      <c r="K6" s="250">
        <f>ROUNDUP(AD6/($O6*$P6)*$R6,1)</f>
        <v>0</v>
      </c>
      <c r="L6" s="459">
        <v>0.72</v>
      </c>
      <c r="M6" s="459">
        <v>0.72</v>
      </c>
      <c r="N6" s="459">
        <v>0.72</v>
      </c>
      <c r="O6" s="244">
        <f>31.536/1000</f>
        <v>3.1536000000000002E-2</v>
      </c>
      <c r="P6" s="458">
        <v>0.2</v>
      </c>
      <c r="Q6" s="245">
        <v>22</v>
      </c>
      <c r="R6" s="227">
        <v>1.05</v>
      </c>
      <c r="T6" s="268">
        <f>SUM(I6:K6)*O6*P6/L6</f>
        <v>121.35403200000002</v>
      </c>
      <c r="U6" s="268"/>
      <c r="V6" s="589" t="str">
        <f>'Data manipulation'!$B$36</f>
        <v>Natural gas and biogas</v>
      </c>
      <c r="W6" s="246" t="s">
        <v>167</v>
      </c>
      <c r="X6" s="246">
        <v>2011</v>
      </c>
      <c r="Y6" s="435">
        <f>_xlfn.IFNA(INDEX('Data manipulation'!$C$23:$O$39,MATCH($V6,'Data manipulation'!$B$23:$B$39,0),MATCH($X6,'Data manipulation'!$C$22:$O$22,0))/1000,0)*SUMIFS('Regional split'!$F$4:$F$6,'Regional split'!$B$4:$B$6,Y$3)*SUMIFS('Data manipulation'!$V$39:$V$42,'Data manipulation'!$X$39:$X$42,$E6,'Data manipulation'!$Y$39:$Y$42,$D6)</f>
        <v>115.57525363980756</v>
      </c>
      <c r="Z6" s="270">
        <f>_xlfn.IFNA(INDEX('Data manipulation'!$C$23:$O$39,MATCH($V6,'Data manipulation'!$B$23:$B$39,0),MATCH($X6,'Data manipulation'!$C$22:$O$22,0))/1000,0)*SUMIFS('Regional split'!$F$4:$F$6,'Regional split'!$B$4:$B$6,Z$3)*SUMIFS('Data manipulation'!$V$39:$V$42,'Data manipulation'!$X$39:$X$42,$E6,'Data manipulation'!$Y$39:$Y$42,$D6)</f>
        <v>0</v>
      </c>
      <c r="AA6" s="453">
        <f>_xlfn.IFNA(INDEX('Data manipulation'!$C$23:$O$39,MATCH($V6,'Data manipulation'!$B$23:$B$39,0),MATCH($X6,'Data manipulation'!$C$22:$O$22,0))/1000,0)*SUMIFS('Regional split'!$F$4:$F$6,'Regional split'!$B$4:$B$6,AA$3)*SUMIFS('Data manipulation'!$V$39:$V$42,'Data manipulation'!$X$39:$X$42,$E6,'Data manipulation'!$Y$39:$Y$42,$D6)</f>
        <v>0</v>
      </c>
      <c r="AB6" s="441">
        <f>Y6*L6</f>
        <v>83.214182620661433</v>
      </c>
      <c r="AC6" s="276">
        <f t="shared" ref="AC6:AC69" si="0">Z6*M6</f>
        <v>0</v>
      </c>
      <c r="AD6" s="442">
        <f t="shared" ref="AD6:AD69" si="1">AA6*N6</f>
        <v>0</v>
      </c>
      <c r="AG6" s="247"/>
      <c r="AH6" s="237"/>
      <c r="AI6" s="248"/>
      <c r="AJ6" s="249"/>
      <c r="AK6" s="249"/>
      <c r="AL6" s="237"/>
    </row>
    <row r="7" spans="2:53" ht="15" customHeight="1">
      <c r="B7" s="227" t="str">
        <f>Processes!D54</f>
        <v>CHTUDDSLE1</v>
      </c>
      <c r="C7" s="227" t="str">
        <f>Processes!E54</f>
        <v>Commercial Heating Technology Urban Detached - Diesel - Existing 1</v>
      </c>
      <c r="D7" s="227" t="s">
        <v>704</v>
      </c>
      <c r="E7" s="227" t="s">
        <v>102</v>
      </c>
      <c r="F7" s="230" t="str">
        <f>Commodities!$C$21&amp;","&amp;Commodities!$C$38</f>
        <v>COMDSL,COMDSB</v>
      </c>
      <c r="G7" s="230" t="str">
        <f>Commodities!$C$43</f>
        <v>COMHUDB</v>
      </c>
      <c r="H7" s="230">
        <v>2010</v>
      </c>
      <c r="I7" s="250">
        <f t="shared" ref="I7:I15" si="2">ROUNDUP(AB7/($O7*$P7)*$R7,1)</f>
        <v>12038.4</v>
      </c>
      <c r="J7" s="250">
        <f t="shared" ref="J7:J14" si="3">ROUNDUP(AC7/($O7*$P7)*$R7,1)</f>
        <v>0</v>
      </c>
      <c r="K7" s="250">
        <f t="shared" ref="K7:K14" si="4">ROUNDUP(AD7/($O7*$P7)*$R7,1)</f>
        <v>0</v>
      </c>
      <c r="L7" s="460">
        <v>0.71</v>
      </c>
      <c r="M7" s="460">
        <v>0.71</v>
      </c>
      <c r="N7" s="460">
        <v>0.71</v>
      </c>
      <c r="O7" s="244">
        <f>31.536/1000</f>
        <v>3.1536000000000002E-2</v>
      </c>
      <c r="P7" s="458">
        <v>0.2</v>
      </c>
      <c r="Q7" s="245">
        <v>20</v>
      </c>
      <c r="R7" s="227">
        <v>1.05</v>
      </c>
      <c r="T7" s="268">
        <f t="shared" ref="T7:T74" si="5">SUM(I7:K7)*O7*P7/L7</f>
        <v>106.94168518309858</v>
      </c>
      <c r="V7" s="589" t="str">
        <f>'Data manipulation'!$B$28</f>
        <v>Gas oil and diesel oil and biodiesel</v>
      </c>
      <c r="W7" s="254" t="s">
        <v>718</v>
      </c>
      <c r="X7" s="246">
        <v>2011</v>
      </c>
      <c r="Y7" s="432">
        <f>_xlfn.IFNA(INDEX('Data manipulation'!$C$23:$O$39,MATCH($V7,'Data manipulation'!$B$23:$B$39,0),MATCH($X7,'Data manipulation'!$C$22:$O$22,0))/1000,0)*SUMIFS('Regional split'!$F$4:$F$6,'Regional split'!$B$4:$B$6,Y$3)*SUMIFS('Data manipulation'!$V$39:$V$42,'Data manipulation'!$X$39:$X$42,$E7,'Data manipulation'!$Y$39:$Y$42,$D7)</f>
        <v>101.84874754744523</v>
      </c>
      <c r="Z7" s="270">
        <f>_xlfn.IFNA(INDEX('Data manipulation'!$C$23:$O$39,MATCH($V7,'Data manipulation'!$B$23:$B$39,0),MATCH($X7,'Data manipulation'!$C$22:$O$22,0))/1000,0)*SUMIFS('Regional split'!$F$4:$F$6,'Regional split'!$B$4:$B$6,Z$3)*SUMIFS('Data manipulation'!$V$39:$V$42,'Data manipulation'!$X$39:$X$42,$E7,'Data manipulation'!$Y$39:$Y$42,$D7)</f>
        <v>0</v>
      </c>
      <c r="AA7" s="454">
        <f>_xlfn.IFNA(INDEX('Data manipulation'!$C$23:$O$39,MATCH($V7,'Data manipulation'!$B$23:$B$39,0),MATCH($X7,'Data manipulation'!$C$22:$O$22,0))/1000,0)*SUMIFS('Regional split'!$F$4:$F$6,'Regional split'!$B$4:$B$6,AA$3)*SUMIFS('Data manipulation'!$V$39:$V$42,'Data manipulation'!$X$39:$X$42,$E7,'Data manipulation'!$Y$39:$Y$42,$D7)</f>
        <v>0</v>
      </c>
      <c r="AB7" s="443">
        <f t="shared" ref="AB7:AB69" si="6">Y7*L7</f>
        <v>72.312610758686105</v>
      </c>
      <c r="AC7" s="251">
        <f t="shared" si="0"/>
        <v>0</v>
      </c>
      <c r="AD7" s="444">
        <f t="shared" si="1"/>
        <v>0</v>
      </c>
      <c r="AG7" s="247"/>
      <c r="AH7" s="237"/>
      <c r="AI7" s="248"/>
      <c r="AJ7" s="249"/>
      <c r="AK7" s="249"/>
      <c r="AL7" s="237"/>
      <c r="BA7" s="252"/>
    </row>
    <row r="8" spans="2:53" ht="15" customHeight="1">
      <c r="B8" s="227" t="str">
        <f>Processes!D55</f>
        <v>CHTUDWPEE1</v>
      </c>
      <c r="C8" s="227" t="str">
        <f>Processes!E55</f>
        <v>Commercial Heating Technology Urban Detached - Wood pellets - Existing 1</v>
      </c>
      <c r="D8" s="227" t="s">
        <v>704</v>
      </c>
      <c r="E8" s="227" t="s">
        <v>102</v>
      </c>
      <c r="F8" s="230" t="str">
        <f>Commodities!$C$23</f>
        <v>COMWPE</v>
      </c>
      <c r="G8" s="230" t="str">
        <f>Commodities!$C$43</f>
        <v>COMHUDB</v>
      </c>
      <c r="H8" s="230">
        <v>2010</v>
      </c>
      <c r="I8" s="250">
        <f t="shared" si="2"/>
        <v>0</v>
      </c>
      <c r="J8" s="250">
        <f t="shared" si="3"/>
        <v>0</v>
      </c>
      <c r="K8" s="250">
        <f t="shared" si="4"/>
        <v>0</v>
      </c>
      <c r="L8" s="460">
        <v>0.61</v>
      </c>
      <c r="M8" s="460">
        <v>0.61</v>
      </c>
      <c r="N8" s="460">
        <v>0.61</v>
      </c>
      <c r="O8" s="244">
        <f t="shared" ref="O8:O27" si="7">31.536/1000</f>
        <v>3.1536000000000002E-2</v>
      </c>
      <c r="P8" s="458">
        <v>0.2</v>
      </c>
      <c r="Q8" s="245">
        <v>20</v>
      </c>
      <c r="R8" s="227">
        <v>1.05</v>
      </c>
      <c r="T8" s="268">
        <f t="shared" si="5"/>
        <v>0</v>
      </c>
      <c r="U8" s="268"/>
      <c r="W8" s="254" t="s">
        <v>849</v>
      </c>
      <c r="X8" s="246">
        <v>2011</v>
      </c>
      <c r="Y8" s="432">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4">
        <f>_xlfn.IFNA(INDEX('Data manipulation'!$C$23:$O$39,MATCH($V8,'Data manipulation'!$B$23:$B$39,0),MATCH($X8,'Data manipulation'!$C$22:$O$22,0))/1000,0)*SUMIFS('Regional split'!$F$4:$F$6,'Regional split'!$B$4:$B$6,AA$3)*SUMIFS('Data manipulation'!$V$39:$V$42,'Data manipulation'!$X$39:$X$42,$E8,'Data manipulation'!$Y$39:$Y$42,$D8)</f>
        <v>0</v>
      </c>
      <c r="AB8" s="443">
        <f>Y8*L8</f>
        <v>0</v>
      </c>
      <c r="AC8" s="251">
        <f t="shared" si="0"/>
        <v>0</v>
      </c>
      <c r="AD8" s="444">
        <f t="shared" si="1"/>
        <v>0</v>
      </c>
      <c r="BA8" s="253"/>
    </row>
    <row r="9" spans="2:53" ht="15" customHeight="1">
      <c r="B9" s="227" t="str">
        <f>Processes!D56</f>
        <v>CHTUDFIWE1</v>
      </c>
      <c r="C9" s="227" t="str">
        <f>Processes!E56</f>
        <v>Commercial Heating Technology Urban Detached - Fire wood - Existing 1</v>
      </c>
      <c r="D9" s="227" t="s">
        <v>704</v>
      </c>
      <c r="E9" s="227" t="s">
        <v>102</v>
      </c>
      <c r="F9" s="230" t="str">
        <f>Commodities!$C$24</f>
        <v>COMFIW</v>
      </c>
      <c r="G9" s="230" t="str">
        <f>Commodities!$C$43</f>
        <v>COMHUDB</v>
      </c>
      <c r="H9" s="230">
        <v>2010</v>
      </c>
      <c r="I9" s="250">
        <f t="shared" si="2"/>
        <v>2056.7999999999997</v>
      </c>
      <c r="J9" s="250">
        <f t="shared" si="3"/>
        <v>0</v>
      </c>
      <c r="K9" s="250">
        <f t="shared" si="4"/>
        <v>0</v>
      </c>
      <c r="L9" s="460">
        <v>0.65000022993955098</v>
      </c>
      <c r="M9" s="460">
        <v>0.65000022993955098</v>
      </c>
      <c r="N9" s="460">
        <v>0.65000022993955098</v>
      </c>
      <c r="O9" s="244">
        <f t="shared" si="7"/>
        <v>3.1536000000000002E-2</v>
      </c>
      <c r="P9" s="458">
        <v>0.2</v>
      </c>
      <c r="Q9" s="245">
        <v>20</v>
      </c>
      <c r="R9" s="227">
        <v>1.05</v>
      </c>
      <c r="T9" s="268">
        <f t="shared" si="5"/>
        <v>19.957914416747876</v>
      </c>
      <c r="U9" s="268"/>
      <c r="V9" s="589" t="str">
        <f>'Data manipulation'!$B$31</f>
        <v>Primary solid biofuels</v>
      </c>
      <c r="W9" s="254" t="s">
        <v>176</v>
      </c>
      <c r="X9" s="246">
        <v>2011</v>
      </c>
      <c r="Y9" s="432">
        <f>_xlfn.IFNA(INDEX('Data manipulation'!$C$23:$O$39,MATCH($V9,'Data manipulation'!$B$23:$B$39,0),MATCH($X9,'Data manipulation'!$C$22:$O$22,0))/1000,0)*SUMIFS('Regional split'!$F$4:$F$6,'Regional split'!$B$4:$B$6,Y$3)*SUMIFS('Data manipulation'!$V$39:$V$42,'Data manipulation'!$X$39:$X$42,$E9,'Data manipulation'!$Y$39:$Y$42,$D9)</f>
        <v>19.007529941529707</v>
      </c>
      <c r="Z9" s="270">
        <f>_xlfn.IFNA(INDEX('Data manipulation'!$C$23:$O$39,MATCH($V9,'Data manipulation'!$B$23:$B$39,0),MATCH($X9,'Data manipulation'!$C$22:$O$22,0))/1000,0)*SUMIFS('Regional split'!$F$4:$F$6,'Regional split'!$B$4:$B$6,Z$3)*SUMIFS('Data manipulation'!$V$39:$V$42,'Data manipulation'!$X$39:$X$42,$E9,'Data manipulation'!$Y$39:$Y$42,$D9)</f>
        <v>0</v>
      </c>
      <c r="AA9" s="454">
        <f>_xlfn.IFNA(INDEX('Data manipulation'!$C$23:$O$39,MATCH($V9,'Data manipulation'!$B$23:$B$39,0),MATCH($X9,'Data manipulation'!$C$22:$O$22,0))/1000,0)*SUMIFS('Regional split'!$F$4:$F$6,'Regional split'!$B$4:$B$6,AA$3)*SUMIFS('Data manipulation'!$V$39:$V$42,'Data manipulation'!$X$39:$X$42,$E9,'Data manipulation'!$Y$39:$Y$42,$D9)</f>
        <v>0</v>
      </c>
      <c r="AB9" s="443">
        <f t="shared" si="6"/>
        <v>12.354898832577209</v>
      </c>
      <c r="AC9" s="251">
        <f t="shared" si="0"/>
        <v>0</v>
      </c>
      <c r="AD9" s="444">
        <f t="shared" si="1"/>
        <v>0</v>
      </c>
      <c r="BA9" s="252"/>
    </row>
    <row r="10" spans="2:53" ht="15" customHeight="1">
      <c r="B10" s="233" t="str">
        <f>Processes!D57</f>
        <v>CHTUDCOAE1</v>
      </c>
      <c r="C10" s="233" t="str">
        <f>Processes!E57</f>
        <v>Commercial Heating Technology Urban Detached - Coal - Existing 1</v>
      </c>
      <c r="D10" s="233" t="s">
        <v>704</v>
      </c>
      <c r="E10" s="233" t="s">
        <v>102</v>
      </c>
      <c r="F10" s="230" t="str">
        <f>Commodities!$C$25</f>
        <v>COMCOA</v>
      </c>
      <c r="G10" s="230" t="str">
        <f>Commodities!$C$43</f>
        <v>COMHUDB</v>
      </c>
      <c r="H10" s="230">
        <v>2010</v>
      </c>
      <c r="I10" s="250">
        <f t="shared" si="2"/>
        <v>198.1</v>
      </c>
      <c r="J10" s="250">
        <f t="shared" si="3"/>
        <v>0</v>
      </c>
      <c r="K10" s="250">
        <f t="shared" si="4"/>
        <v>0</v>
      </c>
      <c r="L10" s="460">
        <v>0.7</v>
      </c>
      <c r="M10" s="460">
        <v>0.7</v>
      </c>
      <c r="N10" s="460">
        <v>0.7</v>
      </c>
      <c r="O10" s="244">
        <f t="shared" si="7"/>
        <v>3.1536000000000002E-2</v>
      </c>
      <c r="P10" s="458">
        <v>0.2</v>
      </c>
      <c r="Q10" s="245">
        <v>20</v>
      </c>
      <c r="R10" s="227">
        <v>1.05</v>
      </c>
      <c r="T10" s="268">
        <f t="shared" si="5"/>
        <v>1.7849376000000003</v>
      </c>
      <c r="U10" s="268"/>
      <c r="V10" s="589" t="str">
        <f>'Data manipulation'!$B$23</f>
        <v>Solid fossil fuels, peat, peat products, oil shale and oil sands</v>
      </c>
      <c r="W10" s="254" t="s">
        <v>846</v>
      </c>
      <c r="X10" s="246">
        <v>2011</v>
      </c>
      <c r="Y10" s="432">
        <f>_xlfn.IFNA(INDEX('Data manipulation'!$C$23:$O$39,MATCH($V10,'Data manipulation'!$B$23:$B$39,0),MATCH($X10,'Data manipulation'!$C$22:$O$22,0))/1000,0)*SUMIFS('Regional split'!$F$4:$F$6,'Regional split'!$B$4:$B$6,Y$3)*SUMIFS('Data manipulation'!$V$39:$V$42,'Data manipulation'!$X$39:$X$42,$E10,'Data manipulation'!$Y$39:$Y$42,$D10)</f>
        <v>1.6993481399999999</v>
      </c>
      <c r="Z10" s="270">
        <f>_xlfn.IFNA(INDEX('Data manipulation'!$C$23:$O$39,MATCH($V10,'Data manipulation'!$B$23:$B$39,0),MATCH($X10,'Data manipulation'!$C$22:$O$22,0))/1000,0)*SUMIFS('Regional split'!$F$4:$F$6,'Regional split'!$B$4:$B$6,Z$3)*SUMIFS('Data manipulation'!$V$39:$V$42,'Data manipulation'!$X$39:$X$42,$E10,'Data manipulation'!$Y$39:$Y$42,$D10)</f>
        <v>0</v>
      </c>
      <c r="AA10" s="454">
        <f>_xlfn.IFNA(INDEX('Data manipulation'!$C$23:$O$39,MATCH($V10,'Data manipulation'!$B$23:$B$39,0),MATCH($X10,'Data manipulation'!$C$22:$O$22,0))/1000,0)*SUMIFS('Regional split'!$F$4:$F$6,'Regional split'!$B$4:$B$6,AA$3)*SUMIFS('Data manipulation'!$V$39:$V$42,'Data manipulation'!$X$39:$X$42,$E10,'Data manipulation'!$Y$39:$Y$42,$D10)</f>
        <v>0</v>
      </c>
      <c r="AB10" s="443">
        <f t="shared" si="6"/>
        <v>1.1895436979999998</v>
      </c>
      <c r="AC10" s="251">
        <f t="shared" si="0"/>
        <v>0</v>
      </c>
      <c r="AD10" s="444">
        <f t="shared" si="1"/>
        <v>0</v>
      </c>
      <c r="BA10" s="252"/>
    </row>
    <row r="11" spans="2:53" ht="15" customHeight="1">
      <c r="B11" s="233" t="str">
        <f>Processes!D58</f>
        <v>CHTUDSOLE1</v>
      </c>
      <c r="C11" s="233" t="str">
        <f>Processes!E58</f>
        <v>Commercial Heating Technology Urban Detached - Solar - Existing 1</v>
      </c>
      <c r="D11" s="233" t="s">
        <v>704</v>
      </c>
      <c r="E11" s="233" t="s">
        <v>102</v>
      </c>
      <c r="F11" s="230" t="str">
        <f>Commodities!$C$27</f>
        <v>COMSOL</v>
      </c>
      <c r="G11" s="230" t="str">
        <f>Commodities!$C$43</f>
        <v>COMHUDB</v>
      </c>
      <c r="H11" s="230">
        <v>2010</v>
      </c>
      <c r="I11" s="250">
        <f t="shared" si="2"/>
        <v>10.5</v>
      </c>
      <c r="J11" s="250">
        <f t="shared" si="3"/>
        <v>0</v>
      </c>
      <c r="K11" s="250">
        <f t="shared" si="4"/>
        <v>0</v>
      </c>
      <c r="L11" s="460">
        <v>1</v>
      </c>
      <c r="M11" s="460">
        <v>1</v>
      </c>
      <c r="N11" s="460">
        <v>1</v>
      </c>
      <c r="O11" s="244">
        <f t="shared" si="7"/>
        <v>3.1536000000000002E-2</v>
      </c>
      <c r="P11" s="458">
        <v>0.2</v>
      </c>
      <c r="Q11" s="245">
        <v>20</v>
      </c>
      <c r="R11" s="227">
        <v>1.05</v>
      </c>
      <c r="T11" s="268">
        <f t="shared" si="5"/>
        <v>6.6225600000000009E-2</v>
      </c>
      <c r="U11" s="268"/>
      <c r="V11" s="589" t="str">
        <f>'Data manipulation'!$B$29</f>
        <v>Solar thermal</v>
      </c>
      <c r="W11" s="254" t="s">
        <v>168</v>
      </c>
      <c r="X11" s="246">
        <v>2011</v>
      </c>
      <c r="Y11" s="432">
        <f>_xlfn.IFNA(INDEX('Data manipulation'!$C$23:$O$39,MATCH($V11,'Data manipulation'!$B$23:$B$39,0),MATCH($X11,'Data manipulation'!$C$22:$O$22,0))/1000,0)*SUMIFS('Regional split'!$F$4:$F$6,'Regional split'!$B$4:$B$6,Y$3)*SUMIFS('Data manipulation'!$V$39:$V$42,'Data manipulation'!$X$39:$X$42,$E11,'Data manipulation'!$Y$39:$Y$42,$D11)</f>
        <v>6.2942879999999993E-2</v>
      </c>
      <c r="Z11" s="270">
        <f>_xlfn.IFNA(INDEX('Data manipulation'!$C$23:$O$39,MATCH($V11,'Data manipulation'!$B$23:$B$39,0),MATCH($X11,'Data manipulation'!$C$22:$O$22,0))/1000,0)*SUMIFS('Regional split'!$F$4:$F$6,'Regional split'!$B$4:$B$6,Z$3)*SUMIFS('Data manipulation'!$V$39:$V$42,'Data manipulation'!$X$39:$X$42,$E11,'Data manipulation'!$Y$39:$Y$42,$D11)</f>
        <v>0</v>
      </c>
      <c r="AA11" s="454">
        <f>_xlfn.IFNA(INDEX('Data manipulation'!$C$23:$O$39,MATCH($V11,'Data manipulation'!$B$23:$B$39,0),MATCH($X11,'Data manipulation'!$C$22:$O$22,0))/1000,0)*SUMIFS('Regional split'!$F$4:$F$6,'Regional split'!$B$4:$B$6,AA$3)*SUMIFS('Data manipulation'!$V$39:$V$42,'Data manipulation'!$X$39:$X$42,$E11,'Data manipulation'!$Y$39:$Y$42,$D11)</f>
        <v>0</v>
      </c>
      <c r="AB11" s="443">
        <f t="shared" si="6"/>
        <v>6.2942879999999993E-2</v>
      </c>
      <c r="AC11" s="251">
        <f t="shared" si="0"/>
        <v>0</v>
      </c>
      <c r="AD11" s="444">
        <f t="shared" si="1"/>
        <v>0</v>
      </c>
      <c r="BA11" s="252"/>
    </row>
    <row r="12" spans="2:53" ht="15" customHeight="1">
      <c r="B12" s="233" t="str">
        <f>Processes!D59</f>
        <v>CHTUDGEOE1</v>
      </c>
      <c r="C12" s="233" t="str">
        <f>Processes!E59</f>
        <v>Commercial Heating Technology Urban Detached - Geothermal - Existing 1</v>
      </c>
      <c r="D12" s="233" t="s">
        <v>704</v>
      </c>
      <c r="E12" s="233" t="s">
        <v>102</v>
      </c>
      <c r="F12" s="230" t="str">
        <f>Commodities!$C$28</f>
        <v>COMGEO</v>
      </c>
      <c r="G12" s="230" t="str">
        <f>Commodities!$C$43</f>
        <v>COMHUDB</v>
      </c>
      <c r="H12" s="230">
        <v>2010</v>
      </c>
      <c r="I12" s="250">
        <f t="shared" si="2"/>
        <v>131.69999999999999</v>
      </c>
      <c r="J12" s="250">
        <f t="shared" si="3"/>
        <v>0</v>
      </c>
      <c r="K12" s="250">
        <f t="shared" si="4"/>
        <v>0</v>
      </c>
      <c r="L12" s="460">
        <v>1</v>
      </c>
      <c r="M12" s="460">
        <v>1</v>
      </c>
      <c r="N12" s="460">
        <v>1</v>
      </c>
      <c r="O12" s="244">
        <f t="shared" si="7"/>
        <v>3.1536000000000002E-2</v>
      </c>
      <c r="P12" s="458">
        <v>0.2</v>
      </c>
      <c r="Q12" s="245">
        <v>20</v>
      </c>
      <c r="R12" s="227">
        <v>1.05</v>
      </c>
      <c r="T12" s="268">
        <f t="shared" si="5"/>
        <v>0.83065823999999999</v>
      </c>
      <c r="U12" s="268"/>
      <c r="V12" s="589" t="str">
        <f>'Data manipulation'!$B$38</f>
        <v>Geothermal</v>
      </c>
      <c r="W12" s="254" t="s">
        <v>967</v>
      </c>
      <c r="X12" s="246">
        <v>2011</v>
      </c>
      <c r="Y12" s="432">
        <f>_xlfn.IFNA(INDEX('Data manipulation'!$C$23:$O$39,MATCH($V12,'Data manipulation'!$B$23:$B$39,0),MATCH($X12,'Data manipulation'!$C$22:$O$22,0))/1000,0)*SUMIFS('Regional split'!$F$4:$F$6,'Regional split'!$B$4:$B$6,Y$3)*SUMIFS('Data manipulation'!$V$39:$V$42,'Data manipulation'!$X$39:$X$42,$E12,'Data manipulation'!$Y$39:$Y$42,$D12)</f>
        <v>0.79086000000000001</v>
      </c>
      <c r="Z12" s="270">
        <f>_xlfn.IFNA(INDEX('Data manipulation'!$C$23:$O$39,MATCH($V12,'Data manipulation'!$B$23:$B$39,0),MATCH($X12,'Data manipulation'!$C$22:$O$22,0))/1000,0)*SUMIFS('Regional split'!$F$4:$F$6,'Regional split'!$B$4:$B$6,Z$3)*SUMIFS('Data manipulation'!$V$39:$V$42,'Data manipulation'!$X$39:$X$42,$E12,'Data manipulation'!$Y$39:$Y$42,$D12)</f>
        <v>0</v>
      </c>
      <c r="AA12" s="454">
        <f>_xlfn.IFNA(INDEX('Data manipulation'!$C$23:$O$39,MATCH($V12,'Data manipulation'!$B$23:$B$39,0),MATCH($X12,'Data manipulation'!$C$22:$O$22,0))/1000,0)*SUMIFS('Regional split'!$F$4:$F$6,'Regional split'!$B$4:$B$6,AA$3)*SUMIFS('Data manipulation'!$V$39:$V$42,'Data manipulation'!$X$39:$X$42,$E12,'Data manipulation'!$Y$39:$Y$42,$D12)</f>
        <v>0</v>
      </c>
      <c r="AB12" s="443">
        <f t="shared" si="6"/>
        <v>0.79086000000000001</v>
      </c>
      <c r="AC12" s="251">
        <f t="shared" si="0"/>
        <v>0</v>
      </c>
      <c r="AD12" s="444">
        <f t="shared" si="1"/>
        <v>0</v>
      </c>
      <c r="BA12" s="252"/>
    </row>
    <row r="13" spans="2:53" ht="15" customHeight="1">
      <c r="B13" s="233" t="str">
        <f>Processes!D60</f>
        <v>CHTUDELCHE1</v>
      </c>
      <c r="C13" s="233" t="str">
        <f>Processes!E60</f>
        <v>Commercial Heating Technology Urban Detached - Electricity Heating - Existing 1</v>
      </c>
      <c r="D13" s="233" t="s">
        <v>704</v>
      </c>
      <c r="E13" s="233" t="s">
        <v>102</v>
      </c>
      <c r="F13" s="230" t="str">
        <f>Commodities!$C$29</f>
        <v>COMELCH</v>
      </c>
      <c r="G13" s="230" t="str">
        <f>Commodities!$C$43</f>
        <v>COMHUDB</v>
      </c>
      <c r="H13" s="230">
        <v>2010</v>
      </c>
      <c r="I13" s="250">
        <f t="shared" si="2"/>
        <v>2023.1999999999998</v>
      </c>
      <c r="J13" s="250">
        <f t="shared" si="3"/>
        <v>0</v>
      </c>
      <c r="K13" s="250">
        <f t="shared" si="4"/>
        <v>0</v>
      </c>
      <c r="L13" s="460">
        <v>1</v>
      </c>
      <c r="M13" s="460">
        <v>1</v>
      </c>
      <c r="N13" s="460">
        <v>1</v>
      </c>
      <c r="O13" s="244">
        <f t="shared" si="7"/>
        <v>3.1536000000000002E-2</v>
      </c>
      <c r="P13" s="458">
        <v>0.2</v>
      </c>
      <c r="Q13" s="245">
        <v>30</v>
      </c>
      <c r="R13" s="227">
        <v>1.05</v>
      </c>
      <c r="T13" s="268">
        <f t="shared" si="5"/>
        <v>12.760727039999999</v>
      </c>
      <c r="U13" s="268"/>
      <c r="V13" s="589" t="str">
        <f>'Data manipulation'!$B$33</f>
        <v>Electricity</v>
      </c>
      <c r="W13" s="254" t="s">
        <v>169</v>
      </c>
      <c r="X13" s="246">
        <v>2011</v>
      </c>
      <c r="Y13" s="432">
        <f>_xlfn.IFNA(INDEX('Data manipulation'!$C$23:$O$39,MATCH($V13,'Data manipulation'!$B$23:$B$39,0),MATCH($X13,'Data manipulation'!$C$22:$O$22,0))/1000,0)*SUMIFS('Regional split'!$F$4:$F$6,'Regional split'!$B$4:$B$6,Y$3)*SUMIFS('Data manipulation'!$V$39:$V$42,'Data manipulation'!$X$39:$X$42,$E13,'Data manipulation'!$Y$39:$Y$42,$D13)</f>
        <v>12.152779157600966</v>
      </c>
      <c r="Z13" s="270">
        <f>_xlfn.IFNA(INDEX('Data manipulation'!$C$23:$O$39,MATCH($V13,'Data manipulation'!$B$23:$B$39,0),MATCH($X13,'Data manipulation'!$C$22:$O$22,0))/1000,0)*SUMIFS('Regional split'!$F$4:$F$6,'Regional split'!$B$4:$B$6,Z$3)*SUMIFS('Data manipulation'!$V$39:$V$42,'Data manipulation'!$X$39:$X$42,$E13,'Data manipulation'!$Y$39:$Y$42,$D13)</f>
        <v>0</v>
      </c>
      <c r="AA13" s="454">
        <f>_xlfn.IFNA(INDEX('Data manipulation'!$C$23:$O$39,MATCH($V13,'Data manipulation'!$B$23:$B$39,0),MATCH($X13,'Data manipulation'!$C$22:$O$22,0))/1000,0)*SUMIFS('Regional split'!$F$4:$F$6,'Regional split'!$B$4:$B$6,AA$3)*SUMIFS('Data manipulation'!$V$39:$V$42,'Data manipulation'!$X$39:$X$42,$E13,'Data manipulation'!$Y$39:$Y$42,$D13)</f>
        <v>0</v>
      </c>
      <c r="AB13" s="443">
        <f t="shared" si="6"/>
        <v>12.152779157600966</v>
      </c>
      <c r="AC13" s="251">
        <f t="shared" si="0"/>
        <v>0</v>
      </c>
      <c r="AD13" s="444">
        <f t="shared" si="1"/>
        <v>0</v>
      </c>
      <c r="BA13" s="252"/>
    </row>
    <row r="14" spans="2:53" ht="15" customHeight="1">
      <c r="B14" s="233" t="str">
        <f>Processes!D61</f>
        <v>CHTUDELCHE2</v>
      </c>
      <c r="C14" s="233" t="str">
        <f>Processes!E61</f>
        <v>Commercial Heating Technology Urban Detached - Electricity Heating - Existing 2</v>
      </c>
      <c r="D14" s="233" t="s">
        <v>704</v>
      </c>
      <c r="E14" s="233" t="s">
        <v>102</v>
      </c>
      <c r="F14" s="230" t="str">
        <f>Commodities!$C$29</f>
        <v>COMELCH</v>
      </c>
      <c r="G14" s="230" t="str">
        <f>Commodities!$C$43</f>
        <v>COMHUDB</v>
      </c>
      <c r="H14" s="230">
        <v>2010</v>
      </c>
      <c r="I14" s="250">
        <f t="shared" si="2"/>
        <v>237.9</v>
      </c>
      <c r="J14" s="250">
        <f t="shared" si="3"/>
        <v>0</v>
      </c>
      <c r="K14" s="250">
        <f t="shared" si="4"/>
        <v>0</v>
      </c>
      <c r="L14" s="460">
        <v>2.3149999999999999</v>
      </c>
      <c r="M14" s="460">
        <v>2.3149999999999999</v>
      </c>
      <c r="N14" s="460">
        <v>2.3149999999999999</v>
      </c>
      <c r="O14" s="244">
        <f t="shared" si="7"/>
        <v>3.1536000000000002E-2</v>
      </c>
      <c r="P14" s="458">
        <v>0.2</v>
      </c>
      <c r="Q14" s="245">
        <v>30</v>
      </c>
      <c r="R14" s="227">
        <v>1.05</v>
      </c>
      <c r="T14" s="268">
        <f t="shared" si="5"/>
        <v>0.64815675161987041</v>
      </c>
      <c r="U14" s="268"/>
      <c r="V14" s="589" t="str">
        <f>'Data manipulation'!$B$30</f>
        <v>Ambient heat (heat pumps)</v>
      </c>
      <c r="W14" s="254" t="s">
        <v>170</v>
      </c>
      <c r="X14" s="246">
        <v>2011</v>
      </c>
      <c r="Y14" s="432">
        <f>_xlfn.IFNA(INDEX('Data manipulation'!$C$23:$O$39,MATCH($V14,'Data manipulation'!$B$23:$B$39,0),MATCH($X14,'Data manipulation'!$C$22:$O$22,0))/1000,0)*SUMIFS('Regional split'!$F$4:$F$6,'Regional split'!$B$4:$B$6,Y$3)*SUMIFS('Data manipulation'!$V$39:$V$42,'Data manipulation'!$X$39:$X$42,$E14,'Data manipulation'!$Y$39:$Y$42,$D14)</f>
        <v>0.61725300000000005</v>
      </c>
      <c r="Z14" s="270">
        <f>_xlfn.IFNA(INDEX('Data manipulation'!$C$23:$O$39,MATCH($V14,'Data manipulation'!$B$23:$B$39,0),MATCH($X14,'Data manipulation'!$C$22:$O$22,0))/1000,0)*SUMIFS('Regional split'!$F$4:$F$6,'Regional split'!$B$4:$B$6,Z$3)*SUMIFS('Data manipulation'!$V$39:$V$42,'Data manipulation'!$X$39:$X$42,$E14,'Data manipulation'!$Y$39:$Y$42,$D14)</f>
        <v>0</v>
      </c>
      <c r="AA14" s="454">
        <f>_xlfn.IFNA(INDEX('Data manipulation'!$C$23:$O$39,MATCH($V14,'Data manipulation'!$B$23:$B$39,0),MATCH($X14,'Data manipulation'!$C$22:$O$22,0))/1000,0)*SUMIFS('Regional split'!$F$4:$F$6,'Regional split'!$B$4:$B$6,AA$3)*SUMIFS('Data manipulation'!$V$39:$V$42,'Data manipulation'!$X$39:$X$42,$E14,'Data manipulation'!$Y$39:$Y$42,$D14)</f>
        <v>0</v>
      </c>
      <c r="AB14" s="443">
        <f t="shared" si="6"/>
        <v>1.4289406950000001</v>
      </c>
      <c r="AC14" s="251">
        <f t="shared" si="0"/>
        <v>0</v>
      </c>
      <c r="AD14" s="444">
        <f t="shared" si="1"/>
        <v>0</v>
      </c>
      <c r="BA14" s="253"/>
    </row>
    <row r="15" spans="2:53" ht="14.5">
      <c r="B15" s="233" t="str">
        <f>Processes!D62</f>
        <v>CHTUDHCEE1</v>
      </c>
      <c r="C15" s="233" t="str">
        <f>Processes!E62</f>
        <v>Commercial Heating Technology Urban Detached - District heating Central - Existing 1</v>
      </c>
      <c r="D15" s="233" t="s">
        <v>704</v>
      </c>
      <c r="E15" s="233" t="s">
        <v>102</v>
      </c>
      <c r="F15" s="230" t="str">
        <f>Commodities!$C$34</f>
        <v>COMHCE</v>
      </c>
      <c r="G15" s="230" t="str">
        <f>Commodities!$C$39</f>
        <v>COMHUDX</v>
      </c>
      <c r="H15" s="230">
        <v>2010</v>
      </c>
      <c r="I15" s="250">
        <f t="shared" si="2"/>
        <v>5152.8</v>
      </c>
      <c r="J15" s="565">
        <v>0</v>
      </c>
      <c r="K15" s="565">
        <v>0</v>
      </c>
      <c r="L15" s="460">
        <v>0.95</v>
      </c>
      <c r="M15" s="460">
        <v>0.95</v>
      </c>
      <c r="N15" s="460">
        <v>0.95</v>
      </c>
      <c r="O15" s="244">
        <f t="shared" si="7"/>
        <v>3.1536000000000002E-2</v>
      </c>
      <c r="P15" s="458">
        <v>0.2</v>
      </c>
      <c r="Q15" s="245">
        <v>30</v>
      </c>
      <c r="R15" s="227">
        <v>1.05</v>
      </c>
      <c r="T15" s="268">
        <f t="shared" si="5"/>
        <v>34.210252800000013</v>
      </c>
      <c r="U15" s="268"/>
      <c r="V15" s="589" t="str">
        <f>'Data manipulation'!$B$34</f>
        <v>Heat</v>
      </c>
      <c r="W15" s="254" t="s">
        <v>171</v>
      </c>
      <c r="X15" s="246">
        <v>2011</v>
      </c>
      <c r="Y15" s="432">
        <f>_xlfn.IFNA(INDEX('Data manipulation'!$C$23:$O$39,MATCH($V15,'Data manipulation'!$B$23:$B$39,0),MATCH($X15,'Data manipulation'!$C$22:$O$22,0))/1000,0)*SUMIFS('Regional split'!$F$4:$F$6,'Regional split'!$B$4:$B$6,Y$3)*SUMIFS('Data manipulation'!$V$39:$V$42,'Data manipulation'!$X$39:$X$42,$E15,'Data manipulation'!$Y$39:$Y$42,$D15)</f>
        <v>32.580736383467396</v>
      </c>
      <c r="Z15" s="270">
        <f>_xlfn.IFNA(INDEX('Data manipulation'!$C$23:$O$39,MATCH($V15,'Data manipulation'!$B$23:$B$39,0),MATCH($X15,'Data manipulation'!$C$22:$O$22,0))/1000,0)*SUMIFS('Regional split'!$F$4:$F$6,'Regional split'!$B$4:$B$6,Z$3)*SUMIFS('Data manipulation'!$V$39:$V$42,'Data manipulation'!$X$39:$X$42,$E15,'Data manipulation'!$Y$39:$Y$42,$D15)</f>
        <v>0</v>
      </c>
      <c r="AA15" s="454">
        <f>_xlfn.IFNA(INDEX('Data manipulation'!$C$23:$O$39,MATCH($V15,'Data manipulation'!$B$23:$B$39,0),MATCH($X15,'Data manipulation'!$C$22:$O$22,0))/1000,0)*SUMIFS('Regional split'!$F$4:$F$6,'Regional split'!$B$4:$B$6,AA$3)*SUMIFS('Data manipulation'!$V$39:$V$42,'Data manipulation'!$X$39:$X$42,$E15,'Data manipulation'!$Y$39:$Y$42,$D15)</f>
        <v>0</v>
      </c>
      <c r="AB15" s="443">
        <f t="shared" si="6"/>
        <v>30.951699564294024</v>
      </c>
      <c r="AC15" s="251">
        <f t="shared" si="0"/>
        <v>0</v>
      </c>
      <c r="AD15" s="444">
        <f t="shared" si="1"/>
        <v>0</v>
      </c>
      <c r="BA15" s="252"/>
    </row>
    <row r="16" spans="2:53" ht="15" customHeight="1" thickBot="1">
      <c r="B16" s="255" t="str">
        <f>Processes!D63</f>
        <v>CHTUDLPGE1</v>
      </c>
      <c r="C16" s="255" t="str">
        <f>Processes!E63</f>
        <v>Commercial Heating Technology Urban Detached - LPG - Existing 1</v>
      </c>
      <c r="D16" s="528" t="s">
        <v>704</v>
      </c>
      <c r="E16" s="528" t="s">
        <v>102</v>
      </c>
      <c r="F16" s="256" t="str">
        <f>Commodities!$C$20</f>
        <v>COMLPG</v>
      </c>
      <c r="G16" s="256" t="str">
        <f>G14</f>
        <v>COMHUDB</v>
      </c>
      <c r="H16" s="230">
        <v>2010</v>
      </c>
      <c r="I16" s="297">
        <f t="shared" ref="I16" si="8">ROUNDUP(AB16/($O16*$P16)*$R16,1)</f>
        <v>865.4</v>
      </c>
      <c r="J16" s="297">
        <f t="shared" ref="J16" si="9">ROUNDUP(AC16/($O16*$P16)*$R16,1)</f>
        <v>0</v>
      </c>
      <c r="K16" s="297">
        <f t="shared" ref="K16" si="10">ROUNDUP(AD16/($O16*$P16)*$R16,1)</f>
        <v>0</v>
      </c>
      <c r="L16" s="461">
        <v>0.95</v>
      </c>
      <c r="M16" s="461">
        <v>0.95</v>
      </c>
      <c r="N16" s="461">
        <v>0.95</v>
      </c>
      <c r="O16" s="257">
        <f t="shared" si="7"/>
        <v>3.1536000000000002E-2</v>
      </c>
      <c r="P16" s="458">
        <v>0.2</v>
      </c>
      <c r="Q16" s="258">
        <v>30</v>
      </c>
      <c r="R16" s="227">
        <v>1.05</v>
      </c>
      <c r="T16" s="268">
        <f t="shared" si="5"/>
        <v>5.7455272421052639</v>
      </c>
      <c r="U16" s="268"/>
      <c r="V16" s="590" t="str">
        <f>'Data manipulation'!$B$25</f>
        <v>Liquefied petroleum gas</v>
      </c>
      <c r="W16" s="427" t="s">
        <v>759</v>
      </c>
      <c r="X16" s="246">
        <v>2011</v>
      </c>
      <c r="Y16" s="433">
        <f>_xlfn.IFNA(INDEX('Data manipulation'!$C$23:$O$39,MATCH($V16,'Data manipulation'!$B$23:$B$39,0),MATCH($X16,'Data manipulation'!$C$22:$O$22,0))/1000,0)*SUMIFS('Regional split'!$F$4:$F$6,'Regional split'!$B$4:$B$6,Y$3)*SUMIFS('Data manipulation'!$V$39:$V$42,'Data manipulation'!$X$39:$X$42,$E16,'Data manipulation'!$Y$39:$Y$42,$D16)</f>
        <v>5.4719167843377985</v>
      </c>
      <c r="Z16" s="430">
        <f>_xlfn.IFNA(INDEX('Data manipulation'!$C$23:$O$39,MATCH($V16,'Data manipulation'!$B$23:$B$39,0),MATCH($X16,'Data manipulation'!$C$22:$O$22,0))/1000,0)*SUMIFS('Regional split'!$F$4:$F$6,'Regional split'!$B$4:$B$6,Z$3)*SUMIFS('Data manipulation'!$V$39:$V$42,'Data manipulation'!$X$39:$X$42,$E16,'Data manipulation'!$Y$39:$Y$42,$D16)</f>
        <v>0</v>
      </c>
      <c r="AA16" s="455">
        <f>_xlfn.IFNA(INDEX('Data manipulation'!$C$23:$O$39,MATCH($V16,'Data manipulation'!$B$23:$B$39,0),MATCH($X16,'Data manipulation'!$C$22:$O$22,0))/1000,0)*SUMIFS('Regional split'!$F$4:$F$6,'Regional split'!$B$4:$B$6,AA$3)*SUMIFS('Data manipulation'!$V$39:$V$42,'Data manipulation'!$X$39:$X$42,$E16,'Data manipulation'!$Y$39:$Y$42,$D16)</f>
        <v>0</v>
      </c>
      <c r="AB16" s="445">
        <f t="shared" si="6"/>
        <v>5.1983209451209085</v>
      </c>
      <c r="AC16" s="277">
        <f t="shared" si="0"/>
        <v>0</v>
      </c>
      <c r="AD16" s="446">
        <f t="shared" si="1"/>
        <v>0</v>
      </c>
      <c r="BA16" s="252"/>
    </row>
    <row r="17" spans="2:53" ht="15" customHeight="1">
      <c r="B17" s="233" t="str">
        <f>Processes!D64</f>
        <v>CHTRDNGAE1</v>
      </c>
      <c r="C17" s="233" t="str">
        <f>Processes!E64</f>
        <v>Commercial Heating Technology Rural Detached - Natural Gas - Existing 1</v>
      </c>
      <c r="D17" s="233" t="s">
        <v>705</v>
      </c>
      <c r="E17" s="233" t="s">
        <v>102</v>
      </c>
      <c r="F17" s="230" t="str">
        <f>Commodities!$C$18&amp;","&amp;Commodities!$C$37</f>
        <v>COMNGA,COMSNG</v>
      </c>
      <c r="G17" s="259" t="str">
        <f>Commodities!$C$44</f>
        <v>COMHRDB</v>
      </c>
      <c r="H17" s="230">
        <v>2010</v>
      </c>
      <c r="I17" s="250">
        <f>ROUNDUP(AB17/($O17*$P17)*$R17,1)</f>
        <v>11544.800000000001</v>
      </c>
      <c r="J17" s="250">
        <f>ROUNDUP(AC17/($O17*$P17)*$R17,1)</f>
        <v>0</v>
      </c>
      <c r="K17" s="250">
        <f>ROUNDUP(AD17/($O17*$P17)*$R17,1)</f>
        <v>0</v>
      </c>
      <c r="L17" s="460">
        <v>0.79</v>
      </c>
      <c r="M17" s="460">
        <v>0.79</v>
      </c>
      <c r="N17" s="460">
        <v>0.79</v>
      </c>
      <c r="O17" s="244">
        <f t="shared" si="7"/>
        <v>3.1536000000000002E-2</v>
      </c>
      <c r="P17" s="458">
        <v>0.2</v>
      </c>
      <c r="Q17" s="245">
        <v>25</v>
      </c>
      <c r="R17" s="227">
        <v>1.05</v>
      </c>
      <c r="T17" s="268">
        <f t="shared" si="5"/>
        <v>92.171345012658236</v>
      </c>
      <c r="U17" s="268"/>
      <c r="V17" s="589" t="str">
        <f>'Data manipulation'!$B$36</f>
        <v>Natural gas and biogas</v>
      </c>
      <c r="W17" s="246" t="s">
        <v>167</v>
      </c>
      <c r="X17" s="246">
        <v>2011</v>
      </c>
      <c r="Y17" s="432">
        <f>_xlfn.IFNA(INDEX('Data manipulation'!$C$23:$O$39,MATCH($V17,'Data manipulation'!$B$23:$B$39,0),MATCH($X17,'Data manipulation'!$C$22:$O$22,0))/1000,0)*SUMIFS('Regional split'!$F$4:$F$6,'Regional split'!$B$4:$B$6,Y$3)*SUMIFS('Data manipulation'!$V$39:$V$42,'Data manipulation'!$X$39:$X$42,$E17,'Data manipulation'!$Y$39:$Y$42,$D17)</f>
        <v>87.782156931187174</v>
      </c>
      <c r="Z17" s="270">
        <f>_xlfn.IFNA(INDEX('Data manipulation'!$C$23:$O$39,MATCH($V17,'Data manipulation'!$B$23:$B$39,0),MATCH($X17,'Data manipulation'!$C$22:$O$22,0))/1000,0)*SUMIFS('Regional split'!$F$4:$F$6,'Regional split'!$B$4:$B$6,Z$3)*SUMIFS('Data manipulation'!$V$39:$V$42,'Data manipulation'!$X$39:$X$42,$E17,'Data manipulation'!$Y$39:$Y$42,$D17)</f>
        <v>0</v>
      </c>
      <c r="AA17" s="454">
        <f>_xlfn.IFNA(INDEX('Data manipulation'!$C$23:$O$39,MATCH($V17,'Data manipulation'!$B$23:$B$39,0),MATCH($X17,'Data manipulation'!$C$22:$O$22,0))/1000,0)*SUMIFS('Regional split'!$F$4:$F$6,'Regional split'!$B$4:$B$6,AA$3)*SUMIFS('Data manipulation'!$V$39:$V$42,'Data manipulation'!$X$39:$X$42,$E17,'Data manipulation'!$Y$39:$Y$42,$D17)</f>
        <v>0</v>
      </c>
      <c r="AB17" s="443">
        <f>Y17*L17</f>
        <v>69.347903975637877</v>
      </c>
      <c r="AC17" s="278">
        <f t="shared" si="0"/>
        <v>0</v>
      </c>
      <c r="AD17" s="447">
        <f t="shared" si="1"/>
        <v>0</v>
      </c>
      <c r="BA17" s="252"/>
    </row>
    <row r="18" spans="2:53" ht="15" customHeight="1">
      <c r="B18" s="233" t="str">
        <f>Processes!D65</f>
        <v>CHTRDDSLE1</v>
      </c>
      <c r="C18" s="233" t="str">
        <f>Processes!E65</f>
        <v>Commercial Heating Technology Rural Detached - Diesel - Existing 1</v>
      </c>
      <c r="D18" s="233" t="s">
        <v>705</v>
      </c>
      <c r="E18" s="233" t="s">
        <v>102</v>
      </c>
      <c r="F18" s="230" t="str">
        <f>Commodities!$C$21&amp;","&amp;Commodities!$C$38</f>
        <v>COMDSL,COMDSB</v>
      </c>
      <c r="G18" s="259" t="str">
        <f>Commodities!$C$44</f>
        <v>COMHRDB</v>
      </c>
      <c r="H18" s="230">
        <v>2010</v>
      </c>
      <c r="I18" s="250">
        <f t="shared" ref="I18:I25" si="11">ROUNDUP(AB18/($O18*$P18)*$R18,1)</f>
        <v>10173.700000000001</v>
      </c>
      <c r="J18" s="250">
        <f t="shared" ref="J18:J25" si="12">ROUNDUP(AC18/($O18*$P18)*$R18,1)</f>
        <v>0</v>
      </c>
      <c r="K18" s="250">
        <f t="shared" ref="K18:K25" si="13">ROUNDUP(AD18/($O18*$P18)*$R18,1)</f>
        <v>0</v>
      </c>
      <c r="L18" s="460">
        <v>0.79</v>
      </c>
      <c r="M18" s="460">
        <v>0.79</v>
      </c>
      <c r="N18" s="460">
        <v>0.79</v>
      </c>
      <c r="O18" s="244">
        <f t="shared" si="7"/>
        <v>3.1536000000000002E-2</v>
      </c>
      <c r="P18" s="458">
        <v>0.2</v>
      </c>
      <c r="Q18" s="245">
        <v>20</v>
      </c>
      <c r="R18" s="227">
        <v>1.05</v>
      </c>
      <c r="T18" s="268">
        <f t="shared" si="5"/>
        <v>81.224760303797495</v>
      </c>
      <c r="V18" s="589" t="str">
        <f>'Data manipulation'!$B$28</f>
        <v>Gas oil and diesel oil and biodiesel</v>
      </c>
      <c r="W18" s="254" t="s">
        <v>718</v>
      </c>
      <c r="X18" s="246">
        <v>2011</v>
      </c>
      <c r="Y18" s="432">
        <f>_xlfn.IFNA(INDEX('Data manipulation'!$C$23:$O$39,MATCH($V18,'Data manipulation'!$B$23:$B$39,0),MATCH($X18,'Data manipulation'!$C$22:$O$22,0))/1000,0)*SUMIFS('Regional split'!$F$4:$F$6,'Regional split'!$B$4:$B$6,Y$3)*SUMIFS('Data manipulation'!$V$39:$V$42,'Data manipulation'!$X$39:$X$42,$E18,'Data manipulation'!$Y$39:$Y$42,$D18)</f>
        <v>77.356548732464361</v>
      </c>
      <c r="Z18" s="270">
        <f>_xlfn.IFNA(INDEX('Data manipulation'!$C$23:$O$39,MATCH($V18,'Data manipulation'!$B$23:$B$39,0),MATCH($X18,'Data manipulation'!$C$22:$O$22,0))/1000,0)*SUMIFS('Regional split'!$F$4:$F$6,'Regional split'!$B$4:$B$6,Z$3)*SUMIFS('Data manipulation'!$V$39:$V$42,'Data manipulation'!$X$39:$X$42,$E18,'Data manipulation'!$Y$39:$Y$42,$D18)</f>
        <v>0</v>
      </c>
      <c r="AA18" s="454">
        <f>_xlfn.IFNA(INDEX('Data manipulation'!$C$23:$O$39,MATCH($V18,'Data manipulation'!$B$23:$B$39,0),MATCH($X18,'Data manipulation'!$C$22:$O$22,0))/1000,0)*SUMIFS('Regional split'!$F$4:$F$6,'Regional split'!$B$4:$B$6,AA$3)*SUMIFS('Data manipulation'!$V$39:$V$42,'Data manipulation'!$X$39:$X$42,$E18,'Data manipulation'!$Y$39:$Y$42,$D18)</f>
        <v>0</v>
      </c>
      <c r="AB18" s="443">
        <f t="shared" si="6"/>
        <v>61.111673498646851</v>
      </c>
      <c r="AC18" s="251">
        <f t="shared" si="0"/>
        <v>0</v>
      </c>
      <c r="AD18" s="444">
        <f t="shared" si="1"/>
        <v>0</v>
      </c>
      <c r="AV18" s="260"/>
      <c r="BA18" s="252"/>
    </row>
    <row r="19" spans="2:53" ht="15" customHeight="1">
      <c r="B19" s="233" t="str">
        <f>Processes!D66</f>
        <v>CHTRDWPEE1</v>
      </c>
      <c r="C19" s="233" t="str">
        <f>Processes!E66</f>
        <v>Commercial Heating Technology Rural Detached - Wood pellets - Existing 1</v>
      </c>
      <c r="D19" s="233" t="s">
        <v>705</v>
      </c>
      <c r="E19" s="233" t="s">
        <v>102</v>
      </c>
      <c r="F19" s="230" t="str">
        <f>Commodities!$C$23</f>
        <v>COMWPE</v>
      </c>
      <c r="G19" s="259" t="str">
        <f>Commodities!$C$44</f>
        <v>COMHRDB</v>
      </c>
      <c r="H19" s="230">
        <v>2010</v>
      </c>
      <c r="I19" s="250">
        <f t="shared" si="11"/>
        <v>0</v>
      </c>
      <c r="J19" s="250">
        <f t="shared" si="12"/>
        <v>0</v>
      </c>
      <c r="K19" s="250">
        <f t="shared" si="13"/>
        <v>0</v>
      </c>
      <c r="L19" s="460">
        <v>0.67</v>
      </c>
      <c r="M19" s="460">
        <v>0.67</v>
      </c>
      <c r="N19" s="460">
        <v>0.67</v>
      </c>
      <c r="O19" s="244">
        <f>31.536/1000</f>
        <v>3.1536000000000002E-2</v>
      </c>
      <c r="P19" s="458">
        <v>0.2</v>
      </c>
      <c r="Q19" s="245">
        <v>20</v>
      </c>
      <c r="R19" s="227">
        <v>1.05</v>
      </c>
      <c r="T19" s="268">
        <f t="shared" si="5"/>
        <v>0</v>
      </c>
      <c r="U19" s="268"/>
      <c r="W19" s="254" t="s">
        <v>849</v>
      </c>
      <c r="X19" s="246">
        <v>2011</v>
      </c>
      <c r="Y19" s="432">
        <f>_xlfn.IFNA(INDEX('Data manipulation'!$C$23:$O$39,MATCH($V19,'Data manipulation'!$B$23:$B$39,0),MATCH($X19,'Data manipulation'!$C$22:$O$22,0))/1000,0)*SUMIFS('Regional split'!$F$4:$F$6,'Regional split'!$B$4:$B$6,Y$3)*SUMIFS('Data manipulation'!$V$39:$V$42,'Data manipulation'!$X$39:$X$42,$E19,'Data manipulation'!$Y$39:$Y$42,$D19)</f>
        <v>0</v>
      </c>
      <c r="Z19" s="270">
        <f>_xlfn.IFNA(INDEX('Data manipulation'!$C$23:$O$39,MATCH($V19,'Data manipulation'!$B$23:$B$39,0),MATCH($X19,'Data manipulation'!$C$22:$O$22,0))/1000,0)*SUMIFS('Regional split'!$F$4:$F$6,'Regional split'!$B$4:$B$6,Z$3)*SUMIFS('Data manipulation'!$V$39:$V$42,'Data manipulation'!$X$39:$X$42,$E19,'Data manipulation'!$Y$39:$Y$42,$D19)</f>
        <v>0</v>
      </c>
      <c r="AA19" s="454">
        <f>_xlfn.IFNA(INDEX('Data manipulation'!$C$23:$O$39,MATCH($V19,'Data manipulation'!$B$23:$B$39,0),MATCH($X19,'Data manipulation'!$C$22:$O$22,0))/1000,0)*SUMIFS('Regional split'!$F$4:$F$6,'Regional split'!$B$4:$B$6,AA$3)*SUMIFS('Data manipulation'!$V$39:$V$42,'Data manipulation'!$X$39:$X$42,$E19,'Data manipulation'!$Y$39:$Y$42,$D19)</f>
        <v>0</v>
      </c>
      <c r="AB19" s="443">
        <f t="shared" si="6"/>
        <v>0</v>
      </c>
      <c r="AC19" s="251">
        <f t="shared" si="0"/>
        <v>0</v>
      </c>
      <c r="AD19" s="444">
        <f t="shared" si="1"/>
        <v>0</v>
      </c>
      <c r="AV19" s="260"/>
      <c r="BA19" s="253"/>
    </row>
    <row r="20" spans="2:53" ht="15" customHeight="1">
      <c r="B20" s="233" t="str">
        <f>Processes!D67</f>
        <v>CHTRDFIWE1</v>
      </c>
      <c r="C20" s="233" t="str">
        <f>Processes!E67</f>
        <v>Commercial Heating Technology Rural Detached - Fire wood - Existing 1</v>
      </c>
      <c r="D20" s="233" t="s">
        <v>705</v>
      </c>
      <c r="E20" s="233" t="s">
        <v>102</v>
      </c>
      <c r="F20" s="230" t="str">
        <f>Commodities!$C$24</f>
        <v>COMFIW</v>
      </c>
      <c r="G20" s="259" t="str">
        <f>Commodities!$C$44</f>
        <v>COMHRDB</v>
      </c>
      <c r="H20" s="230">
        <v>2010</v>
      </c>
      <c r="I20" s="250">
        <f t="shared" si="11"/>
        <v>1610.3</v>
      </c>
      <c r="J20" s="250">
        <f t="shared" si="12"/>
        <v>0</v>
      </c>
      <c r="K20" s="250">
        <f t="shared" si="13"/>
        <v>0</v>
      </c>
      <c r="L20" s="460">
        <v>0.67</v>
      </c>
      <c r="M20" s="460">
        <v>0.67</v>
      </c>
      <c r="N20" s="460">
        <v>0.67</v>
      </c>
      <c r="O20" s="244">
        <f>31.536/1000</f>
        <v>3.1536000000000002E-2</v>
      </c>
      <c r="P20" s="458">
        <v>0.2</v>
      </c>
      <c r="Q20" s="245">
        <v>20</v>
      </c>
      <c r="R20" s="227">
        <v>1.05</v>
      </c>
      <c r="T20" s="268">
        <f t="shared" si="5"/>
        <v>15.158931582089554</v>
      </c>
      <c r="U20" s="268"/>
      <c r="V20" s="589" t="str">
        <f>'Data manipulation'!$B$31</f>
        <v>Primary solid biofuels</v>
      </c>
      <c r="W20" s="254" t="s">
        <v>176</v>
      </c>
      <c r="X20" s="246">
        <v>2011</v>
      </c>
      <c r="Y20" s="432">
        <f>_xlfn.IFNA(INDEX('Data manipulation'!$C$23:$O$39,MATCH($V20,'Data manipulation'!$B$23:$B$39,0),MATCH($X20,'Data manipulation'!$C$22:$O$22,0))/1000,0)*SUMIFS('Regional split'!$F$4:$F$6,'Regional split'!$B$4:$B$6,Y$3)*SUMIFS('Data manipulation'!$V$39:$V$42,'Data manipulation'!$X$39:$X$42,$E20,'Data manipulation'!$Y$39:$Y$42,$D20)</f>
        <v>14.436671550828516</v>
      </c>
      <c r="Z20" s="270">
        <f>_xlfn.IFNA(INDEX('Data manipulation'!$C$23:$O$39,MATCH($V20,'Data manipulation'!$B$23:$B$39,0),MATCH($X20,'Data manipulation'!$C$22:$O$22,0))/1000,0)*SUMIFS('Regional split'!$F$4:$F$6,'Regional split'!$B$4:$B$6,Z$3)*SUMIFS('Data manipulation'!$V$39:$V$42,'Data manipulation'!$X$39:$X$42,$E20,'Data manipulation'!$Y$39:$Y$42,$D20)</f>
        <v>0</v>
      </c>
      <c r="AA20" s="454">
        <f>_xlfn.IFNA(INDEX('Data manipulation'!$C$23:$O$39,MATCH($V20,'Data manipulation'!$B$23:$B$39,0),MATCH($X20,'Data manipulation'!$C$22:$O$22,0))/1000,0)*SUMIFS('Regional split'!$F$4:$F$6,'Regional split'!$B$4:$B$6,AA$3)*SUMIFS('Data manipulation'!$V$39:$V$42,'Data manipulation'!$X$39:$X$42,$E20,'Data manipulation'!$Y$39:$Y$42,$D20)</f>
        <v>0</v>
      </c>
      <c r="AB20" s="443">
        <f t="shared" si="6"/>
        <v>9.6725699390551068</v>
      </c>
      <c r="AC20" s="251">
        <f t="shared" si="0"/>
        <v>0</v>
      </c>
      <c r="AD20" s="444">
        <f t="shared" si="1"/>
        <v>0</v>
      </c>
      <c r="AV20" s="260"/>
      <c r="BA20" s="253"/>
    </row>
    <row r="21" spans="2:53" ht="15" customHeight="1">
      <c r="B21" s="233" t="str">
        <f>Processes!D68</f>
        <v>CHTRDCOAE1</v>
      </c>
      <c r="C21" s="233" t="str">
        <f>Processes!E68</f>
        <v>Commercial Heating Technology Rural Detached - Coal - Existing 1</v>
      </c>
      <c r="D21" s="233" t="s">
        <v>705</v>
      </c>
      <c r="E21" s="233" t="s">
        <v>102</v>
      </c>
      <c r="F21" s="230" t="str">
        <f>Commodities!$C$25</f>
        <v>COMCOA</v>
      </c>
      <c r="G21" s="259" t="str">
        <f>Commodities!$C$44</f>
        <v>COMHRDB</v>
      </c>
      <c r="H21" s="230">
        <v>2010</v>
      </c>
      <c r="I21" s="250">
        <f t="shared" si="11"/>
        <v>154.79999999999998</v>
      </c>
      <c r="J21" s="250">
        <f t="shared" si="12"/>
        <v>0</v>
      </c>
      <c r="K21" s="250">
        <f t="shared" si="13"/>
        <v>0</v>
      </c>
      <c r="L21" s="460">
        <v>0.72</v>
      </c>
      <c r="M21" s="460">
        <v>0.72</v>
      </c>
      <c r="N21" s="460">
        <v>0.72</v>
      </c>
      <c r="O21" s="244">
        <f t="shared" si="7"/>
        <v>3.1536000000000002E-2</v>
      </c>
      <c r="P21" s="458">
        <v>0.2</v>
      </c>
      <c r="Q21" s="245">
        <v>20</v>
      </c>
      <c r="R21" s="227">
        <v>1.05</v>
      </c>
      <c r="T21" s="268">
        <f t="shared" si="5"/>
        <v>1.3560479999999999</v>
      </c>
      <c r="U21" s="268"/>
      <c r="V21" s="589" t="str">
        <f>'Data manipulation'!$B$23</f>
        <v>Solid fossil fuels, peat, peat products, oil shale and oil sands</v>
      </c>
      <c r="W21" s="254" t="s">
        <v>846</v>
      </c>
      <c r="X21" s="246">
        <v>2011</v>
      </c>
      <c r="Y21" s="432">
        <f>_xlfn.IFNA(INDEX('Data manipulation'!$C$23:$O$39,MATCH($V21,'Data manipulation'!$B$23:$B$39,0),MATCH($X21,'Data manipulation'!$C$22:$O$22,0))/1000,0)*SUMIFS('Regional split'!$F$4:$F$6,'Regional split'!$B$4:$B$6,Y$3)*SUMIFS('Data manipulation'!$V$39:$V$42,'Data manipulation'!$X$39:$X$42,$E21,'Data manipulation'!$Y$39:$Y$42,$D21)</f>
        <v>1.2906953729999999</v>
      </c>
      <c r="Z21" s="270">
        <f>_xlfn.IFNA(INDEX('Data manipulation'!$C$23:$O$39,MATCH($V21,'Data manipulation'!$B$23:$B$39,0),MATCH($X21,'Data manipulation'!$C$22:$O$22,0))/1000,0)*SUMIFS('Regional split'!$F$4:$F$6,'Regional split'!$B$4:$B$6,Z$3)*SUMIFS('Data manipulation'!$V$39:$V$42,'Data manipulation'!$X$39:$X$42,$E21,'Data manipulation'!$Y$39:$Y$42,$D21)</f>
        <v>0</v>
      </c>
      <c r="AA21" s="454">
        <f>_xlfn.IFNA(INDEX('Data manipulation'!$C$23:$O$39,MATCH($V21,'Data manipulation'!$B$23:$B$39,0),MATCH($X21,'Data manipulation'!$C$22:$O$22,0))/1000,0)*SUMIFS('Regional split'!$F$4:$F$6,'Regional split'!$B$4:$B$6,AA$3)*SUMIFS('Data manipulation'!$V$39:$V$42,'Data manipulation'!$X$39:$X$42,$E21,'Data manipulation'!$Y$39:$Y$42,$D21)</f>
        <v>0</v>
      </c>
      <c r="AB21" s="443">
        <f t="shared" si="6"/>
        <v>0.92930066855999993</v>
      </c>
      <c r="AC21" s="251">
        <f t="shared" si="0"/>
        <v>0</v>
      </c>
      <c r="AD21" s="444">
        <f t="shared" si="1"/>
        <v>0</v>
      </c>
      <c r="AV21" s="260"/>
      <c r="BA21" s="252"/>
    </row>
    <row r="22" spans="2:53" ht="15" customHeight="1">
      <c r="B22" s="233" t="str">
        <f>Processes!D69</f>
        <v>CHTRDSOLE1</v>
      </c>
      <c r="C22" s="233" t="str">
        <f>Processes!E69</f>
        <v>Commercial Heating Technology Rural Detached - Solar - Existing 1</v>
      </c>
      <c r="D22" s="233" t="s">
        <v>705</v>
      </c>
      <c r="E22" s="233" t="s">
        <v>102</v>
      </c>
      <c r="F22" s="230" t="str">
        <f>Commodities!$C$27</f>
        <v>COMSOL</v>
      </c>
      <c r="G22" s="259" t="str">
        <f>Commodities!$C$44</f>
        <v>COMHRDB</v>
      </c>
      <c r="H22" s="230">
        <v>2010</v>
      </c>
      <c r="I22" s="250">
        <f t="shared" si="11"/>
        <v>8</v>
      </c>
      <c r="J22" s="250">
        <f t="shared" si="12"/>
        <v>0</v>
      </c>
      <c r="K22" s="250">
        <f t="shared" si="13"/>
        <v>0</v>
      </c>
      <c r="L22" s="460">
        <v>1</v>
      </c>
      <c r="M22" s="460">
        <v>1</v>
      </c>
      <c r="N22" s="460">
        <v>1</v>
      </c>
      <c r="O22" s="244">
        <f t="shared" si="7"/>
        <v>3.1536000000000002E-2</v>
      </c>
      <c r="P22" s="458">
        <v>0.2</v>
      </c>
      <c r="Q22" s="245">
        <v>20</v>
      </c>
      <c r="R22" s="227">
        <v>1.05</v>
      </c>
      <c r="T22" s="268">
        <f t="shared" si="5"/>
        <v>5.0457600000000005E-2</v>
      </c>
      <c r="U22" s="268"/>
      <c r="V22" s="589" t="str">
        <f>'Data manipulation'!$B$29</f>
        <v>Solar thermal</v>
      </c>
      <c r="W22" s="254" t="s">
        <v>168</v>
      </c>
      <c r="X22" s="246">
        <v>2011</v>
      </c>
      <c r="Y22" s="432">
        <f>_xlfn.IFNA(INDEX('Data manipulation'!$C$23:$O$39,MATCH($V22,'Data manipulation'!$B$23:$B$39,0),MATCH($X22,'Data manipulation'!$C$22:$O$22,0))/1000,0)*SUMIFS('Regional split'!$F$4:$F$6,'Regional split'!$B$4:$B$6,Y$3)*SUMIFS('Data manipulation'!$V$39:$V$42,'Data manipulation'!$X$39:$X$42,$E22,'Data manipulation'!$Y$39:$Y$42,$D22)</f>
        <v>4.7806616000000003E-2</v>
      </c>
      <c r="Z22" s="270">
        <f>_xlfn.IFNA(INDEX('Data manipulation'!$C$23:$O$39,MATCH($V22,'Data manipulation'!$B$23:$B$39,0),MATCH($X22,'Data manipulation'!$C$22:$O$22,0))/1000,0)*SUMIFS('Regional split'!$F$4:$F$6,'Regional split'!$B$4:$B$6,Z$3)*SUMIFS('Data manipulation'!$V$39:$V$42,'Data manipulation'!$X$39:$X$42,$E22,'Data manipulation'!$Y$39:$Y$42,$D22)</f>
        <v>0</v>
      </c>
      <c r="AA22" s="454">
        <f>_xlfn.IFNA(INDEX('Data manipulation'!$C$23:$O$39,MATCH($V22,'Data manipulation'!$B$23:$B$39,0),MATCH($X22,'Data manipulation'!$C$22:$O$22,0))/1000,0)*SUMIFS('Regional split'!$F$4:$F$6,'Regional split'!$B$4:$B$6,AA$3)*SUMIFS('Data manipulation'!$V$39:$V$42,'Data manipulation'!$X$39:$X$42,$E22,'Data manipulation'!$Y$39:$Y$42,$D22)</f>
        <v>0</v>
      </c>
      <c r="AB22" s="443">
        <f t="shared" si="6"/>
        <v>4.7806616000000003E-2</v>
      </c>
      <c r="AC22" s="251">
        <f t="shared" si="0"/>
        <v>0</v>
      </c>
      <c r="AD22" s="444">
        <f t="shared" si="1"/>
        <v>0</v>
      </c>
      <c r="AV22" s="260"/>
      <c r="BA22" s="252"/>
    </row>
    <row r="23" spans="2:53" ht="15" customHeight="1">
      <c r="B23" s="233" t="str">
        <f>Processes!D70</f>
        <v>CHTRDGEOE1</v>
      </c>
      <c r="C23" s="233" t="str">
        <f>Processes!E70</f>
        <v>Commercial Heating Technology Rural Detached - Geothermal - Existing 1</v>
      </c>
      <c r="D23" s="233" t="s">
        <v>705</v>
      </c>
      <c r="E23" s="233" t="s">
        <v>102</v>
      </c>
      <c r="F23" s="230" t="str">
        <f>Commodities!$C$28</f>
        <v>COMGEO</v>
      </c>
      <c r="G23" s="230" t="str">
        <f>Commodities!$C$44</f>
        <v>COMHRDB</v>
      </c>
      <c r="H23" s="230">
        <v>2010</v>
      </c>
      <c r="I23" s="250">
        <f t="shared" si="11"/>
        <v>100</v>
      </c>
      <c r="J23" s="250">
        <f t="shared" si="12"/>
        <v>0</v>
      </c>
      <c r="K23" s="250">
        <f t="shared" si="13"/>
        <v>0</v>
      </c>
      <c r="L23" s="460">
        <v>1</v>
      </c>
      <c r="M23" s="460">
        <v>1</v>
      </c>
      <c r="N23" s="460">
        <v>1</v>
      </c>
      <c r="O23" s="244">
        <f t="shared" si="7"/>
        <v>3.1536000000000002E-2</v>
      </c>
      <c r="P23" s="458">
        <v>0.2</v>
      </c>
      <c r="Q23" s="245">
        <v>20</v>
      </c>
      <c r="R23" s="227">
        <v>1.05</v>
      </c>
      <c r="T23" s="268">
        <f t="shared" ref="T23" si="14">SUM(I23:K23)*O23*P23/L23</f>
        <v>0.63072000000000006</v>
      </c>
      <c r="U23" s="268"/>
      <c r="V23" s="589" t="str">
        <f>'Data manipulation'!$B$38</f>
        <v>Geothermal</v>
      </c>
      <c r="W23" s="254" t="s">
        <v>967</v>
      </c>
      <c r="X23" s="246">
        <v>2011</v>
      </c>
      <c r="Y23" s="432">
        <f>_xlfn.IFNA(INDEX('Data manipulation'!$C$23:$O$39,MATCH($V23,'Data manipulation'!$B$23:$B$39,0),MATCH($X23,'Data manipulation'!$C$22:$O$22,0))/1000,0)*SUMIFS('Regional split'!$F$4:$F$6,'Regional split'!$B$4:$B$6,Y$3)*SUMIFS('Data manipulation'!$V$39:$V$42,'Data manipulation'!$X$39:$X$42,$E23,'Data manipulation'!$Y$39:$Y$42,$D23)</f>
        <v>0.60067700000000002</v>
      </c>
      <c r="Z23" s="270">
        <f>_xlfn.IFNA(INDEX('Data manipulation'!$C$23:$O$39,MATCH($V23,'Data manipulation'!$B$23:$B$39,0),MATCH($X23,'Data manipulation'!$C$22:$O$22,0))/1000,0)*SUMIFS('Regional split'!$F$4:$F$6,'Regional split'!$B$4:$B$6,Z$3)*SUMIFS('Data manipulation'!$V$39:$V$42,'Data manipulation'!$X$39:$X$42,$E23,'Data manipulation'!$Y$39:$Y$42,$D23)</f>
        <v>0</v>
      </c>
      <c r="AA23" s="454">
        <f>_xlfn.IFNA(INDEX('Data manipulation'!$C$23:$O$39,MATCH($V23,'Data manipulation'!$B$23:$B$39,0),MATCH($X23,'Data manipulation'!$C$22:$O$22,0))/1000,0)*SUMIFS('Regional split'!$F$4:$F$6,'Regional split'!$B$4:$B$6,AA$3)*SUMIFS('Data manipulation'!$V$39:$V$42,'Data manipulation'!$X$39:$X$42,$E23,'Data manipulation'!$Y$39:$Y$42,$D23)</f>
        <v>0</v>
      </c>
      <c r="AB23" s="443">
        <f t="shared" ref="AB23" si="15">Y23*L23</f>
        <v>0.60067700000000002</v>
      </c>
      <c r="AC23" s="251">
        <f t="shared" ref="AC23" si="16">Z23*M23</f>
        <v>0</v>
      </c>
      <c r="AD23" s="444">
        <f t="shared" ref="AD23" si="17">AA23*N23</f>
        <v>0</v>
      </c>
      <c r="BA23" s="252"/>
    </row>
    <row r="24" spans="2:53" ht="15" customHeight="1">
      <c r="B24" s="233" t="str">
        <f>Processes!D71</f>
        <v>CHTRDELCHE1</v>
      </c>
      <c r="C24" s="233" t="str">
        <f>Processes!E71</f>
        <v>Commercial Heating Technology Rural Detached - Electricity Heating - Existing 1</v>
      </c>
      <c r="D24" s="233" t="s">
        <v>705</v>
      </c>
      <c r="E24" s="233" t="s">
        <v>102</v>
      </c>
      <c r="F24" s="230" t="str">
        <f>Commodities!$C$29</f>
        <v>COMELCH</v>
      </c>
      <c r="G24" s="259" t="str">
        <f>Commodities!$C$44</f>
        <v>COMHRDB</v>
      </c>
      <c r="H24" s="230">
        <v>2010</v>
      </c>
      <c r="I24" s="250">
        <f t="shared" si="11"/>
        <v>1536.6999999999998</v>
      </c>
      <c r="J24" s="250">
        <f t="shared" si="12"/>
        <v>0</v>
      </c>
      <c r="K24" s="250">
        <f t="shared" si="13"/>
        <v>0</v>
      </c>
      <c r="L24" s="460">
        <v>1</v>
      </c>
      <c r="M24" s="460">
        <v>1</v>
      </c>
      <c r="N24" s="460">
        <v>1</v>
      </c>
      <c r="O24" s="244">
        <f t="shared" si="7"/>
        <v>3.1536000000000002E-2</v>
      </c>
      <c r="P24" s="458">
        <v>0.2</v>
      </c>
      <c r="Q24" s="245">
        <v>30</v>
      </c>
      <c r="R24" s="227">
        <v>1.05</v>
      </c>
      <c r="T24" s="268">
        <f t="shared" si="5"/>
        <v>9.6922742399999997</v>
      </c>
      <c r="U24" s="268"/>
      <c r="V24" s="589" t="str">
        <f>'Data manipulation'!$B$33</f>
        <v>Electricity</v>
      </c>
      <c r="W24" s="254" t="s">
        <v>169</v>
      </c>
      <c r="X24" s="246">
        <v>2011</v>
      </c>
      <c r="Y24" s="432">
        <f>_xlfn.IFNA(INDEX('Data manipulation'!$C$23:$O$39,MATCH($V24,'Data manipulation'!$B$23:$B$39,0),MATCH($X24,'Data manipulation'!$C$22:$O$22,0))/1000,0)*SUMIFS('Regional split'!$F$4:$F$6,'Regional split'!$B$4:$B$6,Y$3)*SUMIFS('Data manipulation'!$V$39:$V$42,'Data manipulation'!$X$39:$X$42,$E24,'Data manipulation'!$Y$39:$Y$42,$D24)</f>
        <v>9.2303251220826379</v>
      </c>
      <c r="Z24" s="270">
        <f>_xlfn.IFNA(INDEX('Data manipulation'!$C$23:$O$39,MATCH($V24,'Data manipulation'!$B$23:$B$39,0),MATCH($X24,'Data manipulation'!$C$22:$O$22,0))/1000,0)*SUMIFS('Regional split'!$F$4:$F$6,'Regional split'!$B$4:$B$6,Z$3)*SUMIFS('Data manipulation'!$V$39:$V$42,'Data manipulation'!$X$39:$X$42,$E24,'Data manipulation'!$Y$39:$Y$42,$D24)</f>
        <v>0</v>
      </c>
      <c r="AA24" s="454">
        <f>_xlfn.IFNA(INDEX('Data manipulation'!$C$23:$O$39,MATCH($V24,'Data manipulation'!$B$23:$B$39,0),MATCH($X24,'Data manipulation'!$C$22:$O$22,0))/1000,0)*SUMIFS('Regional split'!$F$4:$F$6,'Regional split'!$B$4:$B$6,AA$3)*SUMIFS('Data manipulation'!$V$39:$V$42,'Data manipulation'!$X$39:$X$42,$E24,'Data manipulation'!$Y$39:$Y$42,$D24)</f>
        <v>0</v>
      </c>
      <c r="AB24" s="443">
        <f t="shared" si="6"/>
        <v>9.2303251220826379</v>
      </c>
      <c r="AC24" s="251">
        <f t="shared" si="0"/>
        <v>0</v>
      </c>
      <c r="AD24" s="444">
        <f t="shared" si="1"/>
        <v>0</v>
      </c>
      <c r="AV24" s="260"/>
      <c r="BA24" s="252"/>
    </row>
    <row r="25" spans="2:53" ht="15" customHeight="1">
      <c r="B25" s="233" t="str">
        <f>Processes!D72</f>
        <v>CHTRDELCHE2</v>
      </c>
      <c r="C25" s="233" t="str">
        <f>Processes!E72</f>
        <v>Commercial Heating Technology Rural Detached - Electricity Heating - Existing 2</v>
      </c>
      <c r="D25" s="233" t="s">
        <v>705</v>
      </c>
      <c r="E25" s="233" t="s">
        <v>102</v>
      </c>
      <c r="F25" s="230" t="str">
        <f>Commodities!$C$29</f>
        <v>COMELCH</v>
      </c>
      <c r="G25" s="259" t="str">
        <f>Commodities!$C$44</f>
        <v>COMHRDB</v>
      </c>
      <c r="H25" s="230">
        <v>2010</v>
      </c>
      <c r="I25" s="250">
        <f t="shared" si="11"/>
        <v>180.7</v>
      </c>
      <c r="J25" s="250">
        <f t="shared" si="12"/>
        <v>0</v>
      </c>
      <c r="K25" s="250">
        <f t="shared" si="13"/>
        <v>0</v>
      </c>
      <c r="L25" s="460">
        <v>2.3149999999999999</v>
      </c>
      <c r="M25" s="460">
        <v>2.3149999999999999</v>
      </c>
      <c r="N25" s="460">
        <v>2.3149999999999999</v>
      </c>
      <c r="O25" s="244">
        <f t="shared" si="7"/>
        <v>3.1536000000000002E-2</v>
      </c>
      <c r="P25" s="458">
        <v>0.2</v>
      </c>
      <c r="Q25" s="245">
        <v>30</v>
      </c>
      <c r="R25" s="227">
        <v>1.05</v>
      </c>
      <c r="T25" s="268">
        <f t="shared" si="5"/>
        <v>0.4923157840172786</v>
      </c>
      <c r="U25" s="268"/>
      <c r="V25" s="589" t="str">
        <f>'Data manipulation'!$B$30</f>
        <v>Ambient heat (heat pumps)</v>
      </c>
      <c r="W25" s="254" t="s">
        <v>170</v>
      </c>
      <c r="X25" s="246">
        <v>2011</v>
      </c>
      <c r="Y25" s="432">
        <f>_xlfn.IFNA(INDEX('Data manipulation'!$C$23:$O$39,MATCH($V25,'Data manipulation'!$B$23:$B$39,0),MATCH($X25,'Data manipulation'!$C$22:$O$22,0))/1000,0)*SUMIFS('Regional split'!$F$4:$F$6,'Regional split'!$B$4:$B$6,Y$3)*SUMIFS('Data manipulation'!$V$39:$V$42,'Data manipulation'!$X$39:$X$42,$E25,'Data manipulation'!$Y$39:$Y$42,$D25)</f>
        <v>0.46881835000000005</v>
      </c>
      <c r="Z25" s="270">
        <f>_xlfn.IFNA(INDEX('Data manipulation'!$C$23:$O$39,MATCH($V25,'Data manipulation'!$B$23:$B$39,0),MATCH($X25,'Data manipulation'!$C$22:$O$22,0))/1000,0)*SUMIFS('Regional split'!$F$4:$F$6,'Regional split'!$B$4:$B$6,Z$3)*SUMIFS('Data manipulation'!$V$39:$V$42,'Data manipulation'!$X$39:$X$42,$E25,'Data manipulation'!$Y$39:$Y$42,$D25)</f>
        <v>0</v>
      </c>
      <c r="AA25" s="454">
        <f>_xlfn.IFNA(INDEX('Data manipulation'!$C$23:$O$39,MATCH($V25,'Data manipulation'!$B$23:$B$39,0),MATCH($X25,'Data manipulation'!$C$22:$O$22,0))/1000,0)*SUMIFS('Regional split'!$F$4:$F$6,'Regional split'!$B$4:$B$6,AA$3)*SUMIFS('Data manipulation'!$V$39:$V$42,'Data manipulation'!$X$39:$X$42,$E25,'Data manipulation'!$Y$39:$Y$42,$D25)</f>
        <v>0</v>
      </c>
      <c r="AB25" s="443">
        <f t="shared" si="6"/>
        <v>1.0853144802500001</v>
      </c>
      <c r="AC25" s="251">
        <f t="shared" si="0"/>
        <v>0</v>
      </c>
      <c r="AD25" s="444">
        <f t="shared" si="1"/>
        <v>0</v>
      </c>
      <c r="AV25" s="260"/>
      <c r="BA25" s="252"/>
    </row>
    <row r="26" spans="2:53" ht="15" customHeight="1">
      <c r="B26" s="233" t="str">
        <f>Processes!D73</f>
        <v>CHTRDHCEE1</v>
      </c>
      <c r="C26" s="233" t="str">
        <f>Processes!E73</f>
        <v>Commercial Heating Technology Rural Detached - District heating Central - Existing 1</v>
      </c>
      <c r="D26" s="233" t="s">
        <v>705</v>
      </c>
      <c r="E26" s="233" t="s">
        <v>102</v>
      </c>
      <c r="F26" s="230" t="str">
        <f>Commodities!$C$36</f>
        <v>COMHDE</v>
      </c>
      <c r="G26" s="261" t="str">
        <f>Commodities!$C$44</f>
        <v>COMHRDB</v>
      </c>
      <c r="H26" s="230">
        <v>2010</v>
      </c>
      <c r="I26" s="565">
        <v>0</v>
      </c>
      <c r="J26" s="565">
        <v>0</v>
      </c>
      <c r="K26" s="565">
        <v>0</v>
      </c>
      <c r="L26" s="460">
        <v>0.98</v>
      </c>
      <c r="M26" s="460">
        <v>0.98</v>
      </c>
      <c r="N26" s="460">
        <v>0.98</v>
      </c>
      <c r="O26" s="244">
        <f t="shared" si="7"/>
        <v>3.1536000000000002E-2</v>
      </c>
      <c r="P26" s="458">
        <v>0.2</v>
      </c>
      <c r="Q26" s="245">
        <v>30</v>
      </c>
      <c r="R26" s="227">
        <v>1.05</v>
      </c>
      <c r="T26" s="268">
        <f t="shared" si="5"/>
        <v>0</v>
      </c>
      <c r="U26" s="268"/>
      <c r="V26" s="589" t="str">
        <f>'Data manipulation'!$B$34</f>
        <v>Heat</v>
      </c>
      <c r="W26" s="254" t="s">
        <v>171</v>
      </c>
      <c r="X26" s="246">
        <v>2011</v>
      </c>
      <c r="Y26" s="432">
        <f>_xlfn.IFNA(INDEX('Data manipulation'!$C$23:$O$39,MATCH($V26,'Data manipulation'!$B$23:$B$39,0),MATCH($X26,'Data manipulation'!$C$22:$O$22,0))/1000,0)*SUMIFS('Regional split'!$F$4:$F$6,'Regional split'!$B$4:$B$6,Y$3)*SUMIFS('Data manipulation'!$V$39:$V$42,'Data manipulation'!$X$39:$X$42,$E26,'Data manipulation'!$Y$39:$Y$42,$D26)</f>
        <v>24.745845015062145</v>
      </c>
      <c r="Z26" s="270">
        <f>_xlfn.IFNA(INDEX('Data manipulation'!$C$23:$O$39,MATCH($V26,'Data manipulation'!$B$23:$B$39,0),MATCH($X26,'Data manipulation'!$C$22:$O$22,0))/1000,0)*SUMIFS('Regional split'!$F$4:$F$6,'Regional split'!$B$4:$B$6,Z$3)*SUMIFS('Data manipulation'!$V$39:$V$42,'Data manipulation'!$X$39:$X$42,$E26,'Data manipulation'!$Y$39:$Y$42,$D26)</f>
        <v>0</v>
      </c>
      <c r="AA26" s="454">
        <f>_xlfn.IFNA(INDEX('Data manipulation'!$C$23:$O$39,MATCH($V26,'Data manipulation'!$B$23:$B$39,0),MATCH($X26,'Data manipulation'!$C$22:$O$22,0))/1000,0)*SUMIFS('Regional split'!$F$4:$F$6,'Regional split'!$B$4:$B$6,AA$3)*SUMIFS('Data manipulation'!$V$39:$V$42,'Data manipulation'!$X$39:$X$42,$E26,'Data manipulation'!$Y$39:$Y$42,$D26)</f>
        <v>0</v>
      </c>
      <c r="AB26" s="443">
        <f t="shared" si="6"/>
        <v>24.250928114760899</v>
      </c>
      <c r="AC26" s="251">
        <f t="shared" si="0"/>
        <v>0</v>
      </c>
      <c r="AD26" s="444">
        <f t="shared" si="1"/>
        <v>0</v>
      </c>
      <c r="AV26" s="260"/>
      <c r="BA26" s="253"/>
    </row>
    <row r="27" spans="2:53" ht="15" customHeight="1" thickBot="1">
      <c r="B27" s="549" t="str">
        <f>Processes!D74</f>
        <v>CHTRDLPGE1</v>
      </c>
      <c r="C27" s="423" t="str">
        <f>Processes!E74</f>
        <v>Commercial Heating Technology Rural Detached - LPG - Existing 1</v>
      </c>
      <c r="D27" s="529" t="s">
        <v>705</v>
      </c>
      <c r="E27" s="529" t="s">
        <v>102</v>
      </c>
      <c r="F27" s="530" t="str">
        <f>F16</f>
        <v>COMLPG</v>
      </c>
      <c r="G27" s="424" t="str">
        <f>G25</f>
        <v>COMHRDB</v>
      </c>
      <c r="H27" s="230">
        <v>2010</v>
      </c>
      <c r="I27" s="297">
        <f t="shared" ref="I27" si="18">ROUNDUP(AB27/($O27*$P27)*$R27,1)</f>
        <v>678.1</v>
      </c>
      <c r="J27" s="297">
        <f t="shared" ref="J27" si="19">ROUNDUP(AC27/($O27*$P27)*$R27,1)</f>
        <v>0</v>
      </c>
      <c r="K27" s="297">
        <f t="shared" ref="K27" si="20">ROUNDUP(AD27/($O27*$P27)*$R27,1)</f>
        <v>0</v>
      </c>
      <c r="L27" s="462">
        <v>0.98</v>
      </c>
      <c r="M27" s="462">
        <v>0.98</v>
      </c>
      <c r="N27" s="462">
        <v>0.98</v>
      </c>
      <c r="O27" s="425">
        <f t="shared" si="7"/>
        <v>3.1536000000000002E-2</v>
      </c>
      <c r="P27" s="458">
        <v>0.2</v>
      </c>
      <c r="Q27" s="426">
        <v>30</v>
      </c>
      <c r="R27" s="227">
        <v>1.05</v>
      </c>
      <c r="T27" s="268">
        <f t="shared" si="5"/>
        <v>4.3641962448979594</v>
      </c>
      <c r="U27" s="268"/>
      <c r="V27" s="590" t="str">
        <f>'Data manipulation'!$B$25</f>
        <v>Liquefied petroleum gas</v>
      </c>
      <c r="W27" s="427" t="s">
        <v>759</v>
      </c>
      <c r="X27" s="246">
        <v>2011</v>
      </c>
      <c r="Y27" s="434">
        <f>_xlfn.IFNA(INDEX('Data manipulation'!$C$23:$O$39,MATCH($V27,'Data manipulation'!$B$23:$B$39,0),MATCH($X27,'Data manipulation'!$C$22:$O$22,0))/1000,0)*SUMIFS('Regional split'!$F$4:$F$6,'Regional split'!$B$4:$B$6,Y$3)*SUMIFS('Data manipulation'!$V$39:$V$42,'Data manipulation'!$X$39:$X$42,$E27,'Data manipulation'!$Y$39:$Y$42,$D27)</f>
        <v>4.1560510814375187</v>
      </c>
      <c r="Z27" s="428">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8">
        <f t="shared" si="6"/>
        <v>4.0729300598087681</v>
      </c>
      <c r="AC27" s="429">
        <f t="shared" si="0"/>
        <v>0</v>
      </c>
      <c r="AD27" s="449">
        <f t="shared" si="1"/>
        <v>0</v>
      </c>
      <c r="AV27" s="260"/>
      <c r="BA27" s="252"/>
    </row>
    <row r="28" spans="2:53" ht="15" customHeight="1">
      <c r="B28" s="227" t="str">
        <f>Processes!D75</f>
        <v>CHTUMNGAE1</v>
      </c>
      <c r="C28" s="227" t="str">
        <f>Processes!E75</f>
        <v>Commercial Heating Technology Urban Multi - Natural Gas - Existing 1</v>
      </c>
      <c r="D28" s="227" t="s">
        <v>704</v>
      </c>
      <c r="E28" s="227" t="s">
        <v>747</v>
      </c>
      <c r="F28" s="230" t="str">
        <f>Commodities!$C$18&amp;","&amp;Commodities!$C$37</f>
        <v>COMNGA,COMSNG</v>
      </c>
      <c r="G28" s="230" t="str">
        <f>Commodities!$C$45</f>
        <v>COMHUMB</v>
      </c>
      <c r="H28" s="230">
        <v>2010</v>
      </c>
      <c r="I28" s="250">
        <f>ROUNDUP(AB28/($O28*$P28)*$R28,1)</f>
        <v>8147</v>
      </c>
      <c r="J28" s="250">
        <f>ROUNDUP(AC28/($O28*$P28)*$R28,1)</f>
        <v>0</v>
      </c>
      <c r="K28" s="250">
        <f>ROUNDUP(AD28/($O28*$P28)*$R28,1)</f>
        <v>0</v>
      </c>
      <c r="L28" s="459">
        <v>0.72</v>
      </c>
      <c r="M28" s="459">
        <v>0.72</v>
      </c>
      <c r="N28" s="459">
        <v>0.72</v>
      </c>
      <c r="O28" s="244">
        <f>31.536/1000</f>
        <v>3.1536000000000002E-2</v>
      </c>
      <c r="P28" s="458">
        <v>0.2</v>
      </c>
      <c r="Q28" s="245">
        <v>22</v>
      </c>
      <c r="R28" s="227">
        <v>1.05</v>
      </c>
      <c r="T28" s="268">
        <f t="shared" si="5"/>
        <v>71.367720000000006</v>
      </c>
      <c r="U28" s="268"/>
      <c r="V28" s="589" t="str">
        <f>'Data manipulation'!$B$36</f>
        <v>Natural gas and biogas</v>
      </c>
      <c r="W28" s="246" t="s">
        <v>167</v>
      </c>
      <c r="X28" s="246">
        <v>2011</v>
      </c>
      <c r="Y28" s="435">
        <f>_xlfn.IFNA(INDEX('Data manipulation'!$C$23:$O$39,MATCH($V28,'Data manipulation'!$B$23:$B$39,0),MATCH($X28,'Data manipulation'!$C$22:$O$22,0))/1000,0)*SUMIFS('Regional split'!$F$4:$F$6,'Regional split'!$B$4:$B$6,Y$3)*SUMIFS('Data manipulation'!$V$39:$V$42,'Data manipulation'!$X$39:$X$42,$E28,'Data manipulation'!$Y$39:$Y$42,$D28)</f>
        <v>67.969256307220164</v>
      </c>
      <c r="Z28" s="270">
        <f>_xlfn.IFNA(INDEX('Data manipulation'!$C$23:$O$39,MATCH($V28,'Data manipulation'!$B$23:$B$39,0),MATCH($X28,'Data manipulation'!$C$22:$O$22,0))/1000,0)*SUMIFS('Regional split'!$F$4:$F$6,'Regional split'!$B$4:$B$6,Z$3)*SUMIFS('Data manipulation'!$V$39:$V$42,'Data manipulation'!$X$39:$X$42,$E28,'Data manipulation'!$Y$39:$Y$42,$D28)</f>
        <v>0</v>
      </c>
      <c r="AA28" s="453">
        <f>_xlfn.IFNA(INDEX('Data manipulation'!$C$23:$O$39,MATCH($V28,'Data manipulation'!$B$23:$B$39,0),MATCH($X28,'Data manipulation'!$C$22:$O$22,0))/1000,0)*SUMIFS('Regional split'!$F$4:$F$6,'Regional split'!$B$4:$B$6,AA$3)*SUMIFS('Data manipulation'!$V$39:$V$42,'Data manipulation'!$X$39:$X$42,$E28,'Data manipulation'!$Y$39:$Y$42,$D28)</f>
        <v>0</v>
      </c>
      <c r="AB28" s="441">
        <f t="shared" ref="AB28:AB49" si="21">Y28*L28</f>
        <v>48.937864541198515</v>
      </c>
      <c r="AC28" s="276">
        <f t="shared" ref="AC28:AC49" si="22">Z28*M28</f>
        <v>0</v>
      </c>
      <c r="AD28" s="442">
        <f t="shared" ref="AD28:AD49" si="23">AA28*N28</f>
        <v>0</v>
      </c>
      <c r="AG28" s="247"/>
      <c r="AH28" s="237"/>
      <c r="AI28" s="248"/>
      <c r="AJ28" s="249"/>
      <c r="AK28" s="249"/>
      <c r="AL28" s="237"/>
    </row>
    <row r="29" spans="2:53" ht="15" customHeight="1">
      <c r="B29" s="227" t="str">
        <f>Processes!D76</f>
        <v>CHTUMDSLE1</v>
      </c>
      <c r="C29" s="227" t="str">
        <f>Processes!E76</f>
        <v>Commercial Heating Technology Urban Multi - Diesel - Existing 1</v>
      </c>
      <c r="D29" s="227" t="s">
        <v>704</v>
      </c>
      <c r="E29" s="227" t="s">
        <v>747</v>
      </c>
      <c r="F29" s="230" t="str">
        <f>Commodities!$C$21&amp;","&amp;Commodities!$C$38</f>
        <v>COMDSL,COMDSB</v>
      </c>
      <c r="G29" s="230" t="str">
        <f>Commodities!$C$45</f>
        <v>COMHUMB</v>
      </c>
      <c r="H29" s="230">
        <v>2010</v>
      </c>
      <c r="I29" s="250">
        <f t="shared" ref="I29:I37" si="24">ROUNDUP(AB29/($O29*$P29)*$R29,1)</f>
        <v>7079.7000000000007</v>
      </c>
      <c r="J29" s="250">
        <f t="shared" ref="J29:J36" si="25">ROUNDUP(AC29/($O29*$P29)*$R29,1)</f>
        <v>0</v>
      </c>
      <c r="K29" s="250">
        <f t="shared" ref="K29:K36" si="26">ROUNDUP(AD29/($O29*$P29)*$R29,1)</f>
        <v>0</v>
      </c>
      <c r="L29" s="460">
        <v>0.71</v>
      </c>
      <c r="M29" s="460">
        <v>0.71</v>
      </c>
      <c r="N29" s="460">
        <v>0.71</v>
      </c>
      <c r="O29" s="244">
        <f>31.536/1000</f>
        <v>3.1536000000000002E-2</v>
      </c>
      <c r="P29" s="458">
        <v>0.2</v>
      </c>
      <c r="Q29" s="245">
        <v>20</v>
      </c>
      <c r="R29" s="227">
        <v>1.05</v>
      </c>
      <c r="T29" s="268">
        <f t="shared" si="5"/>
        <v>62.891667380281703</v>
      </c>
      <c r="V29" s="589" t="str">
        <f>'Data manipulation'!$B$28</f>
        <v>Gas oil and diesel oil and biodiesel</v>
      </c>
      <c r="W29" s="254" t="s">
        <v>718</v>
      </c>
      <c r="X29" s="246">
        <v>2011</v>
      </c>
      <c r="Y29" s="432">
        <f>_xlfn.IFNA(INDEX('Data manipulation'!$C$23:$O$39,MATCH($V29,'Data manipulation'!$B$23:$B$39,0),MATCH($X29,'Data manipulation'!$C$22:$O$22,0))/1000,0)*SUMIFS('Regional split'!$F$4:$F$6,'Regional split'!$B$4:$B$6,Y$3)*SUMIFS('Data manipulation'!$V$39:$V$42,'Data manipulation'!$X$39:$X$42,$E29,'Data manipulation'!$Y$39:$Y$42,$D29)</f>
        <v>59.896763438616603</v>
      </c>
      <c r="Z29" s="270">
        <f>_xlfn.IFNA(INDEX('Data manipulation'!$C$23:$O$39,MATCH($V29,'Data manipulation'!$B$23:$B$39,0),MATCH($X29,'Data manipulation'!$C$22:$O$22,0))/1000,0)*SUMIFS('Regional split'!$F$4:$F$6,'Regional split'!$B$4:$B$6,Z$3)*SUMIFS('Data manipulation'!$V$39:$V$42,'Data manipulation'!$X$39:$X$42,$E29,'Data manipulation'!$Y$39:$Y$42,$D29)</f>
        <v>0</v>
      </c>
      <c r="AA29" s="454">
        <f>_xlfn.IFNA(INDEX('Data manipulation'!$C$23:$O$39,MATCH($V29,'Data manipulation'!$B$23:$B$39,0),MATCH($X29,'Data manipulation'!$C$22:$O$22,0))/1000,0)*SUMIFS('Regional split'!$F$4:$F$6,'Regional split'!$B$4:$B$6,AA$3)*SUMIFS('Data manipulation'!$V$39:$V$42,'Data manipulation'!$X$39:$X$42,$E29,'Data manipulation'!$Y$39:$Y$42,$D29)</f>
        <v>0</v>
      </c>
      <c r="AB29" s="443">
        <f t="shared" si="21"/>
        <v>42.526702041417785</v>
      </c>
      <c r="AC29" s="251">
        <f t="shared" si="22"/>
        <v>0</v>
      </c>
      <c r="AD29" s="444">
        <f t="shared" si="23"/>
        <v>0</v>
      </c>
      <c r="AG29" s="247"/>
      <c r="AH29" s="237"/>
      <c r="AI29" s="248"/>
      <c r="AJ29" s="249"/>
      <c r="AK29" s="249"/>
      <c r="AL29" s="237"/>
      <c r="BA29" s="252"/>
    </row>
    <row r="30" spans="2:53" ht="15" customHeight="1">
      <c r="B30" s="227" t="str">
        <f>Processes!D77</f>
        <v>CHTUMWPEE1</v>
      </c>
      <c r="C30" s="227" t="str">
        <f>Processes!E77</f>
        <v>Commercial Heating Technology Urban Multi - Wood pellets - Existing 1</v>
      </c>
      <c r="D30" s="227" t="s">
        <v>704</v>
      </c>
      <c r="E30" s="227" t="s">
        <v>747</v>
      </c>
      <c r="F30" s="230" t="str">
        <f>Commodities!$C$23</f>
        <v>COMWPE</v>
      </c>
      <c r="G30" s="230" t="str">
        <f>Commodities!$C$45</f>
        <v>COMHUMB</v>
      </c>
      <c r="H30" s="230">
        <v>2010</v>
      </c>
      <c r="I30" s="250">
        <f t="shared" si="24"/>
        <v>0</v>
      </c>
      <c r="J30" s="250">
        <f t="shared" si="25"/>
        <v>0</v>
      </c>
      <c r="K30" s="250">
        <f t="shared" si="26"/>
        <v>0</v>
      </c>
      <c r="L30" s="460">
        <v>0.61</v>
      </c>
      <c r="M30" s="460">
        <v>0.61</v>
      </c>
      <c r="N30" s="460">
        <v>0.61</v>
      </c>
      <c r="O30" s="244">
        <f t="shared" ref="O30:O49" si="27">31.536/1000</f>
        <v>3.1536000000000002E-2</v>
      </c>
      <c r="P30" s="458">
        <v>0.2</v>
      </c>
      <c r="Q30" s="245">
        <v>20</v>
      </c>
      <c r="R30" s="227">
        <v>1.05</v>
      </c>
      <c r="T30" s="268">
        <f t="shared" si="5"/>
        <v>0</v>
      </c>
      <c r="U30" s="268"/>
      <c r="W30" s="254" t="s">
        <v>849</v>
      </c>
      <c r="X30" s="246">
        <v>2011</v>
      </c>
      <c r="Y30" s="432">
        <f>_xlfn.IFNA(INDEX('Data manipulation'!$C$23:$O$39,MATCH($V30,'Data manipulation'!$B$23:$B$39,0),MATCH($X30,'Data manipulation'!$C$22:$O$22,0))/1000,0)*SUMIFS('Regional split'!$F$4:$F$6,'Regional split'!$B$4:$B$6,Y$3)*SUMIFS('Data manipulation'!$V$39:$V$42,'Data manipulation'!$X$39:$X$42,$E30,'Data manipulation'!$Y$39:$Y$42,$D30)</f>
        <v>0</v>
      </c>
      <c r="Z30" s="270">
        <f>_xlfn.IFNA(INDEX('Data manipulation'!$C$23:$O$39,MATCH($V30,'Data manipulation'!$B$23:$B$39,0),MATCH($X30,'Data manipulation'!$C$22:$O$22,0))/1000,0)*SUMIFS('Regional split'!$F$4:$F$6,'Regional split'!$B$4:$B$6,Z$3)*SUMIFS('Data manipulation'!$V$39:$V$42,'Data manipulation'!$X$39:$X$42,$E30,'Data manipulation'!$Y$39:$Y$42,$D30)</f>
        <v>0</v>
      </c>
      <c r="AA30" s="454">
        <f>_xlfn.IFNA(INDEX('Data manipulation'!$C$23:$O$39,MATCH($V30,'Data manipulation'!$B$23:$B$39,0),MATCH($X30,'Data manipulation'!$C$22:$O$22,0))/1000,0)*SUMIFS('Regional split'!$F$4:$F$6,'Regional split'!$B$4:$B$6,AA$3)*SUMIFS('Data manipulation'!$V$39:$V$42,'Data manipulation'!$X$39:$X$42,$E30,'Data manipulation'!$Y$39:$Y$42,$D30)</f>
        <v>0</v>
      </c>
      <c r="AB30" s="443">
        <f t="shared" si="21"/>
        <v>0</v>
      </c>
      <c r="AC30" s="251">
        <f t="shared" si="22"/>
        <v>0</v>
      </c>
      <c r="AD30" s="444">
        <f t="shared" si="23"/>
        <v>0</v>
      </c>
      <c r="BA30" s="253"/>
    </row>
    <row r="31" spans="2:53" ht="15" customHeight="1">
      <c r="B31" s="227" t="str">
        <f>Processes!D78</f>
        <v>CHTUMFIWE1</v>
      </c>
      <c r="C31" s="227" t="str">
        <f>Processes!E78</f>
        <v>Commercial Heating Technology Urban Multi - Fire wood - Existing 1</v>
      </c>
      <c r="D31" s="227" t="s">
        <v>704</v>
      </c>
      <c r="E31" s="227" t="s">
        <v>747</v>
      </c>
      <c r="F31" s="230" t="str">
        <f>Commodities!$C$24</f>
        <v>COMFIW</v>
      </c>
      <c r="G31" s="230" t="str">
        <f>Commodities!$C$45</f>
        <v>COMHUMB</v>
      </c>
      <c r="H31" s="230">
        <v>2010</v>
      </c>
      <c r="I31" s="250">
        <f t="shared" si="24"/>
        <v>1209.5999999999999</v>
      </c>
      <c r="J31" s="250">
        <f t="shared" si="25"/>
        <v>0</v>
      </c>
      <c r="K31" s="250">
        <f t="shared" si="26"/>
        <v>0</v>
      </c>
      <c r="L31" s="460">
        <v>0.65000022993955098</v>
      </c>
      <c r="M31" s="460">
        <v>0.65000022993955098</v>
      </c>
      <c r="N31" s="460">
        <v>0.65000022993955098</v>
      </c>
      <c r="O31" s="244">
        <f t="shared" si="27"/>
        <v>3.1536000000000002E-2</v>
      </c>
      <c r="P31" s="458">
        <v>0.2</v>
      </c>
      <c r="Q31" s="245">
        <v>20</v>
      </c>
      <c r="R31" s="227">
        <v>1.05</v>
      </c>
      <c r="T31" s="268">
        <f t="shared" si="5"/>
        <v>11.7372098786942</v>
      </c>
      <c r="U31" s="268"/>
      <c r="V31" s="589" t="str">
        <f>'Data manipulation'!$B$31</f>
        <v>Primary solid biofuels</v>
      </c>
      <c r="W31" s="254" t="s">
        <v>176</v>
      </c>
      <c r="X31" s="246">
        <v>2011</v>
      </c>
      <c r="Y31" s="432">
        <f>_xlfn.IFNA(INDEX('Data manipulation'!$C$23:$O$39,MATCH($V31,'Data manipulation'!$B$23:$B$39,0),MATCH($X31,'Data manipulation'!$C$22:$O$22,0))/1000,0)*SUMIFS('Regional split'!$F$4:$F$6,'Regional split'!$B$4:$B$6,Y$3)*SUMIFS('Data manipulation'!$V$39:$V$42,'Data manipulation'!$X$39:$X$42,$E31,'Data manipulation'!$Y$39:$Y$42,$D31)</f>
        <v>11.17823784656628</v>
      </c>
      <c r="Z31" s="270">
        <f>_xlfn.IFNA(INDEX('Data manipulation'!$C$23:$O$39,MATCH($V31,'Data manipulation'!$B$23:$B$39,0),MATCH($X31,'Data manipulation'!$C$22:$O$22,0))/1000,0)*SUMIFS('Regional split'!$F$4:$F$6,'Regional split'!$B$4:$B$6,Z$3)*SUMIFS('Data manipulation'!$V$39:$V$42,'Data manipulation'!$X$39:$X$42,$E31,'Data manipulation'!$Y$39:$Y$42,$D31)</f>
        <v>0</v>
      </c>
      <c r="AA31" s="454">
        <f>_xlfn.IFNA(INDEX('Data manipulation'!$C$23:$O$39,MATCH($V31,'Data manipulation'!$B$23:$B$39,0),MATCH($X31,'Data manipulation'!$C$22:$O$22,0))/1000,0)*SUMIFS('Regional split'!$F$4:$F$6,'Regional split'!$B$4:$B$6,AA$3)*SUMIFS('Data manipulation'!$V$39:$V$42,'Data manipulation'!$X$39:$X$42,$E31,'Data manipulation'!$Y$39:$Y$42,$D31)</f>
        <v>0</v>
      </c>
      <c r="AB31" s="443">
        <f t="shared" si="21"/>
        <v>7.2658571705870729</v>
      </c>
      <c r="AC31" s="251">
        <f t="shared" si="22"/>
        <v>0</v>
      </c>
      <c r="AD31" s="444">
        <f t="shared" si="23"/>
        <v>0</v>
      </c>
      <c r="BA31" s="252"/>
    </row>
    <row r="32" spans="2:53" ht="15" customHeight="1">
      <c r="B32" s="233" t="str">
        <f>Processes!D79</f>
        <v>CHTUMCOAE1</v>
      </c>
      <c r="C32" s="233" t="str">
        <f>Processes!E79</f>
        <v>Commercial Heating Technology Urban Multi - Coal - Existing 1</v>
      </c>
      <c r="D32" s="233" t="s">
        <v>704</v>
      </c>
      <c r="E32" s="233" t="s">
        <v>747</v>
      </c>
      <c r="F32" s="230" t="str">
        <f>Commodities!$C$25</f>
        <v>COMCOA</v>
      </c>
      <c r="G32" s="230" t="str">
        <f>Commodities!$C$45</f>
        <v>COMHUMB</v>
      </c>
      <c r="H32" s="230">
        <v>2010</v>
      </c>
      <c r="I32" s="250">
        <f t="shared" si="24"/>
        <v>116.5</v>
      </c>
      <c r="J32" s="250">
        <f t="shared" si="25"/>
        <v>0</v>
      </c>
      <c r="K32" s="250">
        <f t="shared" si="26"/>
        <v>0</v>
      </c>
      <c r="L32" s="460">
        <v>0.7</v>
      </c>
      <c r="M32" s="460">
        <v>0.7</v>
      </c>
      <c r="N32" s="460">
        <v>0.7</v>
      </c>
      <c r="O32" s="244">
        <f t="shared" si="27"/>
        <v>3.1536000000000002E-2</v>
      </c>
      <c r="P32" s="458">
        <v>0.2</v>
      </c>
      <c r="Q32" s="245">
        <v>20</v>
      </c>
      <c r="R32" s="227">
        <v>1.05</v>
      </c>
      <c r="T32" s="268">
        <f t="shared" si="5"/>
        <v>1.0496982857142858</v>
      </c>
      <c r="U32" s="268"/>
      <c r="V32" s="589" t="str">
        <f>'Data manipulation'!$B$23</f>
        <v>Solid fossil fuels, peat, peat products, oil shale and oil sands</v>
      </c>
      <c r="W32" s="254" t="s">
        <v>846</v>
      </c>
      <c r="X32" s="246">
        <v>2011</v>
      </c>
      <c r="Y32" s="432">
        <f>_xlfn.IFNA(INDEX('Data manipulation'!$C$23:$O$39,MATCH($V32,'Data manipulation'!$B$23:$B$39,0),MATCH($X32,'Data manipulation'!$C$22:$O$22,0))/1000,0)*SUMIFS('Regional split'!$F$4:$F$6,'Regional split'!$B$4:$B$6,Y$3)*SUMIFS('Data manipulation'!$V$39:$V$42,'Data manipulation'!$X$39:$X$42,$E32,'Data manipulation'!$Y$39:$Y$42,$D32)</f>
        <v>0.999378549</v>
      </c>
      <c r="Z32" s="270">
        <f>_xlfn.IFNA(INDEX('Data manipulation'!$C$23:$O$39,MATCH($V32,'Data manipulation'!$B$23:$B$39,0),MATCH($X32,'Data manipulation'!$C$22:$O$22,0))/1000,0)*SUMIFS('Regional split'!$F$4:$F$6,'Regional split'!$B$4:$B$6,Z$3)*SUMIFS('Data manipulation'!$V$39:$V$42,'Data manipulation'!$X$39:$X$42,$E32,'Data manipulation'!$Y$39:$Y$42,$D32)</f>
        <v>0</v>
      </c>
      <c r="AA32" s="454">
        <f>_xlfn.IFNA(INDEX('Data manipulation'!$C$23:$O$39,MATCH($V32,'Data manipulation'!$B$23:$B$39,0),MATCH($X32,'Data manipulation'!$C$22:$O$22,0))/1000,0)*SUMIFS('Regional split'!$F$4:$F$6,'Regional split'!$B$4:$B$6,AA$3)*SUMIFS('Data manipulation'!$V$39:$V$42,'Data manipulation'!$X$39:$X$42,$E32,'Data manipulation'!$Y$39:$Y$42,$D32)</f>
        <v>0</v>
      </c>
      <c r="AB32" s="443">
        <f t="shared" si="21"/>
        <v>0.69956498429999991</v>
      </c>
      <c r="AC32" s="251">
        <f t="shared" si="22"/>
        <v>0</v>
      </c>
      <c r="AD32" s="444">
        <f t="shared" si="23"/>
        <v>0</v>
      </c>
      <c r="BA32" s="252"/>
    </row>
    <row r="33" spans="2:53" ht="15" customHeight="1">
      <c r="B33" s="233" t="str">
        <f>Processes!D80</f>
        <v>CHTUMSOLE1</v>
      </c>
      <c r="C33" s="233" t="str">
        <f>Processes!E80</f>
        <v>Commercial Heating Technology Urban Multi - Solar - Existing 1</v>
      </c>
      <c r="D33" s="233" t="s">
        <v>704</v>
      </c>
      <c r="E33" s="233" t="s">
        <v>747</v>
      </c>
      <c r="F33" s="230" t="str">
        <f>Commodities!$C$27</f>
        <v>COMSOL</v>
      </c>
      <c r="G33" s="230" t="str">
        <f>Commodities!$C$45</f>
        <v>COMHUMB</v>
      </c>
      <c r="H33" s="230">
        <v>2010</v>
      </c>
      <c r="I33" s="250">
        <f t="shared" si="24"/>
        <v>6.1999999999999993</v>
      </c>
      <c r="J33" s="250">
        <f t="shared" si="25"/>
        <v>0</v>
      </c>
      <c r="K33" s="250">
        <f t="shared" si="26"/>
        <v>0</v>
      </c>
      <c r="L33" s="460">
        <v>1</v>
      </c>
      <c r="M33" s="460">
        <v>1</v>
      </c>
      <c r="N33" s="460">
        <v>1</v>
      </c>
      <c r="O33" s="244">
        <f t="shared" si="27"/>
        <v>3.1536000000000002E-2</v>
      </c>
      <c r="P33" s="458">
        <v>0.2</v>
      </c>
      <c r="Q33" s="245">
        <v>20</v>
      </c>
      <c r="R33" s="227">
        <v>1.05</v>
      </c>
      <c r="T33" s="268">
        <f t="shared" si="5"/>
        <v>3.9104639999999996E-2</v>
      </c>
      <c r="U33" s="268"/>
      <c r="V33" s="589" t="str">
        <f>'Data manipulation'!$B$29</f>
        <v>Solar thermal</v>
      </c>
      <c r="W33" s="254" t="s">
        <v>168</v>
      </c>
      <c r="X33" s="246">
        <v>2011</v>
      </c>
      <c r="Y33" s="432">
        <f>_xlfn.IFNA(INDEX('Data manipulation'!$C$23:$O$39,MATCH($V33,'Data manipulation'!$B$23:$B$39,0),MATCH($X33,'Data manipulation'!$C$22:$O$22,0))/1000,0)*SUMIFS('Regional split'!$F$4:$F$6,'Regional split'!$B$4:$B$6,Y$3)*SUMIFS('Data manipulation'!$V$39:$V$42,'Data manipulation'!$X$39:$X$42,$E33,'Data manipulation'!$Y$39:$Y$42,$D33)</f>
        <v>3.7016408000000001E-2</v>
      </c>
      <c r="Z33" s="270">
        <f>_xlfn.IFNA(INDEX('Data manipulation'!$C$23:$O$39,MATCH($V33,'Data manipulation'!$B$23:$B$39,0),MATCH($X33,'Data manipulation'!$C$22:$O$22,0))/1000,0)*SUMIFS('Regional split'!$F$4:$F$6,'Regional split'!$B$4:$B$6,Z$3)*SUMIFS('Data manipulation'!$V$39:$V$42,'Data manipulation'!$X$39:$X$42,$E33,'Data manipulation'!$Y$39:$Y$42,$D33)</f>
        <v>0</v>
      </c>
      <c r="AA33" s="454">
        <f>_xlfn.IFNA(INDEX('Data manipulation'!$C$23:$O$39,MATCH($V33,'Data manipulation'!$B$23:$B$39,0),MATCH($X33,'Data manipulation'!$C$22:$O$22,0))/1000,0)*SUMIFS('Regional split'!$F$4:$F$6,'Regional split'!$B$4:$B$6,AA$3)*SUMIFS('Data manipulation'!$V$39:$V$42,'Data manipulation'!$X$39:$X$42,$E33,'Data manipulation'!$Y$39:$Y$42,$D33)</f>
        <v>0</v>
      </c>
      <c r="AB33" s="443">
        <f t="shared" si="21"/>
        <v>3.7016408000000001E-2</v>
      </c>
      <c r="AC33" s="251">
        <f t="shared" si="22"/>
        <v>0</v>
      </c>
      <c r="AD33" s="444">
        <f t="shared" si="23"/>
        <v>0</v>
      </c>
      <c r="BA33" s="252"/>
    </row>
    <row r="34" spans="2:53" ht="15" customHeight="1">
      <c r="B34" s="233" t="str">
        <f>Processes!D81</f>
        <v>CHTUMGEOE1</v>
      </c>
      <c r="C34" s="233" t="str">
        <f>Processes!E81</f>
        <v>Commercial Heating Technology Urban Multi - Geothermal - Existing 1</v>
      </c>
      <c r="D34" s="233" t="s">
        <v>704</v>
      </c>
      <c r="E34" s="233" t="s">
        <v>747</v>
      </c>
      <c r="F34" s="230" t="str">
        <f>Commodities!$C$28</f>
        <v>COMGEO</v>
      </c>
      <c r="G34" s="259" t="str">
        <f>Commodities!$C$45</f>
        <v>COMHUMB</v>
      </c>
      <c r="H34" s="230">
        <v>2010</v>
      </c>
      <c r="I34" s="250">
        <f t="shared" si="24"/>
        <v>77.5</v>
      </c>
      <c r="J34" s="250">
        <f t="shared" si="25"/>
        <v>0</v>
      </c>
      <c r="K34" s="250">
        <f t="shared" si="26"/>
        <v>0</v>
      </c>
      <c r="L34" s="460">
        <v>1</v>
      </c>
      <c r="M34" s="460">
        <v>1</v>
      </c>
      <c r="N34" s="460">
        <v>1</v>
      </c>
      <c r="O34" s="244">
        <f t="shared" si="27"/>
        <v>3.1536000000000002E-2</v>
      </c>
      <c r="P34" s="458">
        <v>0.2</v>
      </c>
      <c r="Q34" s="245">
        <v>30</v>
      </c>
      <c r="R34" s="227">
        <v>1.05</v>
      </c>
      <c r="T34" s="268">
        <f t="shared" ref="T34" si="28">SUM(I34:K34)*O34*P34/L34</f>
        <v>0.48880800000000008</v>
      </c>
      <c r="U34" s="268"/>
      <c r="V34" s="589" t="str">
        <f>'Data manipulation'!$B$38</f>
        <v>Geothermal</v>
      </c>
      <c r="W34" s="254" t="s">
        <v>169</v>
      </c>
      <c r="X34" s="246">
        <v>2011</v>
      </c>
      <c r="Y34" s="432">
        <f>_xlfn.IFNA(INDEX('Data manipulation'!$C$23:$O$39,MATCH($V34,'Data manipulation'!$B$23:$B$39,0),MATCH($X34,'Data manipulation'!$C$22:$O$22,0))/1000,0)*SUMIFS('Regional split'!$F$4:$F$6,'Regional split'!$B$4:$B$6,Y$3)*SUMIFS('Data manipulation'!$V$39:$V$42,'Data manipulation'!$X$39:$X$42,$E34,'Data manipulation'!$Y$39:$Y$42,$D34)</f>
        <v>0.46510099999999999</v>
      </c>
      <c r="Z34" s="270">
        <f>_xlfn.IFNA(INDEX('Data manipulation'!$C$23:$O$39,MATCH($V34,'Data manipulation'!$B$23:$B$39,0),MATCH($X34,'Data manipulation'!$C$22:$O$22,0))/1000,0)*SUMIFS('Regional split'!$F$4:$F$6,'Regional split'!$B$4:$B$6,Z$3)*SUMIFS('Data manipulation'!$V$39:$V$42,'Data manipulation'!$X$39:$X$42,$E34,'Data manipulation'!$Y$39:$Y$42,$D34)</f>
        <v>0</v>
      </c>
      <c r="AA34" s="454">
        <f>_xlfn.IFNA(INDEX('Data manipulation'!$C$23:$O$39,MATCH($V34,'Data manipulation'!$B$23:$B$39,0),MATCH($X34,'Data manipulation'!$C$22:$O$22,0))/1000,0)*SUMIFS('Regional split'!$F$4:$F$6,'Regional split'!$B$4:$B$6,AA$3)*SUMIFS('Data manipulation'!$V$39:$V$42,'Data manipulation'!$X$39:$X$42,$E34,'Data manipulation'!$Y$39:$Y$42,$D34)</f>
        <v>0</v>
      </c>
      <c r="AB34" s="443">
        <f t="shared" si="21"/>
        <v>0.46510099999999999</v>
      </c>
      <c r="AC34" s="251">
        <f t="shared" si="22"/>
        <v>0</v>
      </c>
      <c r="AD34" s="444">
        <f t="shared" si="23"/>
        <v>0</v>
      </c>
      <c r="AV34" s="260"/>
      <c r="BA34" s="252"/>
    </row>
    <row r="35" spans="2:53" ht="15" customHeight="1">
      <c r="B35" s="233" t="str">
        <f>Processes!D82</f>
        <v>CHTUMELCHE1</v>
      </c>
      <c r="C35" s="233" t="str">
        <f>Processes!E82</f>
        <v>Commercial Heating Technology Urban Multi - Electricity Heating - Existing 1</v>
      </c>
      <c r="D35" s="233" t="s">
        <v>704</v>
      </c>
      <c r="E35" s="233" t="s">
        <v>747</v>
      </c>
      <c r="F35" s="230" t="str">
        <f>Commodities!$C$29</f>
        <v>COMELCH</v>
      </c>
      <c r="G35" s="230" t="str">
        <f>Commodities!$C$45</f>
        <v>COMHUMB</v>
      </c>
      <c r="H35" s="230">
        <v>2010</v>
      </c>
      <c r="I35" s="250">
        <f t="shared" si="24"/>
        <v>1189.8999999999999</v>
      </c>
      <c r="J35" s="250">
        <f t="shared" si="25"/>
        <v>0</v>
      </c>
      <c r="K35" s="250">
        <f t="shared" si="26"/>
        <v>0</v>
      </c>
      <c r="L35" s="460">
        <v>1</v>
      </c>
      <c r="M35" s="460">
        <v>1</v>
      </c>
      <c r="N35" s="460">
        <v>1</v>
      </c>
      <c r="O35" s="244">
        <f t="shared" si="27"/>
        <v>3.1536000000000002E-2</v>
      </c>
      <c r="P35" s="458">
        <v>0.2</v>
      </c>
      <c r="Q35" s="245">
        <v>30</v>
      </c>
      <c r="R35" s="227">
        <v>1.05</v>
      </c>
      <c r="T35" s="268">
        <f t="shared" si="5"/>
        <v>7.50493728</v>
      </c>
      <c r="U35" s="268"/>
      <c r="V35" s="589" t="str">
        <f>'Data manipulation'!$B$33</f>
        <v>Electricity</v>
      </c>
      <c r="W35" s="254" t="s">
        <v>169</v>
      </c>
      <c r="X35" s="246">
        <v>2011</v>
      </c>
      <c r="Y35" s="432">
        <f>_xlfn.IFNA(INDEX('Data manipulation'!$C$23:$O$39,MATCH($V35,'Data manipulation'!$B$23:$B$39,0),MATCH($X35,'Data manipulation'!$C$22:$O$22,0))/1000,0)*SUMIFS('Regional split'!$F$4:$F$6,'Regional split'!$B$4:$B$6,Y$3)*SUMIFS('Data manipulation'!$V$39:$V$42,'Data manipulation'!$X$39:$X$42,$E35,'Data manipulation'!$Y$39:$Y$42,$D35)</f>
        <v>7.1469915522081866</v>
      </c>
      <c r="Z35" s="270">
        <f>_xlfn.IFNA(INDEX('Data manipulation'!$C$23:$O$39,MATCH($V35,'Data manipulation'!$B$23:$B$39,0),MATCH($X35,'Data manipulation'!$C$22:$O$22,0))/1000,0)*SUMIFS('Regional split'!$F$4:$F$6,'Regional split'!$B$4:$B$6,Z$3)*SUMIFS('Data manipulation'!$V$39:$V$42,'Data manipulation'!$X$39:$X$42,$E35,'Data manipulation'!$Y$39:$Y$42,$D35)</f>
        <v>0</v>
      </c>
      <c r="AA35" s="454">
        <f>_xlfn.IFNA(INDEX('Data manipulation'!$C$23:$O$39,MATCH($V35,'Data manipulation'!$B$23:$B$39,0),MATCH($X35,'Data manipulation'!$C$22:$O$22,0))/1000,0)*SUMIFS('Regional split'!$F$4:$F$6,'Regional split'!$B$4:$B$6,AA$3)*SUMIFS('Data manipulation'!$V$39:$V$42,'Data manipulation'!$X$39:$X$42,$E35,'Data manipulation'!$Y$39:$Y$42,$D35)</f>
        <v>0</v>
      </c>
      <c r="AB35" s="443">
        <f>Y35*L35</f>
        <v>7.1469915522081866</v>
      </c>
      <c r="AC35" s="251">
        <f t="shared" si="22"/>
        <v>0</v>
      </c>
      <c r="AD35" s="444">
        <f t="shared" si="23"/>
        <v>0</v>
      </c>
      <c r="BA35" s="252"/>
    </row>
    <row r="36" spans="2:53" ht="15" customHeight="1">
      <c r="B36" s="233" t="str">
        <f>Processes!D83</f>
        <v>CHTUMELCHE2</v>
      </c>
      <c r="C36" s="233" t="str">
        <f>Processes!E83</f>
        <v>Commercial Heating Technology Urban Multi - Electricity Heating - Existing 2</v>
      </c>
      <c r="D36" s="233" t="s">
        <v>704</v>
      </c>
      <c r="E36" s="233" t="s">
        <v>747</v>
      </c>
      <c r="F36" s="230" t="str">
        <f>Commodities!$C$29</f>
        <v>COMELCH</v>
      </c>
      <c r="G36" s="230" t="str">
        <f>Commodities!$C$45</f>
        <v>COMHUMB</v>
      </c>
      <c r="H36" s="230">
        <v>2010</v>
      </c>
      <c r="I36" s="250">
        <f t="shared" si="24"/>
        <v>139.9</v>
      </c>
      <c r="J36" s="250">
        <f t="shared" si="25"/>
        <v>0</v>
      </c>
      <c r="K36" s="250">
        <f t="shared" si="26"/>
        <v>0</v>
      </c>
      <c r="L36" s="460">
        <v>2.3149999999999999</v>
      </c>
      <c r="M36" s="460">
        <v>2.3149999999999999</v>
      </c>
      <c r="N36" s="460">
        <v>2.3149999999999999</v>
      </c>
      <c r="O36" s="244">
        <f t="shared" si="27"/>
        <v>3.1536000000000002E-2</v>
      </c>
      <c r="P36" s="458">
        <v>0.2</v>
      </c>
      <c r="Q36" s="245">
        <v>30</v>
      </c>
      <c r="R36" s="227">
        <v>1.05</v>
      </c>
      <c r="T36" s="268">
        <f t="shared" si="5"/>
        <v>0.38115649244060479</v>
      </c>
      <c r="U36" s="268"/>
      <c r="V36" s="589" t="str">
        <f>'Data manipulation'!$B$30</f>
        <v>Ambient heat (heat pumps)</v>
      </c>
      <c r="W36" s="254" t="s">
        <v>170</v>
      </c>
      <c r="X36" s="246">
        <v>2011</v>
      </c>
      <c r="Y36" s="432">
        <f>_xlfn.IFNA(INDEX('Data manipulation'!$C$23:$O$39,MATCH($V36,'Data manipulation'!$B$23:$B$39,0),MATCH($X36,'Data manipulation'!$C$22:$O$22,0))/1000,0)*SUMIFS('Regional split'!$F$4:$F$6,'Regional split'!$B$4:$B$6,Y$3)*SUMIFS('Data manipulation'!$V$39:$V$42,'Data manipulation'!$X$39:$X$42,$E36,'Data manipulation'!$Y$39:$Y$42,$D36)</f>
        <v>0.36300355000000001</v>
      </c>
      <c r="Z36" s="270">
        <f>_xlfn.IFNA(INDEX('Data manipulation'!$C$23:$O$39,MATCH($V36,'Data manipulation'!$B$23:$B$39,0),MATCH($X36,'Data manipulation'!$C$22:$O$22,0))/1000,0)*SUMIFS('Regional split'!$F$4:$F$6,'Regional split'!$B$4:$B$6,Z$3)*SUMIFS('Data manipulation'!$V$39:$V$42,'Data manipulation'!$X$39:$X$42,$E36,'Data manipulation'!$Y$39:$Y$42,$D36)</f>
        <v>0</v>
      </c>
      <c r="AA36" s="454">
        <f>_xlfn.IFNA(INDEX('Data manipulation'!$C$23:$O$39,MATCH($V36,'Data manipulation'!$B$23:$B$39,0),MATCH($X36,'Data manipulation'!$C$22:$O$22,0))/1000,0)*SUMIFS('Regional split'!$F$4:$F$6,'Regional split'!$B$4:$B$6,AA$3)*SUMIFS('Data manipulation'!$V$39:$V$42,'Data manipulation'!$X$39:$X$42,$E36,'Data manipulation'!$Y$39:$Y$42,$D36)</f>
        <v>0</v>
      </c>
      <c r="AB36" s="443">
        <f t="shared" si="21"/>
        <v>0.84035321824999998</v>
      </c>
      <c r="AC36" s="251">
        <f t="shared" si="22"/>
        <v>0</v>
      </c>
      <c r="AD36" s="444">
        <f t="shared" si="23"/>
        <v>0</v>
      </c>
      <c r="BA36" s="253"/>
    </row>
    <row r="37" spans="2:53" ht="14.5">
      <c r="B37" s="233" t="str">
        <f>Processes!D84</f>
        <v>CHTUMHCEE1</v>
      </c>
      <c r="C37" s="233" t="str">
        <f>Processes!E84</f>
        <v>Commercial Heating Technology Urban Multi - District heating Central - Existing 1</v>
      </c>
      <c r="D37" s="233" t="s">
        <v>704</v>
      </c>
      <c r="E37" s="233" t="s">
        <v>747</v>
      </c>
      <c r="F37" s="230" t="str">
        <f>Commodities!$C$34</f>
        <v>COMHCE</v>
      </c>
      <c r="G37" s="230" t="str">
        <f>Commodities!$C$41</f>
        <v>COMHUMX</v>
      </c>
      <c r="H37" s="230">
        <v>2010</v>
      </c>
      <c r="I37" s="250">
        <f t="shared" si="24"/>
        <v>3030.2999999999997</v>
      </c>
      <c r="J37" s="565">
        <v>0</v>
      </c>
      <c r="K37" s="565">
        <v>0</v>
      </c>
      <c r="L37" s="460">
        <v>0.95</v>
      </c>
      <c r="M37" s="460">
        <v>0.95</v>
      </c>
      <c r="N37" s="460">
        <v>0.95</v>
      </c>
      <c r="O37" s="244">
        <f t="shared" si="27"/>
        <v>3.1536000000000002E-2</v>
      </c>
      <c r="P37" s="458">
        <v>0.2</v>
      </c>
      <c r="Q37" s="245">
        <v>30</v>
      </c>
      <c r="R37" s="227">
        <v>1.05</v>
      </c>
      <c r="T37" s="268">
        <f t="shared" si="5"/>
        <v>20.118640168421052</v>
      </c>
      <c r="U37" s="268"/>
      <c r="V37" s="589" t="str">
        <f>'Data manipulation'!$B$34</f>
        <v>Heat</v>
      </c>
      <c r="W37" s="254" t="s">
        <v>171</v>
      </c>
      <c r="X37" s="246">
        <v>2011</v>
      </c>
      <c r="Y37" s="432">
        <f>_xlfn.IFNA(INDEX('Data manipulation'!$C$23:$O$39,MATCH($V37,'Data manipulation'!$B$23:$B$39,0),MATCH($X37,'Data manipulation'!$C$22:$O$22,0))/1000,0)*SUMIFS('Regional split'!$F$4:$F$6,'Regional split'!$B$4:$B$6,Y$3)*SUMIFS('Data manipulation'!$V$39:$V$42,'Data manipulation'!$X$39:$X$42,$E37,'Data manipulation'!$Y$39:$Y$42,$D37)</f>
        <v>19.160575920753445</v>
      </c>
      <c r="Z37" s="270">
        <f>_xlfn.IFNA(INDEX('Data manipulation'!$C$23:$O$39,MATCH($V37,'Data manipulation'!$B$23:$B$39,0),MATCH($X37,'Data manipulation'!$C$22:$O$22,0))/1000,0)*SUMIFS('Regional split'!$F$4:$F$6,'Regional split'!$B$4:$B$6,Z$3)*SUMIFS('Data manipulation'!$V$39:$V$42,'Data manipulation'!$X$39:$X$42,$E37,'Data manipulation'!$Y$39:$Y$42,$D37)</f>
        <v>0</v>
      </c>
      <c r="AA37" s="454">
        <f>_xlfn.IFNA(INDEX('Data manipulation'!$C$23:$O$39,MATCH($V37,'Data manipulation'!$B$23:$B$39,0),MATCH($X37,'Data manipulation'!$C$22:$O$22,0))/1000,0)*SUMIFS('Regional split'!$F$4:$F$6,'Regional split'!$B$4:$B$6,AA$3)*SUMIFS('Data manipulation'!$V$39:$V$42,'Data manipulation'!$X$39:$X$42,$E37,'Data manipulation'!$Y$39:$Y$42,$D37)</f>
        <v>0</v>
      </c>
      <c r="AB37" s="443">
        <f t="shared" si="21"/>
        <v>18.202547124715771</v>
      </c>
      <c r="AC37" s="251">
        <f t="shared" si="22"/>
        <v>0</v>
      </c>
      <c r="AD37" s="444">
        <f t="shared" si="23"/>
        <v>0</v>
      </c>
      <c r="BA37" s="252"/>
    </row>
    <row r="38" spans="2:53" ht="15" customHeight="1" thickBot="1">
      <c r="B38" s="255" t="str">
        <f>Processes!D85</f>
        <v>CHTUMLPGE1</v>
      </c>
      <c r="C38" s="255" t="str">
        <f>Processes!E85</f>
        <v>Commercial Heating Technology Urban Multi - LPG - Existing 1</v>
      </c>
      <c r="D38" s="528" t="s">
        <v>704</v>
      </c>
      <c r="E38" s="528" t="s">
        <v>747</v>
      </c>
      <c r="F38" s="256" t="str">
        <f>Commodities!$C$20</f>
        <v>COMLPG</v>
      </c>
      <c r="G38" s="256" t="str">
        <f>G36</f>
        <v>COMHUMB</v>
      </c>
      <c r="H38" s="230">
        <v>2010</v>
      </c>
      <c r="I38" s="297">
        <f t="shared" ref="I38" si="29">ROUNDUP(AB38/($O38*$P38)*$R38,1)</f>
        <v>509</v>
      </c>
      <c r="J38" s="297">
        <f t="shared" ref="J38" si="30">ROUNDUP(AC38/($O38*$P38)*$R38,1)</f>
        <v>0</v>
      </c>
      <c r="K38" s="297">
        <f t="shared" ref="K38" si="31">ROUNDUP(AD38/($O38*$P38)*$R38,1)</f>
        <v>0</v>
      </c>
      <c r="L38" s="461">
        <v>0.95</v>
      </c>
      <c r="M38" s="461">
        <v>0.95</v>
      </c>
      <c r="N38" s="461">
        <v>0.95</v>
      </c>
      <c r="O38" s="257">
        <f t="shared" si="27"/>
        <v>3.1536000000000002E-2</v>
      </c>
      <c r="P38" s="458">
        <v>0.2</v>
      </c>
      <c r="Q38" s="258">
        <v>30</v>
      </c>
      <c r="R38" s="227">
        <v>1.05</v>
      </c>
      <c r="T38" s="268">
        <f t="shared" si="5"/>
        <v>3.3793313684210529</v>
      </c>
      <c r="U38" s="268"/>
      <c r="V38" s="590" t="str">
        <f>'Data manipulation'!$B$25</f>
        <v>Liquefied petroleum gas</v>
      </c>
      <c r="W38" s="427" t="s">
        <v>759</v>
      </c>
      <c r="X38" s="246">
        <v>2011</v>
      </c>
      <c r="Y38" s="433">
        <f>_xlfn.IFNA(INDEX('Data manipulation'!$C$23:$O$39,MATCH($V38,'Data manipulation'!$B$23:$B$39,0),MATCH($X38,'Data manipulation'!$C$22:$O$22,0))/1000,0)*SUMIFS('Regional split'!$F$4:$F$6,'Regional split'!$B$4:$B$6,Y$3)*SUMIFS('Data manipulation'!$V$39:$V$42,'Data manipulation'!$X$39:$X$42,$E38,'Data manipulation'!$Y$39:$Y$42,$D38)</f>
        <v>3.2180082041224676</v>
      </c>
      <c r="Z38" s="430">
        <f>_xlfn.IFNA(INDEX('Data manipulation'!$C$23:$O$39,MATCH($V38,'Data manipulation'!$B$23:$B$39,0),MATCH($X38,'Data manipulation'!$C$22:$O$22,0))/1000,0)*SUMIFS('Regional split'!$F$4:$F$6,'Regional split'!$B$4:$B$6,Z$3)*SUMIFS('Data manipulation'!$V$39:$V$42,'Data manipulation'!$X$39:$X$42,$E38,'Data manipulation'!$Y$39:$Y$42,$D38)</f>
        <v>0</v>
      </c>
      <c r="AA38" s="455">
        <f>_xlfn.IFNA(INDEX('Data manipulation'!$C$23:$O$39,MATCH($V38,'Data manipulation'!$B$23:$B$39,0),MATCH($X38,'Data manipulation'!$C$22:$O$22,0))/1000,0)*SUMIFS('Regional split'!$F$4:$F$6,'Regional split'!$B$4:$B$6,AA$3)*SUMIFS('Data manipulation'!$V$39:$V$42,'Data manipulation'!$X$39:$X$42,$E38,'Data manipulation'!$Y$39:$Y$42,$D38)</f>
        <v>0</v>
      </c>
      <c r="AB38" s="445">
        <f t="shared" si="21"/>
        <v>3.057107793916344</v>
      </c>
      <c r="AC38" s="277">
        <f t="shared" si="22"/>
        <v>0</v>
      </c>
      <c r="AD38" s="446">
        <f t="shared" si="23"/>
        <v>0</v>
      </c>
      <c r="BA38" s="252"/>
    </row>
    <row r="39" spans="2:53" ht="15" customHeight="1">
      <c r="B39" s="233" t="str">
        <f>Processes!D86</f>
        <v>CHTRMNGAE1</v>
      </c>
      <c r="C39" s="233" t="str">
        <f>Processes!E86</f>
        <v>Commercial Heating Technology Rural Multi - Natural Gas - Existing 1</v>
      </c>
      <c r="D39" s="233" t="s">
        <v>705</v>
      </c>
      <c r="E39" s="233" t="s">
        <v>747</v>
      </c>
      <c r="F39" s="230" t="str">
        <f>Commodities!$C$18&amp;","&amp;Commodities!$C$37</f>
        <v>COMNGA,COMSNG</v>
      </c>
      <c r="G39" s="259" t="str">
        <f>Commodities!$C$46</f>
        <v>COMHRMB</v>
      </c>
      <c r="H39" s="230">
        <v>2010</v>
      </c>
      <c r="I39" s="250">
        <f>ROUNDUP(AB39/($O39*$P39)*$R39,1)</f>
        <v>506.70000000000005</v>
      </c>
      <c r="J39" s="250">
        <f>ROUNDUP(AC39/($O39*$P39)*$R39,1)</f>
        <v>0</v>
      </c>
      <c r="K39" s="250">
        <f>ROUNDUP(AD39/($O39*$P39)*$R39,1)</f>
        <v>0</v>
      </c>
      <c r="L39" s="460">
        <v>0.79</v>
      </c>
      <c r="M39" s="460">
        <v>0.79</v>
      </c>
      <c r="N39" s="460">
        <v>0.79</v>
      </c>
      <c r="O39" s="244">
        <f t="shared" si="27"/>
        <v>3.1536000000000002E-2</v>
      </c>
      <c r="P39" s="458">
        <v>0.2</v>
      </c>
      <c r="Q39" s="245">
        <v>25</v>
      </c>
      <c r="R39" s="227">
        <v>1.05</v>
      </c>
      <c r="T39" s="268">
        <f t="shared" si="5"/>
        <v>4.0453901772151903</v>
      </c>
      <c r="U39" s="268"/>
      <c r="V39" s="589" t="str">
        <f>'Data manipulation'!$B$36</f>
        <v>Natural gas and biogas</v>
      </c>
      <c r="W39" s="246" t="s">
        <v>167</v>
      </c>
      <c r="X39" s="246">
        <v>2011</v>
      </c>
      <c r="Y39" s="432">
        <f>_xlfn.IFNA(INDEX('Data manipulation'!$C$23:$O$39,MATCH($V39,'Data manipulation'!$B$23:$B$39,0),MATCH($X39,'Data manipulation'!$C$22:$O$22,0))/1000,0)*SUMIFS('Regional split'!$F$4:$F$6,'Regional split'!$B$4:$B$6,Y$3)*SUMIFS('Data manipulation'!$V$39:$V$42,'Data manipulation'!$X$39:$X$42,$E39,'Data manipulation'!$Y$39:$Y$42,$D39)</f>
        <v>3.8525084546602524</v>
      </c>
      <c r="Z39" s="270">
        <f>_xlfn.IFNA(INDEX('Data manipulation'!$C$23:$O$39,MATCH($V39,'Data manipulation'!$B$23:$B$39,0),MATCH($X39,'Data manipulation'!$C$22:$O$22,0))/1000,0)*SUMIFS('Regional split'!$F$4:$F$6,'Regional split'!$B$4:$B$6,Z$3)*SUMIFS('Data manipulation'!$V$39:$V$42,'Data manipulation'!$X$39:$X$42,$E39,'Data manipulation'!$Y$39:$Y$42,$D39)</f>
        <v>0</v>
      </c>
      <c r="AA39" s="454">
        <f>_xlfn.IFNA(INDEX('Data manipulation'!$C$23:$O$39,MATCH($V39,'Data manipulation'!$B$23:$B$39,0),MATCH($X39,'Data manipulation'!$C$22:$O$22,0))/1000,0)*SUMIFS('Regional split'!$F$4:$F$6,'Regional split'!$B$4:$B$6,AA$3)*SUMIFS('Data manipulation'!$V$39:$V$42,'Data manipulation'!$X$39:$X$42,$E39,'Data manipulation'!$Y$39:$Y$42,$D39)</f>
        <v>0</v>
      </c>
      <c r="AB39" s="443">
        <f t="shared" si="21"/>
        <v>3.0434816791815997</v>
      </c>
      <c r="AC39" s="278">
        <f t="shared" si="22"/>
        <v>0</v>
      </c>
      <c r="AD39" s="447">
        <f t="shared" si="23"/>
        <v>0</v>
      </c>
      <c r="BA39" s="252"/>
    </row>
    <row r="40" spans="2:53" ht="15" customHeight="1">
      <c r="B40" s="233" t="str">
        <f>Processes!D87</f>
        <v>CHTRMDSLE1</v>
      </c>
      <c r="C40" s="233" t="str">
        <f>Processes!E87</f>
        <v>Commercial Heating Technology Rural Multi - Diesel - Existing 1</v>
      </c>
      <c r="D40" s="233" t="s">
        <v>705</v>
      </c>
      <c r="E40" s="233" t="s">
        <v>747</v>
      </c>
      <c r="F40" s="230" t="str">
        <f>Commodities!$C$21&amp;","&amp;Commodities!$C$38</f>
        <v>COMDSL,COMDSB</v>
      </c>
      <c r="G40" s="259" t="str">
        <f>Commodities!$C$46</f>
        <v>COMHRMB</v>
      </c>
      <c r="H40" s="230">
        <v>2010</v>
      </c>
      <c r="I40" s="250">
        <f t="shared" ref="I40:I47" si="32">ROUNDUP(AB40/($O40*$P40)*$R40,1)</f>
        <v>446.5</v>
      </c>
      <c r="J40" s="250">
        <f t="shared" ref="J40:J47" si="33">ROUNDUP(AC40/($O40*$P40)*$R40,1)</f>
        <v>0</v>
      </c>
      <c r="K40" s="250">
        <f t="shared" ref="K40:K47" si="34">ROUNDUP(AD40/($O40*$P40)*$R40,1)</f>
        <v>0</v>
      </c>
      <c r="L40" s="460">
        <v>0.79</v>
      </c>
      <c r="M40" s="460">
        <v>0.79</v>
      </c>
      <c r="N40" s="460">
        <v>0.79</v>
      </c>
      <c r="O40" s="244">
        <f t="shared" si="27"/>
        <v>3.1536000000000002E-2</v>
      </c>
      <c r="P40" s="458">
        <v>0.2</v>
      </c>
      <c r="Q40" s="245">
        <v>20</v>
      </c>
      <c r="R40" s="227">
        <v>1.05</v>
      </c>
      <c r="T40" s="268">
        <f t="shared" si="5"/>
        <v>3.5647655696202536</v>
      </c>
      <c r="V40" s="589" t="str">
        <f>'Data manipulation'!$B$28</f>
        <v>Gas oil and diesel oil and biodiesel</v>
      </c>
      <c r="W40" s="254" t="s">
        <v>718</v>
      </c>
      <c r="X40" s="246">
        <v>2011</v>
      </c>
      <c r="Y40" s="432">
        <f>_xlfn.IFNA(INDEX('Data manipulation'!$C$23:$O$39,MATCH($V40,'Data manipulation'!$B$23:$B$39,0),MATCH($X40,'Data manipulation'!$C$22:$O$22,0))/1000,0)*SUMIFS('Regional split'!$F$4:$F$6,'Regional split'!$B$4:$B$6,Y$3)*SUMIFS('Data manipulation'!$V$39:$V$42,'Data manipulation'!$X$39:$X$42,$E40,'Data manipulation'!$Y$39:$Y$42,$D40)</f>
        <v>3.3949582515815075</v>
      </c>
      <c r="Z40" s="270">
        <f>_xlfn.IFNA(INDEX('Data manipulation'!$C$23:$O$39,MATCH($V40,'Data manipulation'!$B$23:$B$39,0),MATCH($X40,'Data manipulation'!$C$22:$O$22,0))/1000,0)*SUMIFS('Regional split'!$F$4:$F$6,'Regional split'!$B$4:$B$6,Z$3)*SUMIFS('Data manipulation'!$V$39:$V$42,'Data manipulation'!$X$39:$X$42,$E40,'Data manipulation'!$Y$39:$Y$42,$D40)</f>
        <v>0</v>
      </c>
      <c r="AA40" s="454">
        <f>_xlfn.IFNA(INDEX('Data manipulation'!$C$23:$O$39,MATCH($V40,'Data manipulation'!$B$23:$B$39,0),MATCH($X40,'Data manipulation'!$C$22:$O$22,0))/1000,0)*SUMIFS('Regional split'!$F$4:$F$6,'Regional split'!$B$4:$B$6,AA$3)*SUMIFS('Data manipulation'!$V$39:$V$42,'Data manipulation'!$X$39:$X$42,$E40,'Data manipulation'!$Y$39:$Y$42,$D40)</f>
        <v>0</v>
      </c>
      <c r="AB40" s="443">
        <f t="shared" si="21"/>
        <v>2.682017018749391</v>
      </c>
      <c r="AC40" s="251">
        <f t="shared" si="22"/>
        <v>0</v>
      </c>
      <c r="AD40" s="444">
        <f t="shared" si="23"/>
        <v>0</v>
      </c>
      <c r="AV40" s="260"/>
      <c r="BA40" s="252"/>
    </row>
    <row r="41" spans="2:53" ht="15" customHeight="1">
      <c r="B41" s="233" t="str">
        <f>Processes!D88</f>
        <v>CHTRMWPEE1</v>
      </c>
      <c r="C41" s="233" t="str">
        <f>Processes!E88</f>
        <v>Commercial Heating Technology Rural Multi - Wood pellets - Existing 1</v>
      </c>
      <c r="D41" s="233" t="s">
        <v>705</v>
      </c>
      <c r="E41" s="233" t="s">
        <v>747</v>
      </c>
      <c r="F41" s="230" t="str">
        <f>Commodities!$C$23</f>
        <v>COMWPE</v>
      </c>
      <c r="G41" s="259" t="str">
        <f>Commodities!$C$46</f>
        <v>COMHRMB</v>
      </c>
      <c r="H41" s="230">
        <v>2010</v>
      </c>
      <c r="I41" s="250">
        <f t="shared" si="32"/>
        <v>0</v>
      </c>
      <c r="J41" s="250">
        <f t="shared" si="33"/>
        <v>0</v>
      </c>
      <c r="K41" s="250">
        <f t="shared" si="34"/>
        <v>0</v>
      </c>
      <c r="L41" s="460">
        <v>0.67</v>
      </c>
      <c r="M41" s="460">
        <v>0.67</v>
      </c>
      <c r="N41" s="460">
        <v>0.67</v>
      </c>
      <c r="O41" s="244">
        <f>31.536/1000</f>
        <v>3.1536000000000002E-2</v>
      </c>
      <c r="P41" s="458">
        <v>0.2</v>
      </c>
      <c r="Q41" s="245">
        <v>20</v>
      </c>
      <c r="R41" s="227">
        <v>1.05</v>
      </c>
      <c r="T41" s="268">
        <f t="shared" si="5"/>
        <v>0</v>
      </c>
      <c r="U41" s="268"/>
      <c r="W41" s="254" t="s">
        <v>849</v>
      </c>
      <c r="X41" s="246">
        <v>2011</v>
      </c>
      <c r="Y41" s="432">
        <f>_xlfn.IFNA(INDEX('Data manipulation'!$C$23:$O$39,MATCH($V41,'Data manipulation'!$B$23:$B$39,0),MATCH($X41,'Data manipulation'!$C$22:$O$22,0))/1000,0)*SUMIFS('Regional split'!$F$4:$F$6,'Regional split'!$B$4:$B$6,Y$3)*SUMIFS('Data manipulation'!$V$39:$V$42,'Data manipulation'!$X$39:$X$42,$E41,'Data manipulation'!$Y$39:$Y$42,$D41)</f>
        <v>0</v>
      </c>
      <c r="Z41" s="270">
        <f>_xlfn.IFNA(INDEX('Data manipulation'!$C$23:$O$39,MATCH($V41,'Data manipulation'!$B$23:$B$39,0),MATCH($X41,'Data manipulation'!$C$22:$O$22,0))/1000,0)*SUMIFS('Regional split'!$F$4:$F$6,'Regional split'!$B$4:$B$6,Z$3)*SUMIFS('Data manipulation'!$V$39:$V$42,'Data manipulation'!$X$39:$X$42,$E41,'Data manipulation'!$Y$39:$Y$42,$D41)</f>
        <v>0</v>
      </c>
      <c r="AA41" s="454">
        <f>_xlfn.IFNA(INDEX('Data manipulation'!$C$23:$O$39,MATCH($V41,'Data manipulation'!$B$23:$B$39,0),MATCH($X41,'Data manipulation'!$C$22:$O$22,0))/1000,0)*SUMIFS('Regional split'!$F$4:$F$6,'Regional split'!$B$4:$B$6,AA$3)*SUMIFS('Data manipulation'!$V$39:$V$42,'Data manipulation'!$X$39:$X$42,$E41,'Data manipulation'!$Y$39:$Y$42,$D41)</f>
        <v>0</v>
      </c>
      <c r="AB41" s="443">
        <f t="shared" si="21"/>
        <v>0</v>
      </c>
      <c r="AC41" s="251">
        <f t="shared" si="22"/>
        <v>0</v>
      </c>
      <c r="AD41" s="444">
        <f t="shared" si="23"/>
        <v>0</v>
      </c>
      <c r="AV41" s="260"/>
      <c r="BA41" s="253"/>
    </row>
    <row r="42" spans="2:53" ht="15" customHeight="1">
      <c r="B42" s="233" t="str">
        <f>Processes!D89</f>
        <v>CHTRMFIWE1</v>
      </c>
      <c r="C42" s="233" t="str">
        <f>Processes!E89</f>
        <v>Commercial Heating Technology Rural Multi - Fire wood - Existing 1</v>
      </c>
      <c r="D42" s="233" t="s">
        <v>705</v>
      </c>
      <c r="E42" s="233" t="s">
        <v>747</v>
      </c>
      <c r="F42" s="230" t="str">
        <f>Commodities!$C$24</f>
        <v>COMFIW</v>
      </c>
      <c r="G42" s="259" t="str">
        <f>Commodities!$C$46</f>
        <v>COMHRMB</v>
      </c>
      <c r="H42" s="230">
        <v>2010</v>
      </c>
      <c r="I42" s="250">
        <f t="shared" si="32"/>
        <v>70.699999999999989</v>
      </c>
      <c r="J42" s="250">
        <f t="shared" si="33"/>
        <v>0</v>
      </c>
      <c r="K42" s="250">
        <f t="shared" si="34"/>
        <v>0</v>
      </c>
      <c r="L42" s="460">
        <v>0.67</v>
      </c>
      <c r="M42" s="460">
        <v>0.67</v>
      </c>
      <c r="N42" s="460">
        <v>0.67</v>
      </c>
      <c r="O42" s="244">
        <f>31.536/1000</f>
        <v>3.1536000000000002E-2</v>
      </c>
      <c r="P42" s="458">
        <v>0.2</v>
      </c>
      <c r="Q42" s="245">
        <v>20</v>
      </c>
      <c r="R42" s="227">
        <v>1.05</v>
      </c>
      <c r="T42" s="268">
        <f t="shared" si="5"/>
        <v>0.66555080597014915</v>
      </c>
      <c r="U42" s="268"/>
      <c r="V42" s="589" t="str">
        <f>'Data manipulation'!$B$31</f>
        <v>Primary solid biofuels</v>
      </c>
      <c r="W42" s="254" t="s">
        <v>176</v>
      </c>
      <c r="X42" s="246">
        <v>2011</v>
      </c>
      <c r="Y42" s="432">
        <f>_xlfn.IFNA(INDEX('Data manipulation'!$C$23:$O$39,MATCH($V42,'Data manipulation'!$B$23:$B$39,0),MATCH($X42,'Data manipulation'!$C$22:$O$22,0))/1000,0)*SUMIFS('Regional split'!$F$4:$F$6,'Regional split'!$B$4:$B$6,Y$3)*SUMIFS('Data manipulation'!$V$39:$V$42,'Data manipulation'!$X$39:$X$42,$E42,'Data manipulation'!$Y$39:$Y$42,$D42)</f>
        <v>0.63358433138432357</v>
      </c>
      <c r="Z42" s="270">
        <f>_xlfn.IFNA(INDEX('Data manipulation'!$C$23:$O$39,MATCH($V42,'Data manipulation'!$B$23:$B$39,0),MATCH($X42,'Data manipulation'!$C$22:$O$22,0))/1000,0)*SUMIFS('Regional split'!$F$4:$F$6,'Regional split'!$B$4:$B$6,Z$3)*SUMIFS('Data manipulation'!$V$39:$V$42,'Data manipulation'!$X$39:$X$42,$E42,'Data manipulation'!$Y$39:$Y$42,$D42)</f>
        <v>0</v>
      </c>
      <c r="AA42" s="454">
        <f>_xlfn.IFNA(INDEX('Data manipulation'!$C$23:$O$39,MATCH($V42,'Data manipulation'!$B$23:$B$39,0),MATCH($X42,'Data manipulation'!$C$22:$O$22,0))/1000,0)*SUMIFS('Regional split'!$F$4:$F$6,'Regional split'!$B$4:$B$6,AA$3)*SUMIFS('Data manipulation'!$V$39:$V$42,'Data manipulation'!$X$39:$X$42,$E42,'Data manipulation'!$Y$39:$Y$42,$D42)</f>
        <v>0</v>
      </c>
      <c r="AB42" s="443">
        <f t="shared" si="21"/>
        <v>0.42450150202749681</v>
      </c>
      <c r="AC42" s="251">
        <f t="shared" si="22"/>
        <v>0</v>
      </c>
      <c r="AD42" s="444">
        <f t="shared" si="23"/>
        <v>0</v>
      </c>
      <c r="AV42" s="260"/>
      <c r="BA42" s="253"/>
    </row>
    <row r="43" spans="2:53" ht="15" customHeight="1">
      <c r="B43" s="233" t="str">
        <f>Processes!D90</f>
        <v>CHTRMCOAE1</v>
      </c>
      <c r="C43" s="233" t="str">
        <f>Processes!E90</f>
        <v>Commercial Heating Technology Rural Multi - Coal - Existing 1</v>
      </c>
      <c r="D43" s="233" t="s">
        <v>705</v>
      </c>
      <c r="E43" s="233" t="s">
        <v>747</v>
      </c>
      <c r="F43" s="230" t="str">
        <f>Commodities!$C$25</f>
        <v>COMCOA</v>
      </c>
      <c r="G43" s="259" t="str">
        <f>Commodities!$C$46</f>
        <v>COMHRMB</v>
      </c>
      <c r="H43" s="230">
        <v>2010</v>
      </c>
      <c r="I43" s="250">
        <f t="shared" si="32"/>
        <v>6.8</v>
      </c>
      <c r="J43" s="250">
        <f t="shared" si="33"/>
        <v>0</v>
      </c>
      <c r="K43" s="250">
        <f t="shared" si="34"/>
        <v>0</v>
      </c>
      <c r="L43" s="460">
        <v>0.72</v>
      </c>
      <c r="M43" s="460">
        <v>0.72</v>
      </c>
      <c r="N43" s="460">
        <v>0.72</v>
      </c>
      <c r="O43" s="244">
        <f t="shared" si="27"/>
        <v>3.1536000000000002E-2</v>
      </c>
      <c r="P43" s="458">
        <v>0.2</v>
      </c>
      <c r="Q43" s="245">
        <v>20</v>
      </c>
      <c r="R43" s="227">
        <v>1.05</v>
      </c>
      <c r="T43" s="268">
        <f t="shared" si="5"/>
        <v>5.956800000000001E-2</v>
      </c>
      <c r="U43" s="268"/>
      <c r="V43" s="589" t="str">
        <f>'Data manipulation'!$B$23</f>
        <v>Solid fossil fuels, peat, peat products, oil shale and oil sands</v>
      </c>
      <c r="W43" s="254" t="s">
        <v>846</v>
      </c>
      <c r="X43" s="246">
        <v>2011</v>
      </c>
      <c r="Y43" s="432">
        <f>_xlfn.IFNA(INDEX('Data manipulation'!$C$23:$O$39,MATCH($V43,'Data manipulation'!$B$23:$B$39,0),MATCH($X43,'Data manipulation'!$C$22:$O$22,0))/1000,0)*SUMIFS('Regional split'!$F$4:$F$6,'Regional split'!$B$4:$B$6,Y$3)*SUMIFS('Data manipulation'!$V$39:$V$42,'Data manipulation'!$X$39:$X$42,$E43,'Data manipulation'!$Y$39:$Y$42,$D43)</f>
        <v>5.6644937999999999E-2</v>
      </c>
      <c r="Z43" s="270">
        <f>_xlfn.IFNA(INDEX('Data manipulation'!$C$23:$O$39,MATCH($V43,'Data manipulation'!$B$23:$B$39,0),MATCH($X43,'Data manipulation'!$C$22:$O$22,0))/1000,0)*SUMIFS('Regional split'!$F$4:$F$6,'Regional split'!$B$4:$B$6,Z$3)*SUMIFS('Data manipulation'!$V$39:$V$42,'Data manipulation'!$X$39:$X$42,$E43,'Data manipulation'!$Y$39:$Y$42,$D43)</f>
        <v>0</v>
      </c>
      <c r="AA43" s="454">
        <f>_xlfn.IFNA(INDEX('Data manipulation'!$C$23:$O$39,MATCH($V43,'Data manipulation'!$B$23:$B$39,0),MATCH($X43,'Data manipulation'!$C$22:$O$22,0))/1000,0)*SUMIFS('Regional split'!$F$4:$F$6,'Regional split'!$B$4:$B$6,AA$3)*SUMIFS('Data manipulation'!$V$39:$V$42,'Data manipulation'!$X$39:$X$42,$E43,'Data manipulation'!$Y$39:$Y$42,$D43)</f>
        <v>0</v>
      </c>
      <c r="AB43" s="443">
        <f t="shared" si="21"/>
        <v>4.0784355359999996E-2</v>
      </c>
      <c r="AC43" s="251">
        <f t="shared" si="22"/>
        <v>0</v>
      </c>
      <c r="AD43" s="444">
        <f t="shared" si="23"/>
        <v>0</v>
      </c>
      <c r="AV43" s="260"/>
      <c r="BA43" s="252"/>
    </row>
    <row r="44" spans="2:53" ht="15" customHeight="1">
      <c r="B44" s="233" t="str">
        <f>Processes!D91</f>
        <v>CHTRMSOLE1</v>
      </c>
      <c r="C44" s="233" t="str">
        <f>Processes!E91</f>
        <v>Commercial Heating Technology Rural Multi - Solar - Existing 1</v>
      </c>
      <c r="D44" s="233" t="s">
        <v>705</v>
      </c>
      <c r="E44" s="233" t="s">
        <v>747</v>
      </c>
      <c r="F44" s="230" t="str">
        <f>Commodities!$C$27</f>
        <v>COMSOL</v>
      </c>
      <c r="G44" s="259" t="str">
        <f>Commodities!$C$46</f>
        <v>COMHRMB</v>
      </c>
      <c r="H44" s="230">
        <v>2010</v>
      </c>
      <c r="I44" s="250">
        <f t="shared" si="32"/>
        <v>0.4</v>
      </c>
      <c r="J44" s="250">
        <f t="shared" si="33"/>
        <v>0</v>
      </c>
      <c r="K44" s="250">
        <f t="shared" si="34"/>
        <v>0</v>
      </c>
      <c r="L44" s="460">
        <v>1</v>
      </c>
      <c r="M44" s="460">
        <v>1</v>
      </c>
      <c r="N44" s="460">
        <v>1</v>
      </c>
      <c r="O44" s="244">
        <f t="shared" si="27"/>
        <v>3.1536000000000002E-2</v>
      </c>
      <c r="P44" s="458">
        <v>0.2</v>
      </c>
      <c r="Q44" s="245">
        <v>20</v>
      </c>
      <c r="R44" s="227">
        <v>1.05</v>
      </c>
      <c r="T44" s="268">
        <f t="shared" si="5"/>
        <v>2.5228800000000003E-3</v>
      </c>
      <c r="U44" s="268"/>
      <c r="V44" s="589" t="str">
        <f>'Data manipulation'!$B$29</f>
        <v>Solar thermal</v>
      </c>
      <c r="W44" s="254" t="s">
        <v>168</v>
      </c>
      <c r="X44" s="246">
        <v>2011</v>
      </c>
      <c r="Y44" s="432">
        <f>_xlfn.IFNA(INDEX('Data manipulation'!$C$23:$O$39,MATCH($V44,'Data manipulation'!$B$23:$B$39,0),MATCH($X44,'Data manipulation'!$C$22:$O$22,0))/1000,0)*SUMIFS('Regional split'!$F$4:$F$6,'Regional split'!$B$4:$B$6,Y$3)*SUMIFS('Data manipulation'!$V$39:$V$42,'Data manipulation'!$X$39:$X$42,$E44,'Data manipulation'!$Y$39:$Y$42,$D44)</f>
        <v>2.0980959999999998E-3</v>
      </c>
      <c r="Z44" s="270">
        <f>_xlfn.IFNA(INDEX('Data manipulation'!$C$23:$O$39,MATCH($V44,'Data manipulation'!$B$23:$B$39,0),MATCH($X44,'Data manipulation'!$C$22:$O$22,0))/1000,0)*SUMIFS('Regional split'!$F$4:$F$6,'Regional split'!$B$4:$B$6,Z$3)*SUMIFS('Data manipulation'!$V$39:$V$42,'Data manipulation'!$X$39:$X$42,$E44,'Data manipulation'!$Y$39:$Y$42,$D44)</f>
        <v>0</v>
      </c>
      <c r="AA44" s="454">
        <f>_xlfn.IFNA(INDEX('Data manipulation'!$C$23:$O$39,MATCH($V44,'Data manipulation'!$B$23:$B$39,0),MATCH($X44,'Data manipulation'!$C$22:$O$22,0))/1000,0)*SUMIFS('Regional split'!$F$4:$F$6,'Regional split'!$B$4:$B$6,AA$3)*SUMIFS('Data manipulation'!$V$39:$V$42,'Data manipulation'!$X$39:$X$42,$E44,'Data manipulation'!$Y$39:$Y$42,$D44)</f>
        <v>0</v>
      </c>
      <c r="AB44" s="443">
        <f t="shared" si="21"/>
        <v>2.0980959999999998E-3</v>
      </c>
      <c r="AC44" s="251">
        <f t="shared" si="22"/>
        <v>0</v>
      </c>
      <c r="AD44" s="444">
        <f t="shared" si="23"/>
        <v>0</v>
      </c>
      <c r="AV44" s="260"/>
      <c r="BA44" s="252"/>
    </row>
    <row r="45" spans="2:53" ht="15" customHeight="1">
      <c r="B45" s="233" t="str">
        <f>Processes!D92</f>
        <v>CHTRMGEOE1</v>
      </c>
      <c r="C45" s="233" t="str">
        <f>Processes!E92</f>
        <v>Commercial Heating Technology Rural Multi - Geothermal - Existing 1</v>
      </c>
      <c r="D45" s="233" t="s">
        <v>705</v>
      </c>
      <c r="E45" s="233" t="s">
        <v>747</v>
      </c>
      <c r="F45" s="230" t="str">
        <f>Commodities!$C$28</f>
        <v>COMGEO</v>
      </c>
      <c r="G45" s="259" t="str">
        <f>Commodities!$C$46</f>
        <v>COMHRMB</v>
      </c>
      <c r="H45" s="230">
        <v>2010</v>
      </c>
      <c r="I45" s="250">
        <f t="shared" si="32"/>
        <v>4.3999999999999995</v>
      </c>
      <c r="J45" s="250">
        <f t="shared" si="33"/>
        <v>0</v>
      </c>
      <c r="K45" s="250">
        <f t="shared" si="34"/>
        <v>0</v>
      </c>
      <c r="L45" s="460">
        <v>1</v>
      </c>
      <c r="M45" s="460">
        <v>1</v>
      </c>
      <c r="N45" s="460">
        <v>1</v>
      </c>
      <c r="O45" s="244">
        <f t="shared" si="27"/>
        <v>3.1536000000000002E-2</v>
      </c>
      <c r="P45" s="458">
        <v>0.2</v>
      </c>
      <c r="Q45" s="245">
        <v>30</v>
      </c>
      <c r="R45" s="227">
        <v>1.05</v>
      </c>
      <c r="T45" s="268">
        <f t="shared" si="5"/>
        <v>2.7751679999999997E-2</v>
      </c>
      <c r="U45" s="268"/>
      <c r="V45" s="589" t="str">
        <f>'Data manipulation'!$B$38</f>
        <v>Geothermal</v>
      </c>
      <c r="W45" s="254" t="s">
        <v>169</v>
      </c>
      <c r="X45" s="246">
        <v>2011</v>
      </c>
      <c r="Y45" s="432">
        <f>_xlfn.IFNA(INDEX('Data manipulation'!$C$23:$O$39,MATCH($V45,'Data manipulation'!$B$23:$B$39,0),MATCH($X45,'Data manipulation'!$C$22:$O$22,0))/1000,0)*SUMIFS('Regional split'!$F$4:$F$6,'Regional split'!$B$4:$B$6,Y$3)*SUMIFS('Data manipulation'!$V$39:$V$42,'Data manipulation'!$X$39:$X$42,$E45,'Data manipulation'!$Y$39:$Y$42,$D45)</f>
        <v>2.6362E-2</v>
      </c>
      <c r="Z45" s="270">
        <f>_xlfn.IFNA(INDEX('Data manipulation'!$C$23:$O$39,MATCH($V45,'Data manipulation'!$B$23:$B$39,0),MATCH($X45,'Data manipulation'!$C$22:$O$22,0))/1000,0)*SUMIFS('Regional split'!$F$4:$F$6,'Regional split'!$B$4:$B$6,Z$3)*SUMIFS('Data manipulation'!$V$39:$V$42,'Data manipulation'!$X$39:$X$42,$E45,'Data manipulation'!$Y$39:$Y$42,$D45)</f>
        <v>0</v>
      </c>
      <c r="AA45" s="454">
        <f>_xlfn.IFNA(INDEX('Data manipulation'!$C$23:$O$39,MATCH($V45,'Data manipulation'!$B$23:$B$39,0),MATCH($X45,'Data manipulation'!$C$22:$O$22,0))/1000,0)*SUMIFS('Regional split'!$F$4:$F$6,'Regional split'!$B$4:$B$6,AA$3)*SUMIFS('Data manipulation'!$V$39:$V$42,'Data manipulation'!$X$39:$X$42,$E45,'Data manipulation'!$Y$39:$Y$42,$D45)</f>
        <v>0</v>
      </c>
      <c r="AB45" s="443">
        <f t="shared" ref="AB45" si="35">Y45*L45</f>
        <v>2.6362E-2</v>
      </c>
      <c r="AC45" s="251">
        <f t="shared" ref="AC45" si="36">Z45*M45</f>
        <v>0</v>
      </c>
      <c r="AD45" s="444">
        <f t="shared" ref="AD45" si="37">AA45*N45</f>
        <v>0</v>
      </c>
      <c r="AV45" s="260"/>
      <c r="BA45" s="252"/>
    </row>
    <row r="46" spans="2:53" ht="15" customHeight="1">
      <c r="B46" s="233" t="str">
        <f>Processes!D93</f>
        <v>CHTRMELCHE1</v>
      </c>
      <c r="C46" s="233" t="str">
        <f>Processes!E93</f>
        <v>Commercial Heating Technology Rural Multi - Electricity Heating - Existing 1</v>
      </c>
      <c r="D46" s="233" t="s">
        <v>705</v>
      </c>
      <c r="E46" s="233" t="s">
        <v>747</v>
      </c>
      <c r="F46" s="230" t="str">
        <f>Commodities!$C$29</f>
        <v>COMELCH</v>
      </c>
      <c r="G46" s="259" t="str">
        <f>Commodities!$C$46</f>
        <v>COMHRMB</v>
      </c>
      <c r="H46" s="230">
        <v>2010</v>
      </c>
      <c r="I46" s="250">
        <f t="shared" si="32"/>
        <v>67.5</v>
      </c>
      <c r="J46" s="250">
        <f t="shared" si="33"/>
        <v>0</v>
      </c>
      <c r="K46" s="250">
        <f t="shared" si="34"/>
        <v>0</v>
      </c>
      <c r="L46" s="460">
        <v>1</v>
      </c>
      <c r="M46" s="460">
        <v>1</v>
      </c>
      <c r="N46" s="460">
        <v>1</v>
      </c>
      <c r="O46" s="244">
        <f t="shared" si="27"/>
        <v>3.1536000000000002E-2</v>
      </c>
      <c r="P46" s="458">
        <v>0.2</v>
      </c>
      <c r="Q46" s="245">
        <v>30</v>
      </c>
      <c r="R46" s="227">
        <v>1.05</v>
      </c>
      <c r="T46" s="268">
        <f t="shared" si="5"/>
        <v>0.42573600000000006</v>
      </c>
      <c r="U46" s="268"/>
      <c r="V46" s="589" t="str">
        <f>'Data manipulation'!$B$33</f>
        <v>Electricity</v>
      </c>
      <c r="W46" s="254" t="s">
        <v>169</v>
      </c>
      <c r="X46" s="246">
        <v>2011</v>
      </c>
      <c r="Y46" s="432">
        <f>_xlfn.IFNA(INDEX('Data manipulation'!$C$23:$O$39,MATCH($V46,'Data manipulation'!$B$23:$B$39,0),MATCH($X46,'Data manipulation'!$C$22:$O$22,0))/1000,0)*SUMIFS('Regional split'!$F$4:$F$6,'Regional split'!$B$4:$B$6,Y$3)*SUMIFS('Data manipulation'!$V$39:$V$42,'Data manipulation'!$X$39:$X$42,$E46,'Data manipulation'!$Y$39:$Y$42,$D46)</f>
        <v>0.40509263858669886</v>
      </c>
      <c r="Z46" s="270">
        <f>_xlfn.IFNA(INDEX('Data manipulation'!$C$23:$O$39,MATCH($V46,'Data manipulation'!$B$23:$B$39,0),MATCH($X46,'Data manipulation'!$C$22:$O$22,0))/1000,0)*SUMIFS('Regional split'!$F$4:$F$6,'Regional split'!$B$4:$B$6,Z$3)*SUMIFS('Data manipulation'!$V$39:$V$42,'Data manipulation'!$X$39:$X$42,$E46,'Data manipulation'!$Y$39:$Y$42,$D46)</f>
        <v>0</v>
      </c>
      <c r="AA46" s="454">
        <f>_xlfn.IFNA(INDEX('Data manipulation'!$C$23:$O$39,MATCH($V46,'Data manipulation'!$B$23:$B$39,0),MATCH($X46,'Data manipulation'!$C$22:$O$22,0))/1000,0)*SUMIFS('Regional split'!$F$4:$F$6,'Regional split'!$B$4:$B$6,AA$3)*SUMIFS('Data manipulation'!$V$39:$V$42,'Data manipulation'!$X$39:$X$42,$E46,'Data manipulation'!$Y$39:$Y$42,$D46)</f>
        <v>0</v>
      </c>
      <c r="AB46" s="443">
        <f t="shared" si="21"/>
        <v>0.40509263858669886</v>
      </c>
      <c r="AC46" s="251">
        <f t="shared" si="22"/>
        <v>0</v>
      </c>
      <c r="AD46" s="444">
        <f t="shared" si="23"/>
        <v>0</v>
      </c>
      <c r="AV46" s="260"/>
      <c r="BA46" s="252"/>
    </row>
    <row r="47" spans="2:53" ht="15" customHeight="1">
      <c r="B47" s="233" t="str">
        <f>Processes!D94</f>
        <v>CHTRMELCHE2</v>
      </c>
      <c r="C47" s="233" t="str">
        <f>Processes!E94</f>
        <v>Commercial Heating Technology Rural Multi - Electricity Heating - Existing 2</v>
      </c>
      <c r="D47" s="233" t="s">
        <v>705</v>
      </c>
      <c r="E47" s="233" t="s">
        <v>747</v>
      </c>
      <c r="F47" s="230" t="str">
        <f>Commodities!$C$29</f>
        <v>COMELCH</v>
      </c>
      <c r="G47" s="259" t="str">
        <f>Commodities!$C$46</f>
        <v>COMHRMB</v>
      </c>
      <c r="H47" s="230">
        <v>2010</v>
      </c>
      <c r="I47" s="250">
        <f t="shared" si="32"/>
        <v>8</v>
      </c>
      <c r="J47" s="250">
        <f t="shared" si="33"/>
        <v>0</v>
      </c>
      <c r="K47" s="250">
        <f t="shared" si="34"/>
        <v>0</v>
      </c>
      <c r="L47" s="460">
        <v>2.3149999999999999</v>
      </c>
      <c r="M47" s="460">
        <v>2.3149999999999999</v>
      </c>
      <c r="N47" s="460">
        <v>2.3149999999999999</v>
      </c>
      <c r="O47" s="244">
        <f t="shared" si="27"/>
        <v>3.1536000000000002E-2</v>
      </c>
      <c r="P47" s="458">
        <v>0.2</v>
      </c>
      <c r="Q47" s="245">
        <v>30</v>
      </c>
      <c r="R47" s="227">
        <v>1.05</v>
      </c>
      <c r="T47" s="268">
        <f t="shared" si="5"/>
        <v>2.1795939524838017E-2</v>
      </c>
      <c r="U47" s="268"/>
      <c r="V47" s="589" t="str">
        <f>'Data manipulation'!$B$30</f>
        <v>Ambient heat (heat pumps)</v>
      </c>
      <c r="W47" s="254" t="s">
        <v>170</v>
      </c>
      <c r="X47" s="246">
        <v>2011</v>
      </c>
      <c r="Y47" s="432">
        <f>_xlfn.IFNA(INDEX('Data manipulation'!$C$23:$O$39,MATCH($V47,'Data manipulation'!$B$23:$B$39,0),MATCH($X47,'Data manipulation'!$C$22:$O$22,0))/1000,0)*SUMIFS('Regional split'!$F$4:$F$6,'Regional split'!$B$4:$B$6,Y$3)*SUMIFS('Data manipulation'!$V$39:$V$42,'Data manipulation'!$X$39:$X$42,$E47,'Data manipulation'!$Y$39:$Y$42,$D47)</f>
        <v>2.0575100000000002E-2</v>
      </c>
      <c r="Z47" s="270">
        <f>_xlfn.IFNA(INDEX('Data manipulation'!$C$23:$O$39,MATCH($V47,'Data manipulation'!$B$23:$B$39,0),MATCH($X47,'Data manipulation'!$C$22:$O$22,0))/1000,0)*SUMIFS('Regional split'!$F$4:$F$6,'Regional split'!$B$4:$B$6,Z$3)*SUMIFS('Data manipulation'!$V$39:$V$42,'Data manipulation'!$X$39:$X$42,$E47,'Data manipulation'!$Y$39:$Y$42,$D47)</f>
        <v>0</v>
      </c>
      <c r="AA47" s="454">
        <f>_xlfn.IFNA(INDEX('Data manipulation'!$C$23:$O$39,MATCH($V47,'Data manipulation'!$B$23:$B$39,0),MATCH($X47,'Data manipulation'!$C$22:$O$22,0))/1000,0)*SUMIFS('Regional split'!$F$4:$F$6,'Regional split'!$B$4:$B$6,AA$3)*SUMIFS('Data manipulation'!$V$39:$V$42,'Data manipulation'!$X$39:$X$42,$E47,'Data manipulation'!$Y$39:$Y$42,$D47)</f>
        <v>0</v>
      </c>
      <c r="AB47" s="443">
        <f t="shared" si="21"/>
        <v>4.7631356500000006E-2</v>
      </c>
      <c r="AC47" s="251">
        <f t="shared" si="22"/>
        <v>0</v>
      </c>
      <c r="AD47" s="444">
        <f t="shared" si="23"/>
        <v>0</v>
      </c>
      <c r="AV47" s="260"/>
      <c r="BA47" s="252"/>
    </row>
    <row r="48" spans="2:53" ht="15" customHeight="1">
      <c r="B48" s="233" t="str">
        <f>Processes!D95</f>
        <v>CHTRMHCEE1</v>
      </c>
      <c r="C48" s="233" t="str">
        <f>Processes!E95</f>
        <v>Commercial Heating Technology Rural Multi - District heating Central - Existing 1</v>
      </c>
      <c r="D48" s="233" t="s">
        <v>705</v>
      </c>
      <c r="E48" s="233" t="s">
        <v>747</v>
      </c>
      <c r="F48" s="230" t="str">
        <f>Commodities!$C$36</f>
        <v>COMHDE</v>
      </c>
      <c r="G48" s="261" t="str">
        <f>Commodities!$C$42</f>
        <v>COMHRMX</v>
      </c>
      <c r="H48" s="230">
        <v>2010</v>
      </c>
      <c r="I48" s="565">
        <v>0</v>
      </c>
      <c r="J48" s="565">
        <v>0</v>
      </c>
      <c r="K48" s="565">
        <v>0</v>
      </c>
      <c r="L48" s="460">
        <v>0.98</v>
      </c>
      <c r="M48" s="460">
        <v>0.98</v>
      </c>
      <c r="N48" s="460">
        <v>0.98</v>
      </c>
      <c r="O48" s="244">
        <f t="shared" si="27"/>
        <v>3.1536000000000002E-2</v>
      </c>
      <c r="P48" s="458">
        <v>0.2</v>
      </c>
      <c r="Q48" s="245">
        <v>30</v>
      </c>
      <c r="R48" s="227">
        <v>1.05</v>
      </c>
      <c r="T48" s="268">
        <f t="shared" si="5"/>
        <v>0</v>
      </c>
      <c r="U48" s="268"/>
      <c r="V48" s="589" t="str">
        <f>'Data manipulation'!$B$34</f>
        <v>Heat</v>
      </c>
      <c r="W48" s="254" t="s">
        <v>171</v>
      </c>
      <c r="X48" s="246">
        <v>2011</v>
      </c>
      <c r="Y48" s="432">
        <f>_xlfn.IFNA(INDEX('Data manipulation'!$C$23:$O$39,MATCH($V48,'Data manipulation'!$B$23:$B$39,0),MATCH($X48,'Data manipulation'!$C$22:$O$22,0))/1000,0)*SUMIFS('Regional split'!$F$4:$F$6,'Regional split'!$B$4:$B$6,Y$3)*SUMIFS('Data manipulation'!$V$39:$V$42,'Data manipulation'!$X$39:$X$42,$E48,'Data manipulation'!$Y$39:$Y$42,$D48)</f>
        <v>1.08602454611558</v>
      </c>
      <c r="Z48" s="270">
        <f>_xlfn.IFNA(INDEX('Data manipulation'!$C$23:$O$39,MATCH($V48,'Data manipulation'!$B$23:$B$39,0),MATCH($X48,'Data manipulation'!$C$22:$O$22,0))/1000,0)*SUMIFS('Regional split'!$F$4:$F$6,'Regional split'!$B$4:$B$6,Z$3)*SUMIFS('Data manipulation'!$V$39:$V$42,'Data manipulation'!$X$39:$X$42,$E48,'Data manipulation'!$Y$39:$Y$42,$D48)</f>
        <v>0</v>
      </c>
      <c r="AA48" s="454">
        <f>_xlfn.IFNA(INDEX('Data manipulation'!$C$23:$O$39,MATCH($V48,'Data manipulation'!$B$23:$B$39,0),MATCH($X48,'Data manipulation'!$C$22:$O$22,0))/1000,0)*SUMIFS('Regional split'!$F$4:$F$6,'Regional split'!$B$4:$B$6,AA$3)*SUMIFS('Data manipulation'!$V$39:$V$42,'Data manipulation'!$X$39:$X$42,$E48,'Data manipulation'!$Y$39:$Y$42,$D48)</f>
        <v>0</v>
      </c>
      <c r="AB48" s="443">
        <f t="shared" si="21"/>
        <v>1.0643040551932683</v>
      </c>
      <c r="AC48" s="251">
        <f t="shared" si="22"/>
        <v>0</v>
      </c>
      <c r="AD48" s="444">
        <f t="shared" si="23"/>
        <v>0</v>
      </c>
      <c r="AV48" s="260"/>
      <c r="BA48" s="253"/>
    </row>
    <row r="49" spans="2:53" ht="15" customHeight="1" thickBot="1">
      <c r="B49" s="549" t="str">
        <f>Processes!D96</f>
        <v>CHTRMLPGE1</v>
      </c>
      <c r="C49" s="549" t="str">
        <f>Processes!E96</f>
        <v>Commercial Heating Technology Rural Multi - LPG - Existing 1</v>
      </c>
      <c r="D49" s="531" t="s">
        <v>705</v>
      </c>
      <c r="E49" s="531" t="s">
        <v>747</v>
      </c>
      <c r="F49" s="530" t="str">
        <f>F38</f>
        <v>COMLPG</v>
      </c>
      <c r="G49" s="424" t="str">
        <f>G47</f>
        <v>COMHRMB</v>
      </c>
      <c r="H49" s="230">
        <v>2010</v>
      </c>
      <c r="I49" s="297">
        <f t="shared" ref="I49" si="38">ROUNDUP(AB49/($O49*$P49)*$R49,1)</f>
        <v>29.8</v>
      </c>
      <c r="J49" s="297">
        <f t="shared" ref="J49" si="39">ROUNDUP(AC49/($O49*$P49)*$R49,1)</f>
        <v>0</v>
      </c>
      <c r="K49" s="297">
        <f t="shared" ref="K49" si="40">ROUNDUP(AD49/($O49*$P49)*$R49,1)</f>
        <v>0</v>
      </c>
      <c r="L49" s="462">
        <v>0.98</v>
      </c>
      <c r="M49" s="462">
        <v>0.98</v>
      </c>
      <c r="N49" s="462">
        <v>0.98</v>
      </c>
      <c r="O49" s="425">
        <f t="shared" si="27"/>
        <v>3.1536000000000002E-2</v>
      </c>
      <c r="P49" s="458">
        <v>0.2</v>
      </c>
      <c r="Q49" s="426">
        <v>30</v>
      </c>
      <c r="R49" s="227">
        <v>1.05</v>
      </c>
      <c r="T49" s="268">
        <f t="shared" si="5"/>
        <v>0.1917903673469388</v>
      </c>
      <c r="U49" s="268"/>
      <c r="V49" s="590" t="str">
        <f>'Data manipulation'!$B$25</f>
        <v>Liquefied petroleum gas</v>
      </c>
      <c r="W49" s="427" t="s">
        <v>759</v>
      </c>
      <c r="X49" s="246">
        <v>2011</v>
      </c>
      <c r="Y49" s="434">
        <f>_xlfn.IFNA(INDEX('Data manipulation'!$C$23:$O$39,MATCH($V49,'Data manipulation'!$B$23:$B$39,0),MATCH($X49,'Data manipulation'!$C$22:$O$22,0))/1000,0)*SUMIFS('Regional split'!$F$4:$F$6,'Regional split'!$B$4:$B$6,Y$3)*SUMIFS('Data manipulation'!$V$39:$V$42,'Data manipulation'!$X$39:$X$42,$E49,'Data manipulation'!$Y$39:$Y$42,$D49)</f>
        <v>0.18239722614459331</v>
      </c>
      <c r="Z49" s="428">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8">
        <f t="shared" si="21"/>
        <v>0.17874928162170142</v>
      </c>
      <c r="AC49" s="429">
        <f t="shared" si="22"/>
        <v>0</v>
      </c>
      <c r="AD49" s="449">
        <f t="shared" si="23"/>
        <v>0</v>
      </c>
      <c r="AV49" s="260"/>
      <c r="BA49" s="252"/>
    </row>
    <row r="50" spans="2:53" ht="15" customHeight="1">
      <c r="B50" s="227" t="str">
        <f t="shared" ref="B50:G55" si="41">B6</f>
        <v>CHTUDNGAE1</v>
      </c>
      <c r="C50" s="227" t="str">
        <f t="shared" si="41"/>
        <v>Commercial Heating Technology Urban Detached - Natural Gas - Existing 1</v>
      </c>
      <c r="D50" s="227" t="str">
        <f t="shared" si="41"/>
        <v>Urban</v>
      </c>
      <c r="E50" s="227" t="str">
        <f t="shared" si="41"/>
        <v>Detached</v>
      </c>
      <c r="F50" s="227" t="str">
        <f t="shared" si="41"/>
        <v>COMNGA,COMSNG,COMBGA</v>
      </c>
      <c r="G50" s="227" t="str">
        <f t="shared" si="41"/>
        <v>COMHUDB</v>
      </c>
      <c r="H50" s="230">
        <v>2015</v>
      </c>
      <c r="I50" s="250">
        <f>ROUNDUP(AB50/($O50*$P50)*$R50,1)</f>
        <v>17227.899999999998</v>
      </c>
      <c r="J50" s="250">
        <f>ROUNDUP(AC50/($O50*$P50)*$R50,1)</f>
        <v>0</v>
      </c>
      <c r="K50" s="250">
        <f>ROUNDUP(AD50/($O50*$P50)*$R50,1)</f>
        <v>0</v>
      </c>
      <c r="L50" s="460">
        <v>0.72</v>
      </c>
      <c r="M50" s="460">
        <v>0.72</v>
      </c>
      <c r="N50" s="460">
        <v>0.72</v>
      </c>
      <c r="O50" s="244">
        <f>31.536/1000</f>
        <v>3.1536000000000002E-2</v>
      </c>
      <c r="P50" s="458">
        <v>0.2</v>
      </c>
      <c r="Q50" s="245">
        <v>22</v>
      </c>
      <c r="R50" s="227">
        <v>1.0900000000000001</v>
      </c>
      <c r="T50" s="268">
        <f t="shared" si="5"/>
        <v>150.916404</v>
      </c>
      <c r="U50" s="268"/>
      <c r="V50" s="589" t="str">
        <f>'Data manipulation'!$B$36</f>
        <v>Natural gas and biogas</v>
      </c>
      <c r="W50" s="246" t="s">
        <v>167</v>
      </c>
      <c r="X50" s="246">
        <v>2015</v>
      </c>
      <c r="Y50" s="432">
        <f>_xlfn.IFNA(INDEX('Data manipulation'!$C$23:$O$39,MATCH($V50,'Data manipulation'!$B$23:$B$39,0),MATCH($X50,'Data manipulation'!$C$22:$O$22,0))/1000,0)*SUMIFS('Regional split'!$F$4:$F$6,'Regional split'!$B$4:$B$6,Y$3)*SUMIFS('Data manipulation'!$V$39:$V$42,'Data manipulation'!$X$39:$X$42,$E50,'Data manipulation'!$Y$39:$Y$42,$D50)</f>
        <v>138.45533701088746</v>
      </c>
      <c r="Z50" s="270">
        <f>_xlfn.IFNA(INDEX('Data manipulation'!$C$23:$O$39,MATCH($V50,'Data manipulation'!$B$23:$B$39,0),MATCH($X50,'Data manipulation'!$C$22:$O$22,0))/1000,0)*SUMIFS('Regional split'!$F$4:$F$6,'Regional split'!$B$4:$B$6,Z$3)*SUMIFS('Data manipulation'!$V$39:$V$42,'Data manipulation'!$X$39:$X$42,$E50,'Data manipulation'!$Y$39:$Y$42,$D50)</f>
        <v>0</v>
      </c>
      <c r="AA50" s="454">
        <f>_xlfn.IFNA(INDEX('Data manipulation'!$C$23:$O$39,MATCH($V50,'Data manipulation'!$B$23:$B$39,0),MATCH($X50,'Data manipulation'!$C$22:$O$22,0))/1000,0)*SUMIFS('Regional split'!$F$4:$F$6,'Regional split'!$B$4:$B$6,AA$3)*SUMIFS('Data manipulation'!$V$39:$V$42,'Data manipulation'!$X$39:$X$42,$E50,'Data manipulation'!$Y$39:$Y$42,$D50)</f>
        <v>0</v>
      </c>
      <c r="AB50" s="443">
        <f>Y50*L50</f>
        <v>99.687842647838963</v>
      </c>
      <c r="AC50" s="251">
        <f t="shared" si="0"/>
        <v>0</v>
      </c>
      <c r="AD50" s="444">
        <f t="shared" si="1"/>
        <v>0</v>
      </c>
      <c r="AE50" s="262"/>
      <c r="AU50" s="260"/>
      <c r="AZ50" s="252"/>
    </row>
    <row r="51" spans="2:53" ht="15" customHeight="1">
      <c r="B51" s="227" t="str">
        <f t="shared" si="41"/>
        <v>CHTUDDSLE1</v>
      </c>
      <c r="C51" s="227" t="str">
        <f t="shared" si="41"/>
        <v>Commercial Heating Technology Urban Detached - Diesel - Existing 1</v>
      </c>
      <c r="D51" s="227" t="str">
        <f t="shared" si="41"/>
        <v>Urban</v>
      </c>
      <c r="E51" s="227" t="str">
        <f t="shared" si="41"/>
        <v>Detached</v>
      </c>
      <c r="F51" s="227" t="str">
        <f t="shared" si="41"/>
        <v>COMDSL,COMDSB</v>
      </c>
      <c r="G51" s="227" t="str">
        <f t="shared" si="41"/>
        <v>COMHUDB</v>
      </c>
      <c r="H51" s="230">
        <v>2015</v>
      </c>
      <c r="I51" s="250">
        <f t="shared" ref="I51:I58" si="42">ROUNDUP(AB51/($O51*$P51)*$R51,1)</f>
        <v>12543.1</v>
      </c>
      <c r="J51" s="250">
        <f t="shared" ref="J51:J57" si="43">ROUNDUP(AC51/($O51*$P51)*$R51,1)</f>
        <v>0</v>
      </c>
      <c r="K51" s="250">
        <f t="shared" ref="K51:K57" si="44">ROUNDUP(AD51/($O51*$P51)*$R51,1)</f>
        <v>0</v>
      </c>
      <c r="L51" s="460">
        <v>0.71</v>
      </c>
      <c r="M51" s="460">
        <v>0.71</v>
      </c>
      <c r="N51" s="460">
        <v>0.71</v>
      </c>
      <c r="O51" s="244">
        <f>31.536/1000</f>
        <v>3.1536000000000002E-2</v>
      </c>
      <c r="P51" s="458">
        <v>0.2</v>
      </c>
      <c r="Q51" s="245">
        <v>20</v>
      </c>
      <c r="R51" s="227">
        <v>1.0900000000000001</v>
      </c>
      <c r="T51" s="268">
        <f t="shared" si="5"/>
        <v>111.42512721126764</v>
      </c>
      <c r="V51" s="589" t="str">
        <f>'Data manipulation'!$B$28</f>
        <v>Gas oil and diesel oil and biodiesel</v>
      </c>
      <c r="W51" s="254" t="s">
        <v>718</v>
      </c>
      <c r="X51" s="246">
        <v>2015</v>
      </c>
      <c r="Y51" s="432">
        <f>_xlfn.IFNA(INDEX('Data manipulation'!$C$23:$O$39,MATCH($V51,'Data manipulation'!$B$23:$B$39,0),MATCH($X51,'Data manipulation'!$C$22:$O$22,0))/1000,0)*SUMIFS('Regional split'!$F$4:$F$6,'Regional split'!$B$4:$B$6,Y$3)*SUMIFS('Data manipulation'!$V$39:$V$42,'Data manipulation'!$X$39:$X$42,$E51,'Data manipulation'!$Y$39:$Y$42,$D51)</f>
        <v>102.22415275004526</v>
      </c>
      <c r="Z51" s="270">
        <f>_xlfn.IFNA(INDEX('Data manipulation'!$C$23:$O$39,MATCH($V51,'Data manipulation'!$B$23:$B$39,0),MATCH($X51,'Data manipulation'!$C$22:$O$22,0))/1000,0)*SUMIFS('Regional split'!$F$4:$F$6,'Regional split'!$B$4:$B$6,Z$3)*SUMIFS('Data manipulation'!$V$39:$V$42,'Data manipulation'!$X$39:$X$42,$E51,'Data manipulation'!$Y$39:$Y$42,$D51)</f>
        <v>0</v>
      </c>
      <c r="AA51" s="454">
        <f>_xlfn.IFNA(INDEX('Data manipulation'!$C$23:$O$39,MATCH($V51,'Data manipulation'!$B$23:$B$39,0),MATCH($X51,'Data manipulation'!$C$22:$O$22,0))/1000,0)*SUMIFS('Regional split'!$F$4:$F$6,'Regional split'!$B$4:$B$6,AA$3)*SUMIFS('Data manipulation'!$V$39:$V$42,'Data manipulation'!$X$39:$X$42,$E51,'Data manipulation'!$Y$39:$Y$42,$D51)</f>
        <v>0</v>
      </c>
      <c r="AB51" s="443">
        <f t="shared" si="6"/>
        <v>72.579148452532138</v>
      </c>
      <c r="AC51" s="251">
        <f t="shared" si="0"/>
        <v>0</v>
      </c>
      <c r="AD51" s="444">
        <f t="shared" si="1"/>
        <v>0</v>
      </c>
      <c r="AE51" s="262"/>
      <c r="AU51" s="260"/>
      <c r="AZ51" s="252"/>
    </row>
    <row r="52" spans="2:53" ht="15" customHeight="1">
      <c r="B52" s="227" t="str">
        <f t="shared" si="41"/>
        <v>CHTUDWPEE1</v>
      </c>
      <c r="C52" s="227" t="str">
        <f t="shared" si="41"/>
        <v>Commercial Heating Technology Urban Detached - Wood pellets - Existing 1</v>
      </c>
      <c r="D52" s="227" t="str">
        <f t="shared" si="41"/>
        <v>Urban</v>
      </c>
      <c r="E52" s="227" t="str">
        <f t="shared" si="41"/>
        <v>Detached</v>
      </c>
      <c r="F52" s="227" t="str">
        <f t="shared" si="41"/>
        <v>COMWPE</v>
      </c>
      <c r="G52" s="227" t="str">
        <f t="shared" si="41"/>
        <v>COMHUDB</v>
      </c>
      <c r="H52" s="230">
        <v>2015</v>
      </c>
      <c r="I52" s="250">
        <f t="shared" si="42"/>
        <v>0</v>
      </c>
      <c r="J52" s="250">
        <f t="shared" si="43"/>
        <v>0</v>
      </c>
      <c r="K52" s="250">
        <f t="shared" si="44"/>
        <v>0</v>
      </c>
      <c r="L52" s="460">
        <v>0.61</v>
      </c>
      <c r="M52" s="460">
        <v>0.61</v>
      </c>
      <c r="N52" s="460">
        <v>0.61</v>
      </c>
      <c r="O52" s="244">
        <f t="shared" ref="O52:O69" si="45">31.536/1000</f>
        <v>3.1536000000000002E-2</v>
      </c>
      <c r="P52" s="458">
        <v>0.2</v>
      </c>
      <c r="Q52" s="245">
        <v>20</v>
      </c>
      <c r="R52" s="227">
        <v>1.0900000000000001</v>
      </c>
      <c r="T52" s="268">
        <f t="shared" si="5"/>
        <v>0</v>
      </c>
      <c r="U52" s="268"/>
      <c r="W52" s="254" t="s">
        <v>849</v>
      </c>
      <c r="X52" s="246">
        <v>2015</v>
      </c>
      <c r="Y52" s="432">
        <f>_xlfn.IFNA(INDEX('Data manipulation'!$C$23:$O$39,MATCH($V52,'Data manipulation'!$B$23:$B$39,0),MATCH($X52,'Data manipulation'!$C$22:$O$22,0))/1000,0)*SUMIFS('Regional split'!$F$4:$F$6,'Regional split'!$B$4:$B$6,Y$3)*SUMIFS('Data manipulation'!$V$39:$V$42,'Data manipulation'!$X$39:$X$42,$E52,'Data manipulation'!$Y$39:$Y$42,$D52)</f>
        <v>0</v>
      </c>
      <c r="Z52" s="270">
        <f>_xlfn.IFNA(INDEX('Data manipulation'!$C$23:$O$39,MATCH($V52,'Data manipulation'!$B$23:$B$39,0),MATCH($X52,'Data manipulation'!$C$22:$O$22,0))/1000,0)*SUMIFS('Regional split'!$F$4:$F$6,'Regional split'!$B$4:$B$6,Z$3)*SUMIFS('Data manipulation'!$V$39:$V$42,'Data manipulation'!$X$39:$X$42,$E52,'Data manipulation'!$Y$39:$Y$42,$D52)</f>
        <v>0</v>
      </c>
      <c r="AA52" s="454">
        <f>_xlfn.IFNA(INDEX('Data manipulation'!$C$23:$O$39,MATCH($V52,'Data manipulation'!$B$23:$B$39,0),MATCH($X52,'Data manipulation'!$C$22:$O$22,0))/1000,0)*SUMIFS('Regional split'!$F$4:$F$6,'Regional split'!$B$4:$B$6,AA$3)*SUMIFS('Data manipulation'!$V$39:$V$42,'Data manipulation'!$X$39:$X$42,$E52,'Data manipulation'!$Y$39:$Y$42,$D52)</f>
        <v>0</v>
      </c>
      <c r="AB52" s="443">
        <f t="shared" si="6"/>
        <v>0</v>
      </c>
      <c r="AC52" s="251">
        <f t="shared" si="0"/>
        <v>0</v>
      </c>
      <c r="AD52" s="444">
        <f t="shared" si="1"/>
        <v>0</v>
      </c>
      <c r="AE52" s="262"/>
      <c r="AU52" s="260"/>
      <c r="AZ52" s="252"/>
    </row>
    <row r="53" spans="2:53" ht="15" customHeight="1">
      <c r="B53" s="227" t="str">
        <f t="shared" si="41"/>
        <v>CHTUDFIWE1</v>
      </c>
      <c r="C53" s="227" t="str">
        <f t="shared" si="41"/>
        <v>Commercial Heating Technology Urban Detached - Fire wood - Existing 1</v>
      </c>
      <c r="D53" s="227" t="str">
        <f t="shared" si="41"/>
        <v>Urban</v>
      </c>
      <c r="E53" s="227" t="str">
        <f t="shared" si="41"/>
        <v>Detached</v>
      </c>
      <c r="F53" s="227" t="str">
        <f t="shared" si="41"/>
        <v>COMFIW</v>
      </c>
      <c r="G53" s="227" t="str">
        <f t="shared" si="41"/>
        <v>COMHUDB</v>
      </c>
      <c r="H53" s="230">
        <v>2015</v>
      </c>
      <c r="I53" s="250">
        <f t="shared" si="42"/>
        <v>2266.5</v>
      </c>
      <c r="J53" s="250">
        <f t="shared" si="43"/>
        <v>0</v>
      </c>
      <c r="K53" s="250">
        <f t="shared" si="44"/>
        <v>0</v>
      </c>
      <c r="L53" s="460">
        <v>0.65000022993955098</v>
      </c>
      <c r="M53" s="460">
        <v>0.65000022993955098</v>
      </c>
      <c r="N53" s="460">
        <v>0.65000022993955098</v>
      </c>
      <c r="O53" s="244">
        <f t="shared" si="45"/>
        <v>3.1536000000000002E-2</v>
      </c>
      <c r="P53" s="458">
        <v>0.2</v>
      </c>
      <c r="Q53" s="245">
        <v>20</v>
      </c>
      <c r="R53" s="227">
        <v>1.0900000000000001</v>
      </c>
      <c r="T53" s="268">
        <f t="shared" si="5"/>
        <v>21.992713450777455</v>
      </c>
      <c r="U53" s="268"/>
      <c r="V53" s="589" t="str">
        <f>'Data manipulation'!$B$31</f>
        <v>Primary solid biofuels</v>
      </c>
      <c r="W53" s="254" t="s">
        <v>176</v>
      </c>
      <c r="X53" s="246">
        <v>2015</v>
      </c>
      <c r="Y53" s="432">
        <f>_xlfn.IFNA(INDEX('Data manipulation'!$C$23:$O$39,MATCH($V53,'Data manipulation'!$B$23:$B$39,0),MATCH($X53,'Data manipulation'!$C$22:$O$22,0))/1000,0)*SUMIFS('Regional split'!$F$4:$F$6,'Regional split'!$B$4:$B$6,Y$3)*SUMIFS('Data manipulation'!$V$39:$V$42,'Data manipulation'!$X$39:$X$42,$E53,'Data manipulation'!$Y$39:$Y$42,$D53)</f>
        <v>20.176303709093162</v>
      </c>
      <c r="Z53" s="270">
        <f>_xlfn.IFNA(INDEX('Data manipulation'!$C$23:$O$39,MATCH($V53,'Data manipulation'!$B$23:$B$39,0),MATCH($X53,'Data manipulation'!$C$22:$O$22,0))/1000,0)*SUMIFS('Regional split'!$F$4:$F$6,'Regional split'!$B$4:$B$6,Z$3)*SUMIFS('Data manipulation'!$V$39:$V$42,'Data manipulation'!$X$39:$X$42,$E53,'Data manipulation'!$Y$39:$Y$42,$D53)</f>
        <v>0</v>
      </c>
      <c r="AA53" s="454">
        <f>_xlfn.IFNA(INDEX('Data manipulation'!$C$23:$O$39,MATCH($V53,'Data manipulation'!$B$23:$B$39,0),MATCH($X53,'Data manipulation'!$C$22:$O$22,0))/1000,0)*SUMIFS('Regional split'!$F$4:$F$6,'Regional split'!$B$4:$B$6,AA$3)*SUMIFS('Data manipulation'!$V$39:$V$42,'Data manipulation'!$X$39:$X$42,$E53,'Data manipulation'!$Y$39:$Y$42,$D53)</f>
        <v>0</v>
      </c>
      <c r="AB53" s="443">
        <f t="shared" si="6"/>
        <v>13.114602050240771</v>
      </c>
      <c r="AC53" s="251">
        <f t="shared" si="0"/>
        <v>0</v>
      </c>
      <c r="AD53" s="444">
        <f t="shared" si="1"/>
        <v>0</v>
      </c>
      <c r="AE53" s="262"/>
      <c r="AU53" s="260"/>
      <c r="AZ53" s="252"/>
    </row>
    <row r="54" spans="2:53" ht="15" customHeight="1">
      <c r="B54" s="233" t="str">
        <f t="shared" si="41"/>
        <v>CHTUDCOAE1</v>
      </c>
      <c r="C54" s="233" t="str">
        <f t="shared" si="41"/>
        <v>Commercial Heating Technology Urban Detached - Coal - Existing 1</v>
      </c>
      <c r="D54" s="233" t="str">
        <f t="shared" si="41"/>
        <v>Urban</v>
      </c>
      <c r="E54" s="233" t="str">
        <f t="shared" si="41"/>
        <v>Detached</v>
      </c>
      <c r="F54" s="233" t="str">
        <f t="shared" si="41"/>
        <v>COMCOA</v>
      </c>
      <c r="G54" s="233" t="str">
        <f t="shared" si="41"/>
        <v>COMHUDB</v>
      </c>
      <c r="H54" s="230">
        <v>2015</v>
      </c>
      <c r="I54" s="250">
        <f t="shared" si="42"/>
        <v>391.40000000000003</v>
      </c>
      <c r="J54" s="250">
        <f t="shared" si="43"/>
        <v>0</v>
      </c>
      <c r="K54" s="250">
        <f t="shared" si="44"/>
        <v>0</v>
      </c>
      <c r="L54" s="460">
        <v>0.7</v>
      </c>
      <c r="M54" s="460">
        <v>0.7</v>
      </c>
      <c r="N54" s="460">
        <v>0.7</v>
      </c>
      <c r="O54" s="244">
        <f t="shared" si="45"/>
        <v>3.1536000000000002E-2</v>
      </c>
      <c r="P54" s="458">
        <v>0.2</v>
      </c>
      <c r="Q54" s="245">
        <v>20</v>
      </c>
      <c r="R54" s="227">
        <v>1.0900000000000001</v>
      </c>
      <c r="T54" s="268">
        <f t="shared" si="5"/>
        <v>3.5266258285714294</v>
      </c>
      <c r="U54" s="268"/>
      <c r="V54" s="589" t="str">
        <f>'Data manipulation'!$B$23</f>
        <v>Solid fossil fuels, peat, peat products, oil shale and oil sands</v>
      </c>
      <c r="W54" s="254" t="s">
        <v>846</v>
      </c>
      <c r="X54" s="246">
        <v>2015</v>
      </c>
      <c r="Y54" s="432">
        <f>_xlfn.IFNA(INDEX('Data manipulation'!$C$23:$O$39,MATCH($V54,'Data manipulation'!$B$23:$B$39,0),MATCH($X54,'Data manipulation'!$C$22:$O$22,0))/1000,0)*SUMIFS('Regional split'!$F$4:$F$6,'Regional split'!$B$4:$B$6,Y$3)*SUMIFS('Data manipulation'!$V$39:$V$42,'Data manipulation'!$X$39:$X$42,$E54,'Data manipulation'!$Y$39:$Y$42,$D54)</f>
        <v>3.2347643999999995</v>
      </c>
      <c r="Z54" s="270">
        <f>_xlfn.IFNA(INDEX('Data manipulation'!$C$23:$O$39,MATCH($V54,'Data manipulation'!$B$23:$B$39,0),MATCH($X54,'Data manipulation'!$C$22:$O$22,0))/1000,0)*SUMIFS('Regional split'!$F$4:$F$6,'Regional split'!$B$4:$B$6,Z$3)*SUMIFS('Data manipulation'!$V$39:$V$42,'Data manipulation'!$X$39:$X$42,$E54,'Data manipulation'!$Y$39:$Y$42,$D54)</f>
        <v>0</v>
      </c>
      <c r="AA54" s="454">
        <f>_xlfn.IFNA(INDEX('Data manipulation'!$C$23:$O$39,MATCH($V54,'Data manipulation'!$B$23:$B$39,0),MATCH($X54,'Data manipulation'!$C$22:$O$22,0))/1000,0)*SUMIFS('Regional split'!$F$4:$F$6,'Regional split'!$B$4:$B$6,AA$3)*SUMIFS('Data manipulation'!$V$39:$V$42,'Data manipulation'!$X$39:$X$42,$E54,'Data manipulation'!$Y$39:$Y$42,$D54)</f>
        <v>0</v>
      </c>
      <c r="AB54" s="443">
        <f t="shared" si="6"/>
        <v>2.2643350799999995</v>
      </c>
      <c r="AC54" s="251">
        <f t="shared" si="0"/>
        <v>0</v>
      </c>
      <c r="AD54" s="444">
        <f t="shared" si="1"/>
        <v>0</v>
      </c>
      <c r="AE54" s="262"/>
      <c r="AU54" s="260"/>
      <c r="AZ54" s="252"/>
    </row>
    <row r="55" spans="2:53" ht="15" customHeight="1">
      <c r="B55" s="233" t="str">
        <f t="shared" si="41"/>
        <v>CHTUDSOLE1</v>
      </c>
      <c r="C55" s="233" t="str">
        <f t="shared" si="41"/>
        <v>Commercial Heating Technology Urban Detached - Solar - Existing 1</v>
      </c>
      <c r="D55" s="233" t="str">
        <f t="shared" si="41"/>
        <v>Urban</v>
      </c>
      <c r="E55" s="233" t="str">
        <f t="shared" si="41"/>
        <v>Detached</v>
      </c>
      <c r="F55" s="233" t="str">
        <f t="shared" si="41"/>
        <v>COMSOL</v>
      </c>
      <c r="G55" s="233" t="str">
        <f t="shared" si="41"/>
        <v>COMHUDB</v>
      </c>
      <c r="H55" s="230">
        <v>2015</v>
      </c>
      <c r="I55" s="250">
        <f t="shared" si="42"/>
        <v>11.6</v>
      </c>
      <c r="J55" s="250">
        <f t="shared" si="43"/>
        <v>0</v>
      </c>
      <c r="K55" s="250">
        <f t="shared" si="44"/>
        <v>0</v>
      </c>
      <c r="L55" s="460">
        <v>1</v>
      </c>
      <c r="M55" s="460">
        <v>1</v>
      </c>
      <c r="N55" s="460">
        <v>1</v>
      </c>
      <c r="O55" s="244">
        <f t="shared" si="45"/>
        <v>3.1536000000000002E-2</v>
      </c>
      <c r="P55" s="458">
        <v>0.2</v>
      </c>
      <c r="Q55" s="245">
        <v>20</v>
      </c>
      <c r="R55" s="227">
        <v>1.0900000000000001</v>
      </c>
      <c r="T55" s="268">
        <f t="shared" si="5"/>
        <v>7.316352000000001E-2</v>
      </c>
      <c r="U55" s="268"/>
      <c r="V55" s="589" t="str">
        <f>'Data manipulation'!$B$29</f>
        <v>Solar thermal</v>
      </c>
      <c r="W55" s="254" t="s">
        <v>168</v>
      </c>
      <c r="X55" s="246">
        <v>2015</v>
      </c>
      <c r="Y55" s="432">
        <f>_xlfn.IFNA(INDEX('Data manipulation'!$C$23:$O$39,MATCH($V55,'Data manipulation'!$B$23:$B$39,0),MATCH($X55,'Data manipulation'!$C$22:$O$22,0))/1000,0)*SUMIFS('Regional split'!$F$4:$F$6,'Regional split'!$B$4:$B$6,Y$3)*SUMIFS('Data manipulation'!$V$39:$V$42,'Data manipulation'!$X$39:$X$42,$E55,'Data manipulation'!$Y$39:$Y$42,$D55)</f>
        <v>6.6629220000000017E-2</v>
      </c>
      <c r="Z55" s="270">
        <f>_xlfn.IFNA(INDEX('Data manipulation'!$C$23:$O$39,MATCH($V55,'Data manipulation'!$B$23:$B$39,0),MATCH($X55,'Data manipulation'!$C$22:$O$22,0))/1000,0)*SUMIFS('Regional split'!$F$4:$F$6,'Regional split'!$B$4:$B$6,Z$3)*SUMIFS('Data manipulation'!$V$39:$V$42,'Data manipulation'!$X$39:$X$42,$E55,'Data manipulation'!$Y$39:$Y$42,$D55)</f>
        <v>0</v>
      </c>
      <c r="AA55" s="454">
        <f>_xlfn.IFNA(INDEX('Data manipulation'!$C$23:$O$39,MATCH($V55,'Data manipulation'!$B$23:$B$39,0),MATCH($X55,'Data manipulation'!$C$22:$O$22,0))/1000,0)*SUMIFS('Regional split'!$F$4:$F$6,'Regional split'!$B$4:$B$6,AA$3)*SUMIFS('Data manipulation'!$V$39:$V$42,'Data manipulation'!$X$39:$X$42,$E55,'Data manipulation'!$Y$39:$Y$42,$D55)</f>
        <v>0</v>
      </c>
      <c r="AB55" s="443">
        <f t="shared" si="6"/>
        <v>6.6629220000000017E-2</v>
      </c>
      <c r="AC55" s="251">
        <f t="shared" si="0"/>
        <v>0</v>
      </c>
      <c r="AD55" s="444">
        <f t="shared" si="1"/>
        <v>0</v>
      </c>
      <c r="AE55" s="262"/>
      <c r="AU55" s="260"/>
      <c r="AZ55" s="252"/>
    </row>
    <row r="56" spans="2:53" ht="15" customHeight="1">
      <c r="B56" s="233" t="str">
        <f t="shared" ref="B56:G65" si="46">B13</f>
        <v>CHTUDELCHE1</v>
      </c>
      <c r="C56" s="233" t="str">
        <f t="shared" si="46"/>
        <v>Commercial Heating Technology Urban Detached - Electricity Heating - Existing 1</v>
      </c>
      <c r="D56" s="233" t="str">
        <f t="shared" si="46"/>
        <v>Urban</v>
      </c>
      <c r="E56" s="233" t="str">
        <f t="shared" si="46"/>
        <v>Detached</v>
      </c>
      <c r="F56" s="233" t="str">
        <f t="shared" si="46"/>
        <v>COMELCH</v>
      </c>
      <c r="G56" s="233" t="str">
        <f t="shared" si="46"/>
        <v>COMHUDB</v>
      </c>
      <c r="H56" s="230">
        <v>2015</v>
      </c>
      <c r="I56" s="250">
        <f t="shared" si="42"/>
        <v>2168.5</v>
      </c>
      <c r="J56" s="250">
        <f t="shared" si="43"/>
        <v>0</v>
      </c>
      <c r="K56" s="250">
        <f t="shared" si="44"/>
        <v>0</v>
      </c>
      <c r="L56" s="460">
        <v>1</v>
      </c>
      <c r="M56" s="460">
        <v>1</v>
      </c>
      <c r="N56" s="460">
        <v>1</v>
      </c>
      <c r="O56" s="244">
        <f t="shared" si="45"/>
        <v>3.1536000000000002E-2</v>
      </c>
      <c r="P56" s="458">
        <v>0.2</v>
      </c>
      <c r="Q56" s="245">
        <v>30</v>
      </c>
      <c r="R56" s="227">
        <v>1.0900000000000001</v>
      </c>
      <c r="T56" s="268">
        <f t="shared" si="5"/>
        <v>13.677163200000003</v>
      </c>
      <c r="U56" s="268"/>
      <c r="V56" s="589" t="str">
        <f>'Data manipulation'!$B$33</f>
        <v>Electricity</v>
      </c>
      <c r="W56" s="254" t="s">
        <v>169</v>
      </c>
      <c r="X56" s="246">
        <v>2015</v>
      </c>
      <c r="Y56" s="432">
        <f>_xlfn.IFNA(INDEX('Data manipulation'!$C$23:$O$39,MATCH($V56,'Data manipulation'!$B$23:$B$39,0),MATCH($X56,'Data manipulation'!$C$22:$O$22,0))/1000,0)*SUMIFS('Regional split'!$F$4:$F$6,'Regional split'!$B$4:$B$6,Y$3)*SUMIFS('Data manipulation'!$V$39:$V$42,'Data manipulation'!$X$39:$X$42,$E56,'Data manipulation'!$Y$39:$Y$42,$D56)</f>
        <v>12.547749383916551</v>
      </c>
      <c r="Z56" s="270">
        <f>_xlfn.IFNA(INDEX('Data manipulation'!$C$23:$O$39,MATCH($V56,'Data manipulation'!$B$23:$B$39,0),MATCH($X56,'Data manipulation'!$C$22:$O$22,0))/1000,0)*SUMIFS('Regional split'!$F$4:$F$6,'Regional split'!$B$4:$B$6,Z$3)*SUMIFS('Data manipulation'!$V$39:$V$42,'Data manipulation'!$X$39:$X$42,$E56,'Data manipulation'!$Y$39:$Y$42,$D56)</f>
        <v>0</v>
      </c>
      <c r="AA56" s="454">
        <f>_xlfn.IFNA(INDEX('Data manipulation'!$C$23:$O$39,MATCH($V56,'Data manipulation'!$B$23:$B$39,0),MATCH($X56,'Data manipulation'!$C$22:$O$22,0))/1000,0)*SUMIFS('Regional split'!$F$4:$F$6,'Regional split'!$B$4:$B$6,AA$3)*SUMIFS('Data manipulation'!$V$39:$V$42,'Data manipulation'!$X$39:$X$42,$E56,'Data manipulation'!$Y$39:$Y$42,$D56)</f>
        <v>0</v>
      </c>
      <c r="AB56" s="443">
        <f t="shared" si="6"/>
        <v>12.547749383916551</v>
      </c>
      <c r="AC56" s="251">
        <f t="shared" si="0"/>
        <v>0</v>
      </c>
      <c r="AD56" s="444">
        <f t="shared" si="1"/>
        <v>0</v>
      </c>
      <c r="AU56" s="260"/>
      <c r="AZ56" s="252"/>
    </row>
    <row r="57" spans="2:53" ht="15" customHeight="1">
      <c r="B57" s="233" t="str">
        <f t="shared" si="46"/>
        <v>CHTUDELCHE2</v>
      </c>
      <c r="C57" s="233" t="str">
        <f t="shared" si="46"/>
        <v>Commercial Heating Technology Urban Detached - Electricity Heating - Existing 2</v>
      </c>
      <c r="D57" s="233" t="str">
        <f t="shared" si="46"/>
        <v>Urban</v>
      </c>
      <c r="E57" s="233" t="str">
        <f t="shared" si="46"/>
        <v>Detached</v>
      </c>
      <c r="F57" s="233" t="str">
        <f t="shared" si="46"/>
        <v>COMELCH</v>
      </c>
      <c r="G57" s="233" t="str">
        <f t="shared" si="46"/>
        <v>COMHUDB</v>
      </c>
      <c r="H57" s="230">
        <v>2015</v>
      </c>
      <c r="I57" s="250">
        <f t="shared" si="42"/>
        <v>375.6</v>
      </c>
      <c r="J57" s="250">
        <f t="shared" si="43"/>
        <v>0</v>
      </c>
      <c r="K57" s="250">
        <f t="shared" si="44"/>
        <v>0</v>
      </c>
      <c r="L57" s="460">
        <v>2.3149999999999999</v>
      </c>
      <c r="M57" s="460">
        <v>2.3149999999999999</v>
      </c>
      <c r="N57" s="460">
        <v>2.3149999999999999</v>
      </c>
      <c r="O57" s="244">
        <f t="shared" si="45"/>
        <v>3.1536000000000002E-2</v>
      </c>
      <c r="P57" s="458">
        <v>0.2</v>
      </c>
      <c r="Q57" s="245">
        <v>30</v>
      </c>
      <c r="R57" s="227">
        <v>1.0900000000000001</v>
      </c>
      <c r="T57" s="268">
        <f t="shared" si="5"/>
        <v>1.023319360691145</v>
      </c>
      <c r="U57" s="268"/>
      <c r="V57" s="589" t="str">
        <f>'Data manipulation'!$B$30</f>
        <v>Ambient heat (heat pumps)</v>
      </c>
      <c r="W57" s="254" t="s">
        <v>170</v>
      </c>
      <c r="X57" s="246">
        <v>2015</v>
      </c>
      <c r="Y57" s="432">
        <f>_xlfn.IFNA(INDEX('Data manipulation'!$C$23:$O$39,MATCH($V57,'Data manipulation'!$B$23:$B$39,0),MATCH($X57,'Data manipulation'!$C$22:$O$22,0))/1000,0)*SUMIFS('Regional split'!$F$4:$F$6,'Regional split'!$B$4:$B$6,Y$3)*SUMIFS('Data manipulation'!$V$39:$V$42,'Data manipulation'!$X$39:$X$42,$E57,'Data manipulation'!$Y$39:$Y$42,$D57)</f>
        <v>0.93868319999999994</v>
      </c>
      <c r="Z57" s="270">
        <f>_xlfn.IFNA(INDEX('Data manipulation'!$C$23:$O$39,MATCH($V57,'Data manipulation'!$B$23:$B$39,0),MATCH($X57,'Data manipulation'!$C$22:$O$22,0))/1000,0)*SUMIFS('Regional split'!$F$4:$F$6,'Regional split'!$B$4:$B$6,Z$3)*SUMIFS('Data manipulation'!$V$39:$V$42,'Data manipulation'!$X$39:$X$42,$E57,'Data manipulation'!$Y$39:$Y$42,$D57)</f>
        <v>0</v>
      </c>
      <c r="AA57" s="454">
        <f>_xlfn.IFNA(INDEX('Data manipulation'!$C$23:$O$39,MATCH($V57,'Data manipulation'!$B$23:$B$39,0),MATCH($X57,'Data manipulation'!$C$22:$O$22,0))/1000,0)*SUMIFS('Regional split'!$F$4:$F$6,'Regional split'!$B$4:$B$6,AA$3)*SUMIFS('Data manipulation'!$V$39:$V$42,'Data manipulation'!$X$39:$X$42,$E57,'Data manipulation'!$Y$39:$Y$42,$D57)</f>
        <v>0</v>
      </c>
      <c r="AB57" s="443">
        <f t="shared" si="6"/>
        <v>2.1730516079999997</v>
      </c>
      <c r="AC57" s="251">
        <f t="shared" si="0"/>
        <v>0</v>
      </c>
      <c r="AD57" s="444">
        <f t="shared" si="1"/>
        <v>0</v>
      </c>
      <c r="AU57" s="260"/>
      <c r="AZ57" s="252"/>
    </row>
    <row r="58" spans="2:53" ht="15" customHeight="1">
      <c r="B58" s="233" t="str">
        <f t="shared" si="46"/>
        <v>CHTUDHCEE1</v>
      </c>
      <c r="C58" s="233" t="str">
        <f t="shared" si="46"/>
        <v>Commercial Heating Technology Urban Detached - District heating Central - Existing 1</v>
      </c>
      <c r="D58" s="233" t="str">
        <f t="shared" si="46"/>
        <v>Urban</v>
      </c>
      <c r="E58" s="233" t="str">
        <f t="shared" si="46"/>
        <v>Detached</v>
      </c>
      <c r="F58" s="233" t="str">
        <f t="shared" si="46"/>
        <v>COMHCE</v>
      </c>
      <c r="G58" s="233" t="str">
        <f t="shared" si="46"/>
        <v>COMHUDX</v>
      </c>
      <c r="H58" s="230">
        <v>2015</v>
      </c>
      <c r="I58" s="250">
        <f t="shared" si="42"/>
        <v>3496</v>
      </c>
      <c r="J58" s="565">
        <v>0</v>
      </c>
      <c r="K58" s="565">
        <v>0</v>
      </c>
      <c r="L58" s="460">
        <v>0.95</v>
      </c>
      <c r="M58" s="460">
        <v>0.95</v>
      </c>
      <c r="N58" s="460">
        <v>0.95</v>
      </c>
      <c r="O58" s="244">
        <f t="shared" si="45"/>
        <v>3.1536000000000002E-2</v>
      </c>
      <c r="P58" s="458">
        <v>0.2</v>
      </c>
      <c r="Q58" s="245">
        <v>30</v>
      </c>
      <c r="R58" s="227">
        <v>1.05</v>
      </c>
      <c r="T58" s="268">
        <f t="shared" si="5"/>
        <v>23.210496000000003</v>
      </c>
      <c r="U58" s="268"/>
      <c r="V58" s="589" t="str">
        <f>'Data manipulation'!$B$34</f>
        <v>Heat</v>
      </c>
      <c r="W58" s="254" t="s">
        <v>171</v>
      </c>
      <c r="X58" s="246">
        <v>2015</v>
      </c>
      <c r="Y58" s="432">
        <f>_xlfn.IFNA(INDEX('Data manipulation'!$C$23:$O$39,MATCH($V58,'Data manipulation'!$B$23:$B$39,0),MATCH($X58,'Data manipulation'!$C$22:$O$22,0))/1000,0)*SUMIFS('Regional split'!$F$4:$F$6,'Regional split'!$B$4:$B$6,Y$3)*SUMIFS('Data manipulation'!$V$39:$V$42,'Data manipulation'!$X$39:$X$42,$E58,'Data manipulation'!$Y$39:$Y$42,$D58)</f>
        <v>22.104808278935263</v>
      </c>
      <c r="Z58" s="270">
        <f>_xlfn.IFNA(INDEX('Data manipulation'!$C$23:$O$39,MATCH($V58,'Data manipulation'!$B$23:$B$39,0),MATCH($X58,'Data manipulation'!$C$22:$O$22,0))/1000,0)*SUMIFS('Regional split'!$F$4:$F$6,'Regional split'!$B$4:$B$6,Z$3)*SUMIFS('Data manipulation'!$V$39:$V$42,'Data manipulation'!$X$39:$X$42,$E58,'Data manipulation'!$Y$39:$Y$42,$D58)</f>
        <v>0</v>
      </c>
      <c r="AA58" s="454">
        <f>_xlfn.IFNA(INDEX('Data manipulation'!$C$23:$O$39,MATCH($V58,'Data manipulation'!$B$23:$B$39,0),MATCH($X58,'Data manipulation'!$C$22:$O$22,0))/1000,0)*SUMIFS('Regional split'!$F$4:$F$6,'Regional split'!$B$4:$B$6,AA$3)*SUMIFS('Data manipulation'!$V$39:$V$42,'Data manipulation'!$X$39:$X$42,$E58,'Data manipulation'!$Y$39:$Y$42,$D58)</f>
        <v>0</v>
      </c>
      <c r="AB58" s="443">
        <f t="shared" si="6"/>
        <v>20.999567864988499</v>
      </c>
      <c r="AC58" s="251">
        <f t="shared" si="0"/>
        <v>0</v>
      </c>
      <c r="AD58" s="444">
        <f t="shared" si="1"/>
        <v>0</v>
      </c>
      <c r="AU58" s="260"/>
      <c r="AZ58" s="252"/>
    </row>
    <row r="59" spans="2:53" ht="15" customHeight="1" thickBot="1">
      <c r="B59" s="255" t="str">
        <f t="shared" si="46"/>
        <v>CHTUDLPGE1</v>
      </c>
      <c r="C59" s="255" t="str">
        <f t="shared" si="46"/>
        <v>Commercial Heating Technology Urban Detached - LPG - Existing 1</v>
      </c>
      <c r="D59" s="528" t="str">
        <f t="shared" si="46"/>
        <v>Urban</v>
      </c>
      <c r="E59" s="528" t="str">
        <f t="shared" si="46"/>
        <v>Detached</v>
      </c>
      <c r="F59" s="255" t="str">
        <f t="shared" si="46"/>
        <v>COMLPG</v>
      </c>
      <c r="G59" s="255" t="str">
        <f t="shared" si="46"/>
        <v>COMHUDB</v>
      </c>
      <c r="H59" s="422">
        <v>2015</v>
      </c>
      <c r="I59" s="297">
        <f t="shared" ref="I59" si="47">ROUNDUP(AB59/($O59*$P59)*$R59,1)</f>
        <v>821.6</v>
      </c>
      <c r="J59" s="297">
        <f t="shared" ref="J59" si="48">ROUNDUP(AC59/($O59*$P59)*$R59,1)</f>
        <v>0</v>
      </c>
      <c r="K59" s="297">
        <f t="shared" ref="K59" si="49">ROUNDUP(AD59/($O59*$P59)*$R59,1)</f>
        <v>0</v>
      </c>
      <c r="L59" s="461">
        <v>0.95</v>
      </c>
      <c r="M59" s="461">
        <v>0.95</v>
      </c>
      <c r="N59" s="461">
        <v>0.95</v>
      </c>
      <c r="O59" s="257">
        <f t="shared" si="45"/>
        <v>3.1536000000000002E-2</v>
      </c>
      <c r="P59" s="458">
        <v>0.2</v>
      </c>
      <c r="Q59" s="258">
        <v>30</v>
      </c>
      <c r="R59" s="227">
        <v>1.0900000000000001</v>
      </c>
      <c r="T59" s="268">
        <f t="shared" si="5"/>
        <v>5.4547321263157906</v>
      </c>
      <c r="U59" s="268"/>
      <c r="V59" s="590" t="str">
        <f>'Data manipulation'!$B$25</f>
        <v>Liquefied petroleum gas</v>
      </c>
      <c r="W59" s="427" t="s">
        <v>759</v>
      </c>
      <c r="X59" s="246">
        <v>2015</v>
      </c>
      <c r="Y59" s="433">
        <f>_xlfn.IFNA(INDEX('Data manipulation'!$C$23:$O$39,MATCH($V59,'Data manipulation'!$B$23:$B$39,0),MATCH($X59,'Data manipulation'!$C$22:$O$22,0))/1000,0)*SUMIFS('Regional split'!$F$4:$F$6,'Regional split'!$B$4:$B$6,Y$3)*SUMIFS('Data manipulation'!$V$39:$V$42,'Data manipulation'!$X$39:$X$42,$E59,'Data manipulation'!$Y$39:$Y$42,$D59)</f>
        <v>5.0041902067841981</v>
      </c>
      <c r="Z59" s="430">
        <f>_xlfn.IFNA(INDEX('Data manipulation'!$C$23:$O$39,MATCH($V59,'Data manipulation'!$B$23:$B$39,0),MATCH($X59,'Data manipulation'!$C$22:$O$22,0))/1000,0)*SUMIFS('Regional split'!$F$4:$F$6,'Regional split'!$B$4:$B$6,Z$3)*SUMIFS('Data manipulation'!$V$39:$V$42,'Data manipulation'!$X$39:$X$42,$E59,'Data manipulation'!$Y$39:$Y$42,$D59)</f>
        <v>0</v>
      </c>
      <c r="AA59" s="455">
        <f>_xlfn.IFNA(INDEX('Data manipulation'!$C$23:$O$39,MATCH($V59,'Data manipulation'!$B$23:$B$39,0),MATCH($X59,'Data manipulation'!$C$22:$O$22,0))/1000,0)*SUMIFS('Regional split'!$F$4:$F$6,'Regional split'!$B$4:$B$6,AA$3)*SUMIFS('Data manipulation'!$V$39:$V$42,'Data manipulation'!$X$39:$X$42,$E59,'Data manipulation'!$Y$39:$Y$42,$D59)</f>
        <v>0</v>
      </c>
      <c r="AB59" s="450">
        <f t="shared" si="6"/>
        <v>4.7539806964449882</v>
      </c>
      <c r="AC59" s="277">
        <f t="shared" si="0"/>
        <v>0</v>
      </c>
      <c r="AD59" s="446">
        <f t="shared" si="1"/>
        <v>0</v>
      </c>
      <c r="AU59" s="260"/>
      <c r="AZ59" s="252"/>
    </row>
    <row r="60" spans="2:53" ht="15" customHeight="1">
      <c r="B60" s="233" t="str">
        <f t="shared" si="46"/>
        <v>CHTRDNGAE1</v>
      </c>
      <c r="C60" s="233" t="str">
        <f t="shared" si="46"/>
        <v>Commercial Heating Technology Rural Detached - Natural Gas - Existing 1</v>
      </c>
      <c r="D60" s="233" t="str">
        <f t="shared" si="46"/>
        <v>Rural</v>
      </c>
      <c r="E60" s="233" t="str">
        <f t="shared" si="46"/>
        <v>Detached</v>
      </c>
      <c r="F60" s="233" t="str">
        <f t="shared" si="46"/>
        <v>COMNGA,COMSNG</v>
      </c>
      <c r="G60" s="233" t="str">
        <f t="shared" si="46"/>
        <v>COMHRDB</v>
      </c>
      <c r="H60" s="259">
        <v>2015</v>
      </c>
      <c r="I60" s="250">
        <f>ROUNDUP(AB60/($O60*$P60)*$R60,1)</f>
        <v>14357.2</v>
      </c>
      <c r="J60" s="250">
        <f>ROUNDUP(AC60/($O60*$P60)*$R60,1)</f>
        <v>0</v>
      </c>
      <c r="K60" s="250">
        <f>ROUNDUP(AD60/($O60*$P60)*$R60,1)</f>
        <v>0</v>
      </c>
      <c r="L60" s="460">
        <v>0.79</v>
      </c>
      <c r="M60" s="460">
        <v>0.79</v>
      </c>
      <c r="N60" s="460">
        <v>0.79</v>
      </c>
      <c r="O60" s="244">
        <f t="shared" si="45"/>
        <v>3.1536000000000002E-2</v>
      </c>
      <c r="P60" s="458">
        <v>0.2</v>
      </c>
      <c r="Q60" s="245">
        <v>25</v>
      </c>
      <c r="R60" s="227">
        <v>1.0900000000000001</v>
      </c>
      <c r="T60" s="268">
        <f t="shared" si="5"/>
        <v>114.62497701265823</v>
      </c>
      <c r="U60" s="268"/>
      <c r="V60" s="589" t="str">
        <f>'Data manipulation'!$B$36</f>
        <v>Natural gas and biogas</v>
      </c>
      <c r="W60" s="246" t="s">
        <v>167</v>
      </c>
      <c r="X60" s="246">
        <v>2015</v>
      </c>
      <c r="Y60" s="432">
        <f>_xlfn.IFNA(INDEX('Data manipulation'!$C$23:$O$39,MATCH($V60,'Data manipulation'!$B$23:$B$39,0),MATCH($X60,'Data manipulation'!$C$22:$O$22,0))/1000,0)*SUMIFS('Regional split'!$F$4:$F$6,'Regional split'!$B$4:$B$6,Y$3)*SUMIFS('Data manipulation'!$V$39:$V$42,'Data manipulation'!$X$39:$X$42,$E60,'Data manipulation'!$Y$39:$Y$42,$D60)</f>
        <v>105.16012501541216</v>
      </c>
      <c r="Z60" s="270">
        <f>_xlfn.IFNA(INDEX('Data manipulation'!$C$23:$O$39,MATCH($V60,'Data manipulation'!$B$23:$B$39,0),MATCH($X60,'Data manipulation'!$C$22:$O$22,0))/1000,0)*SUMIFS('Regional split'!$F$4:$F$6,'Regional split'!$B$4:$B$6,Z$3)*SUMIFS('Data manipulation'!$V$39:$V$42,'Data manipulation'!$X$39:$X$42,$E60,'Data manipulation'!$Y$39:$Y$42,$D60)</f>
        <v>0</v>
      </c>
      <c r="AA60" s="454">
        <f>_xlfn.IFNA(INDEX('Data manipulation'!$C$23:$O$39,MATCH($V60,'Data manipulation'!$B$23:$B$39,0),MATCH($X60,'Data manipulation'!$C$22:$O$22,0))/1000,0)*SUMIFS('Regional split'!$F$4:$F$6,'Regional split'!$B$4:$B$6,AA$3)*SUMIFS('Data manipulation'!$V$39:$V$42,'Data manipulation'!$X$39:$X$42,$E60,'Data manipulation'!$Y$39:$Y$42,$D60)</f>
        <v>0</v>
      </c>
      <c r="AB60" s="451">
        <f t="shared" si="6"/>
        <v>83.076498762175618</v>
      </c>
      <c r="AC60" s="278">
        <f t="shared" si="0"/>
        <v>0</v>
      </c>
      <c r="AD60" s="447">
        <f t="shared" si="1"/>
        <v>0</v>
      </c>
      <c r="AU60" s="260"/>
      <c r="AZ60" s="252"/>
    </row>
    <row r="61" spans="2:53" ht="15" customHeight="1">
      <c r="B61" s="233" t="str">
        <f t="shared" si="46"/>
        <v>CHTRDDSLE1</v>
      </c>
      <c r="C61" s="233" t="str">
        <f t="shared" si="46"/>
        <v>Commercial Heating Technology Rural Detached - Diesel - Existing 1</v>
      </c>
      <c r="D61" s="233" t="str">
        <f t="shared" si="46"/>
        <v>Rural</v>
      </c>
      <c r="E61" s="233" t="str">
        <f t="shared" si="46"/>
        <v>Detached</v>
      </c>
      <c r="F61" s="233" t="str">
        <f t="shared" si="46"/>
        <v>COMDSL,COMDSB</v>
      </c>
      <c r="G61" s="233" t="str">
        <f t="shared" si="46"/>
        <v>COMHRDB</v>
      </c>
      <c r="H61" s="259">
        <v>2015</v>
      </c>
      <c r="I61" s="250">
        <f>ROUNDUP(AB61/($O61*$P61)*$R61,1)</f>
        <v>10600.2</v>
      </c>
      <c r="J61" s="250">
        <f t="shared" ref="J61:J67" si="50">ROUNDUP(AC61/($O61*$P61)*$R61,1)</f>
        <v>0</v>
      </c>
      <c r="K61" s="250">
        <f t="shared" ref="K61:K67" si="51">ROUNDUP(AD61/($O61*$P61)*$R61,1)</f>
        <v>0</v>
      </c>
      <c r="L61" s="460">
        <v>0.79</v>
      </c>
      <c r="M61" s="460">
        <v>0.79</v>
      </c>
      <c r="N61" s="460">
        <v>0.79</v>
      </c>
      <c r="O61" s="244">
        <f t="shared" si="45"/>
        <v>3.1536000000000002E-2</v>
      </c>
      <c r="P61" s="458">
        <v>0.2</v>
      </c>
      <c r="Q61" s="245">
        <v>20</v>
      </c>
      <c r="R61" s="227">
        <v>1.0900000000000001</v>
      </c>
      <c r="T61" s="268">
        <f t="shared" si="5"/>
        <v>84.629849924050646</v>
      </c>
      <c r="V61" s="589" t="str">
        <f>'Data manipulation'!$B$28</f>
        <v>Gas oil and diesel oil and biodiesel</v>
      </c>
      <c r="W61" s="254" t="s">
        <v>718</v>
      </c>
      <c r="X61" s="246">
        <v>2015</v>
      </c>
      <c r="Y61" s="432">
        <f>_xlfn.IFNA(INDEX('Data manipulation'!$C$23:$O$39,MATCH($V61,'Data manipulation'!$B$23:$B$39,0),MATCH($X61,'Data manipulation'!$C$22:$O$22,0))/1000,0)*SUMIFS('Regional split'!$F$4:$F$6,'Regional split'!$B$4:$B$6,Y$3)*SUMIFS('Data manipulation'!$V$39:$V$42,'Data manipulation'!$X$39:$X$42,$E61,'Data manipulation'!$Y$39:$Y$42,$D61)</f>
        <v>77.641677922058193</v>
      </c>
      <c r="Z61" s="270">
        <f>_xlfn.IFNA(INDEX('Data manipulation'!$C$23:$O$39,MATCH($V61,'Data manipulation'!$B$23:$B$39,0),MATCH($X61,'Data manipulation'!$C$22:$O$22,0))/1000,0)*SUMIFS('Regional split'!$F$4:$F$6,'Regional split'!$B$4:$B$6,Z$3)*SUMIFS('Data manipulation'!$V$39:$V$42,'Data manipulation'!$X$39:$X$42,$E61,'Data manipulation'!$Y$39:$Y$42,$D61)</f>
        <v>0</v>
      </c>
      <c r="AA61" s="454">
        <f>_xlfn.IFNA(INDEX('Data manipulation'!$C$23:$O$39,MATCH($V61,'Data manipulation'!$B$23:$B$39,0),MATCH($X61,'Data manipulation'!$C$22:$O$22,0))/1000,0)*SUMIFS('Regional split'!$F$4:$F$6,'Regional split'!$B$4:$B$6,AA$3)*SUMIFS('Data manipulation'!$V$39:$V$42,'Data manipulation'!$X$39:$X$42,$E61,'Data manipulation'!$Y$39:$Y$42,$D61)</f>
        <v>0</v>
      </c>
      <c r="AB61" s="443">
        <f t="shared" si="6"/>
        <v>61.336925558425975</v>
      </c>
      <c r="AC61" s="251">
        <f t="shared" si="0"/>
        <v>0</v>
      </c>
      <c r="AD61" s="444">
        <f t="shared" si="1"/>
        <v>0</v>
      </c>
      <c r="AU61" s="260"/>
      <c r="AZ61" s="252"/>
    </row>
    <row r="62" spans="2:53" ht="15" customHeight="1">
      <c r="B62" s="233" t="str">
        <f t="shared" si="46"/>
        <v>CHTRDWPEE1</v>
      </c>
      <c r="C62" s="233" t="str">
        <f t="shared" si="46"/>
        <v>Commercial Heating Technology Rural Detached - Wood pellets - Existing 1</v>
      </c>
      <c r="D62" s="233" t="str">
        <f t="shared" si="46"/>
        <v>Rural</v>
      </c>
      <c r="E62" s="233" t="str">
        <f t="shared" si="46"/>
        <v>Detached</v>
      </c>
      <c r="F62" s="233" t="str">
        <f t="shared" si="46"/>
        <v>COMWPE</v>
      </c>
      <c r="G62" s="233" t="str">
        <f t="shared" si="46"/>
        <v>COMHRDB</v>
      </c>
      <c r="H62" s="259">
        <v>2015</v>
      </c>
      <c r="I62" s="250">
        <f t="shared" ref="I62:I67" si="52">ROUNDUP(AB62/($O62*$P62)*$R62,1)</f>
        <v>0</v>
      </c>
      <c r="J62" s="250">
        <f t="shared" si="50"/>
        <v>0</v>
      </c>
      <c r="K62" s="250">
        <f t="shared" si="51"/>
        <v>0</v>
      </c>
      <c r="L62" s="460">
        <v>0.67</v>
      </c>
      <c r="M62" s="460">
        <v>0.67</v>
      </c>
      <c r="N62" s="460">
        <v>0.67</v>
      </c>
      <c r="O62" s="244">
        <f>31.536/1000</f>
        <v>3.1536000000000002E-2</v>
      </c>
      <c r="P62" s="458">
        <v>0.2</v>
      </c>
      <c r="Q62" s="245">
        <v>20</v>
      </c>
      <c r="R62" s="227">
        <v>1.0900000000000001</v>
      </c>
      <c r="T62" s="268">
        <f t="shared" si="5"/>
        <v>0</v>
      </c>
      <c r="U62" s="268"/>
      <c r="W62" s="254" t="s">
        <v>849</v>
      </c>
      <c r="X62" s="246">
        <v>2015</v>
      </c>
      <c r="Y62" s="432">
        <f>_xlfn.IFNA(INDEX('Data manipulation'!$C$23:$O$39,MATCH($V62,'Data manipulation'!$B$23:$B$39,0),MATCH($X62,'Data manipulation'!$C$22:$O$22,0))/1000,0)*SUMIFS('Regional split'!$F$4:$F$6,'Regional split'!$B$4:$B$6,Y$3)*SUMIFS('Data manipulation'!$V$39:$V$42,'Data manipulation'!$X$39:$X$42,$E62,'Data manipulation'!$Y$39:$Y$42,$D62)</f>
        <v>0</v>
      </c>
      <c r="Z62" s="270">
        <f>_xlfn.IFNA(INDEX('Data manipulation'!$C$23:$O$39,MATCH($V62,'Data manipulation'!$B$23:$B$39,0),MATCH($X62,'Data manipulation'!$C$22:$O$22,0))/1000,0)*SUMIFS('Regional split'!$F$4:$F$6,'Regional split'!$B$4:$B$6,Z$3)*SUMIFS('Data manipulation'!$V$39:$V$42,'Data manipulation'!$X$39:$X$42,$E62,'Data manipulation'!$Y$39:$Y$42,$D62)</f>
        <v>0</v>
      </c>
      <c r="AA62" s="454">
        <f>_xlfn.IFNA(INDEX('Data manipulation'!$C$23:$O$39,MATCH($V62,'Data manipulation'!$B$23:$B$39,0),MATCH($X62,'Data manipulation'!$C$22:$O$22,0))/1000,0)*SUMIFS('Regional split'!$F$4:$F$6,'Regional split'!$B$4:$B$6,AA$3)*SUMIFS('Data manipulation'!$V$39:$V$42,'Data manipulation'!$X$39:$X$42,$E62,'Data manipulation'!$Y$39:$Y$42,$D62)</f>
        <v>0</v>
      </c>
      <c r="AB62" s="443">
        <f t="shared" si="6"/>
        <v>0</v>
      </c>
      <c r="AC62" s="251">
        <f t="shared" si="0"/>
        <v>0</v>
      </c>
      <c r="AD62" s="444">
        <f t="shared" si="1"/>
        <v>0</v>
      </c>
      <c r="AU62" s="260"/>
      <c r="AZ62" s="252"/>
    </row>
    <row r="63" spans="2:53" ht="15" customHeight="1">
      <c r="B63" s="233" t="str">
        <f t="shared" si="46"/>
        <v>CHTRDFIWE1</v>
      </c>
      <c r="C63" s="233" t="str">
        <f t="shared" si="46"/>
        <v>Commercial Heating Technology Rural Detached - Fire wood - Existing 1</v>
      </c>
      <c r="D63" s="233" t="str">
        <f t="shared" si="46"/>
        <v>Rural</v>
      </c>
      <c r="E63" s="233" t="str">
        <f t="shared" si="46"/>
        <v>Detached</v>
      </c>
      <c r="F63" s="233" t="str">
        <f t="shared" si="46"/>
        <v>COMFIW</v>
      </c>
      <c r="G63" s="233" t="str">
        <f t="shared" si="46"/>
        <v>COMHRDB</v>
      </c>
      <c r="H63" s="259">
        <v>2015</v>
      </c>
      <c r="I63" s="250">
        <f t="shared" si="52"/>
        <v>1774.3999999999999</v>
      </c>
      <c r="J63" s="250">
        <f t="shared" si="50"/>
        <v>0</v>
      </c>
      <c r="K63" s="250">
        <f t="shared" si="51"/>
        <v>0</v>
      </c>
      <c r="L63" s="460">
        <v>0.67</v>
      </c>
      <c r="M63" s="460">
        <v>0.67</v>
      </c>
      <c r="N63" s="460">
        <v>0.67</v>
      </c>
      <c r="O63" s="244">
        <f>31.536/1000</f>
        <v>3.1536000000000002E-2</v>
      </c>
      <c r="P63" s="458">
        <v>0.2</v>
      </c>
      <c r="Q63" s="245">
        <v>20</v>
      </c>
      <c r="R63" s="227">
        <v>1.0900000000000001</v>
      </c>
      <c r="T63" s="268">
        <f t="shared" si="5"/>
        <v>16.703724895522388</v>
      </c>
      <c r="U63" s="268"/>
      <c r="V63" s="589" t="str">
        <f>'Data manipulation'!$B$31</f>
        <v>Primary solid biofuels</v>
      </c>
      <c r="W63" s="254" t="s">
        <v>176</v>
      </c>
      <c r="X63" s="246">
        <v>2015</v>
      </c>
      <c r="Y63" s="432">
        <f>_xlfn.IFNA(INDEX('Data manipulation'!$C$23:$O$39,MATCH($V63,'Data manipulation'!$B$23:$B$39,0),MATCH($X63,'Data manipulation'!$C$22:$O$22,0))/1000,0)*SUMIFS('Regional split'!$F$4:$F$6,'Regional split'!$B$4:$B$6,Y$3)*SUMIFS('Data manipulation'!$V$39:$V$42,'Data manipulation'!$X$39:$X$42,$E63,'Data manipulation'!$Y$39:$Y$42,$D63)</f>
        <v>15.324383055239807</v>
      </c>
      <c r="Z63" s="270">
        <f>_xlfn.IFNA(INDEX('Data manipulation'!$C$23:$O$39,MATCH($V63,'Data manipulation'!$B$23:$B$39,0),MATCH($X63,'Data manipulation'!$C$22:$O$22,0))/1000,0)*SUMIFS('Regional split'!$F$4:$F$6,'Regional split'!$B$4:$B$6,Z$3)*SUMIFS('Data manipulation'!$V$39:$V$42,'Data manipulation'!$X$39:$X$42,$E63,'Data manipulation'!$Y$39:$Y$42,$D63)</f>
        <v>0</v>
      </c>
      <c r="AA63" s="454">
        <f>_xlfn.IFNA(INDEX('Data manipulation'!$C$23:$O$39,MATCH($V63,'Data manipulation'!$B$23:$B$39,0),MATCH($X63,'Data manipulation'!$C$22:$O$22,0))/1000,0)*SUMIFS('Regional split'!$F$4:$F$6,'Regional split'!$B$4:$B$6,AA$3)*SUMIFS('Data manipulation'!$V$39:$V$42,'Data manipulation'!$X$39:$X$42,$E63,'Data manipulation'!$Y$39:$Y$42,$D63)</f>
        <v>0</v>
      </c>
      <c r="AB63" s="443">
        <f t="shared" si="6"/>
        <v>10.267336647010671</v>
      </c>
      <c r="AC63" s="251">
        <f t="shared" si="0"/>
        <v>0</v>
      </c>
      <c r="AD63" s="444">
        <f t="shared" si="1"/>
        <v>0</v>
      </c>
      <c r="AU63" s="260"/>
      <c r="AZ63" s="252"/>
    </row>
    <row r="64" spans="2:53" ht="15" customHeight="1">
      <c r="B64" s="233" t="str">
        <f t="shared" si="46"/>
        <v>CHTRDCOAE1</v>
      </c>
      <c r="C64" s="233" t="str">
        <f t="shared" si="46"/>
        <v>Commercial Heating Technology Rural Detached - Coal - Existing 1</v>
      </c>
      <c r="D64" s="233" t="str">
        <f t="shared" si="46"/>
        <v>Rural</v>
      </c>
      <c r="E64" s="233" t="str">
        <f t="shared" si="46"/>
        <v>Detached</v>
      </c>
      <c r="F64" s="233" t="str">
        <f t="shared" si="46"/>
        <v>COMCOA</v>
      </c>
      <c r="G64" s="233" t="str">
        <f t="shared" si="46"/>
        <v>COMHRDB</v>
      </c>
      <c r="H64" s="259">
        <v>2015</v>
      </c>
      <c r="I64" s="250">
        <f t="shared" si="52"/>
        <v>305.8</v>
      </c>
      <c r="J64" s="250">
        <f t="shared" si="50"/>
        <v>0</v>
      </c>
      <c r="K64" s="250">
        <f t="shared" si="51"/>
        <v>0</v>
      </c>
      <c r="L64" s="460">
        <v>0.72</v>
      </c>
      <c r="M64" s="460">
        <v>0.72</v>
      </c>
      <c r="N64" s="460">
        <v>0.72</v>
      </c>
      <c r="O64" s="244">
        <f t="shared" si="45"/>
        <v>3.1536000000000002E-2</v>
      </c>
      <c r="P64" s="458">
        <v>0.2</v>
      </c>
      <c r="Q64" s="245">
        <v>20</v>
      </c>
      <c r="R64" s="227">
        <v>1.0900000000000001</v>
      </c>
      <c r="T64" s="268">
        <f t="shared" si="5"/>
        <v>2.6788080000000005</v>
      </c>
      <c r="U64" s="268"/>
      <c r="V64" s="589" t="str">
        <f>'Data manipulation'!$B$23</f>
        <v>Solid fossil fuels, peat, peat products, oil shale and oil sands</v>
      </c>
      <c r="W64" s="254" t="s">
        <v>846</v>
      </c>
      <c r="X64" s="246">
        <v>2015</v>
      </c>
      <c r="Y64" s="432">
        <f>_xlfn.IFNA(INDEX('Data manipulation'!$C$23:$O$39,MATCH($V64,'Data manipulation'!$B$23:$B$39,0),MATCH($X64,'Data manipulation'!$C$22:$O$22,0))/1000,0)*SUMIFS('Regional split'!$F$4:$F$6,'Regional split'!$B$4:$B$6,Y$3)*SUMIFS('Data manipulation'!$V$39:$V$42,'Data manipulation'!$X$39:$X$42,$E64,'Data manipulation'!$Y$39:$Y$42,$D64)</f>
        <v>2.45688058</v>
      </c>
      <c r="Z64" s="270">
        <f>_xlfn.IFNA(INDEX('Data manipulation'!$C$23:$O$39,MATCH($V64,'Data manipulation'!$B$23:$B$39,0),MATCH($X64,'Data manipulation'!$C$22:$O$22,0))/1000,0)*SUMIFS('Regional split'!$F$4:$F$6,'Regional split'!$B$4:$B$6,Z$3)*SUMIFS('Data manipulation'!$V$39:$V$42,'Data manipulation'!$X$39:$X$42,$E64,'Data manipulation'!$Y$39:$Y$42,$D64)</f>
        <v>0</v>
      </c>
      <c r="AA64" s="454">
        <f>_xlfn.IFNA(INDEX('Data manipulation'!$C$23:$O$39,MATCH($V64,'Data manipulation'!$B$23:$B$39,0),MATCH($X64,'Data manipulation'!$C$22:$O$22,0))/1000,0)*SUMIFS('Regional split'!$F$4:$F$6,'Regional split'!$B$4:$B$6,AA$3)*SUMIFS('Data manipulation'!$V$39:$V$42,'Data manipulation'!$X$39:$X$42,$E64,'Data manipulation'!$Y$39:$Y$42,$D64)</f>
        <v>0</v>
      </c>
      <c r="AB64" s="443">
        <f t="shared" si="6"/>
        <v>1.7689540175999998</v>
      </c>
      <c r="AC64" s="251">
        <f t="shared" si="0"/>
        <v>0</v>
      </c>
      <c r="AD64" s="444">
        <f t="shared" si="1"/>
        <v>0</v>
      </c>
      <c r="AU64" s="260"/>
      <c r="AZ64" s="252"/>
    </row>
    <row r="65" spans="2:52" ht="15" customHeight="1">
      <c r="B65" s="233" t="str">
        <f t="shared" si="46"/>
        <v>CHTRDSOLE1</v>
      </c>
      <c r="C65" s="233" t="str">
        <f t="shared" si="46"/>
        <v>Commercial Heating Technology Rural Detached - Solar - Existing 1</v>
      </c>
      <c r="D65" s="233" t="str">
        <f t="shared" si="46"/>
        <v>Rural</v>
      </c>
      <c r="E65" s="233" t="str">
        <f t="shared" si="46"/>
        <v>Detached</v>
      </c>
      <c r="F65" s="233" t="str">
        <f t="shared" si="46"/>
        <v>COMSOL</v>
      </c>
      <c r="G65" s="233" t="str">
        <f t="shared" si="46"/>
        <v>COMHRDB</v>
      </c>
      <c r="H65" s="259">
        <v>2015</v>
      </c>
      <c r="I65" s="250">
        <f t="shared" si="52"/>
        <v>8.7999999999999989</v>
      </c>
      <c r="J65" s="250">
        <f t="shared" si="50"/>
        <v>0</v>
      </c>
      <c r="K65" s="250">
        <f t="shared" si="51"/>
        <v>0</v>
      </c>
      <c r="L65" s="460">
        <v>1</v>
      </c>
      <c r="M65" s="460">
        <v>1</v>
      </c>
      <c r="N65" s="460">
        <v>1</v>
      </c>
      <c r="O65" s="244">
        <f t="shared" si="45"/>
        <v>3.1536000000000002E-2</v>
      </c>
      <c r="P65" s="458">
        <v>0.2</v>
      </c>
      <c r="Q65" s="245">
        <v>20</v>
      </c>
      <c r="R65" s="227">
        <v>1.0900000000000001</v>
      </c>
      <c r="T65" s="268">
        <f t="shared" si="5"/>
        <v>5.5503359999999995E-2</v>
      </c>
      <c r="U65" s="268"/>
      <c r="V65" s="589" t="str">
        <f>'Data manipulation'!$B$29</f>
        <v>Solar thermal</v>
      </c>
      <c r="W65" s="254" t="s">
        <v>168</v>
      </c>
      <c r="X65" s="246">
        <v>2015</v>
      </c>
      <c r="Y65" s="432">
        <f>_xlfn.IFNA(INDEX('Data manipulation'!$C$23:$O$39,MATCH($V65,'Data manipulation'!$B$23:$B$39,0),MATCH($X65,'Data manipulation'!$C$22:$O$22,0))/1000,0)*SUMIFS('Regional split'!$F$4:$F$6,'Regional split'!$B$4:$B$6,Y$3)*SUMIFS('Data manipulation'!$V$39:$V$42,'Data manipulation'!$X$39:$X$42,$E65,'Data manipulation'!$Y$39:$Y$42,$D65)</f>
        <v>5.060647900000001E-2</v>
      </c>
      <c r="Z65" s="270">
        <f>_xlfn.IFNA(INDEX('Data manipulation'!$C$23:$O$39,MATCH($V65,'Data manipulation'!$B$23:$B$39,0),MATCH($X65,'Data manipulation'!$C$22:$O$22,0))/1000,0)*SUMIFS('Regional split'!$F$4:$F$6,'Regional split'!$B$4:$B$6,Z$3)*SUMIFS('Data manipulation'!$V$39:$V$42,'Data manipulation'!$X$39:$X$42,$E65,'Data manipulation'!$Y$39:$Y$42,$D65)</f>
        <v>0</v>
      </c>
      <c r="AA65" s="454">
        <f>_xlfn.IFNA(INDEX('Data manipulation'!$C$23:$O$39,MATCH($V65,'Data manipulation'!$B$23:$B$39,0),MATCH($X65,'Data manipulation'!$C$22:$O$22,0))/1000,0)*SUMIFS('Regional split'!$F$4:$F$6,'Regional split'!$B$4:$B$6,AA$3)*SUMIFS('Data manipulation'!$V$39:$V$42,'Data manipulation'!$X$39:$X$42,$E65,'Data manipulation'!$Y$39:$Y$42,$D65)</f>
        <v>0</v>
      </c>
      <c r="AB65" s="443">
        <f t="shared" si="6"/>
        <v>5.060647900000001E-2</v>
      </c>
      <c r="AC65" s="251">
        <f t="shared" si="0"/>
        <v>0</v>
      </c>
      <c r="AD65" s="444">
        <f t="shared" si="1"/>
        <v>0</v>
      </c>
      <c r="AU65" s="260"/>
      <c r="AZ65" s="252"/>
    </row>
    <row r="66" spans="2:52" ht="15" customHeight="1">
      <c r="B66" s="233" t="str">
        <f t="shared" ref="B66:C75" si="53">B24</f>
        <v>CHTRDELCHE1</v>
      </c>
      <c r="C66" s="233" t="str">
        <f t="shared" si="53"/>
        <v>Commercial Heating Technology Rural Detached - Electricity Heating - Existing 1</v>
      </c>
      <c r="D66" s="233" t="str">
        <f t="shared" ref="D66:E66" si="54">D24</f>
        <v>Rural</v>
      </c>
      <c r="E66" s="233" t="str">
        <f t="shared" si="54"/>
        <v>Detached</v>
      </c>
      <c r="F66" s="233" t="str">
        <f t="shared" ref="F66:G66" si="55">F24</f>
        <v>COMELCH</v>
      </c>
      <c r="G66" s="233" t="str">
        <f t="shared" si="55"/>
        <v>COMHRDB</v>
      </c>
      <c r="H66" s="259">
        <v>2015</v>
      </c>
      <c r="I66" s="250">
        <f t="shared" si="52"/>
        <v>1647.1</v>
      </c>
      <c r="J66" s="250">
        <f t="shared" si="50"/>
        <v>0</v>
      </c>
      <c r="K66" s="250">
        <f t="shared" si="51"/>
        <v>0</v>
      </c>
      <c r="L66" s="460">
        <v>1</v>
      </c>
      <c r="M66" s="460">
        <v>1</v>
      </c>
      <c r="N66" s="460">
        <v>1</v>
      </c>
      <c r="O66" s="244">
        <f t="shared" si="45"/>
        <v>3.1536000000000002E-2</v>
      </c>
      <c r="P66" s="458">
        <v>0.2</v>
      </c>
      <c r="Q66" s="245">
        <v>30</v>
      </c>
      <c r="R66" s="227">
        <v>1.0900000000000001</v>
      </c>
      <c r="T66" s="268">
        <f t="shared" si="5"/>
        <v>10.388589120000001</v>
      </c>
      <c r="U66" s="268"/>
      <c r="V66" s="589" t="str">
        <f>'Data manipulation'!$B$33</f>
        <v>Electricity</v>
      </c>
      <c r="W66" s="254" t="s">
        <v>169</v>
      </c>
      <c r="X66" s="246">
        <v>2015</v>
      </c>
      <c r="Y66" s="432">
        <f>_xlfn.IFNA(INDEX('Data manipulation'!$C$23:$O$39,MATCH($V66,'Data manipulation'!$B$23:$B$39,0),MATCH($X66,'Data manipulation'!$C$22:$O$22,0))/1000,0)*SUMIFS('Regional split'!$F$4:$F$6,'Regional split'!$B$4:$B$6,Y$3)*SUMIFS('Data manipulation'!$V$39:$V$42,'Data manipulation'!$X$39:$X$42,$E66,'Data manipulation'!$Y$39:$Y$42,$D66)</f>
        <v>9.5303144130223334</v>
      </c>
      <c r="Z66" s="270">
        <f>_xlfn.IFNA(INDEX('Data manipulation'!$C$23:$O$39,MATCH($V66,'Data manipulation'!$B$23:$B$39,0),MATCH($X66,'Data manipulation'!$C$22:$O$22,0))/1000,0)*SUMIFS('Regional split'!$F$4:$F$6,'Regional split'!$B$4:$B$6,Z$3)*SUMIFS('Data manipulation'!$V$39:$V$42,'Data manipulation'!$X$39:$X$42,$E66,'Data manipulation'!$Y$39:$Y$42,$D66)</f>
        <v>0</v>
      </c>
      <c r="AA66" s="454">
        <f>_xlfn.IFNA(INDEX('Data manipulation'!$C$23:$O$39,MATCH($V66,'Data manipulation'!$B$23:$B$39,0),MATCH($X66,'Data manipulation'!$C$22:$O$22,0))/1000,0)*SUMIFS('Regional split'!$F$4:$F$6,'Regional split'!$B$4:$B$6,AA$3)*SUMIFS('Data manipulation'!$V$39:$V$42,'Data manipulation'!$X$39:$X$42,$E66,'Data manipulation'!$Y$39:$Y$42,$D66)</f>
        <v>0</v>
      </c>
      <c r="AB66" s="443">
        <f t="shared" si="6"/>
        <v>9.5303144130223334</v>
      </c>
      <c r="AC66" s="251">
        <f t="shared" si="0"/>
        <v>0</v>
      </c>
      <c r="AD66" s="444">
        <f t="shared" si="1"/>
        <v>0</v>
      </c>
      <c r="AU66" s="260"/>
      <c r="AZ66" s="252"/>
    </row>
    <row r="67" spans="2:52" ht="15" customHeight="1">
      <c r="B67" s="233" t="str">
        <f t="shared" si="53"/>
        <v>CHTRDELCHE2</v>
      </c>
      <c r="C67" s="233" t="str">
        <f t="shared" si="53"/>
        <v>Commercial Heating Technology Rural Detached - Electricity Heating - Existing 2</v>
      </c>
      <c r="D67" s="233" t="str">
        <f t="shared" ref="D67:E67" si="56">D25</f>
        <v>Rural</v>
      </c>
      <c r="E67" s="233" t="str">
        <f t="shared" si="56"/>
        <v>Detached</v>
      </c>
      <c r="F67" s="233" t="str">
        <f t="shared" ref="F67:G67" si="57">F25</f>
        <v>COMELCH</v>
      </c>
      <c r="G67" s="233" t="str">
        <f t="shared" si="57"/>
        <v>COMHRDB</v>
      </c>
      <c r="H67" s="259">
        <v>2015</v>
      </c>
      <c r="I67" s="250">
        <f t="shared" si="52"/>
        <v>285.3</v>
      </c>
      <c r="J67" s="250">
        <f t="shared" si="50"/>
        <v>0</v>
      </c>
      <c r="K67" s="250">
        <f t="shared" si="51"/>
        <v>0</v>
      </c>
      <c r="L67" s="460">
        <v>2.3149999999999999</v>
      </c>
      <c r="M67" s="460">
        <v>2.3149999999999999</v>
      </c>
      <c r="N67" s="460">
        <v>2.3149999999999999</v>
      </c>
      <c r="O67" s="244">
        <f t="shared" si="45"/>
        <v>3.1536000000000002E-2</v>
      </c>
      <c r="P67" s="458">
        <v>0.2</v>
      </c>
      <c r="Q67" s="245">
        <v>30</v>
      </c>
      <c r="R67" s="227">
        <v>1.0900000000000001</v>
      </c>
      <c r="T67" s="268">
        <f t="shared" si="5"/>
        <v>0.77729769330453569</v>
      </c>
      <c r="U67" s="268"/>
      <c r="V67" s="589" t="str">
        <f>'Data manipulation'!$B$30</f>
        <v>Ambient heat (heat pumps)</v>
      </c>
      <c r="W67" s="254" t="s">
        <v>170</v>
      </c>
      <c r="X67" s="246">
        <v>2015</v>
      </c>
      <c r="Y67" s="432">
        <f>_xlfn.IFNA(INDEX('Data manipulation'!$C$23:$O$39,MATCH($V67,'Data manipulation'!$B$23:$B$39,0),MATCH($X67,'Data manipulation'!$C$22:$O$22,0))/1000,0)*SUMIFS('Regional split'!$F$4:$F$6,'Regional split'!$B$4:$B$6,Y$3)*SUMIFS('Data manipulation'!$V$39:$V$42,'Data manipulation'!$X$39:$X$42,$E67,'Data manipulation'!$Y$39:$Y$42,$D67)</f>
        <v>0.71295224000000001</v>
      </c>
      <c r="Z67" s="270">
        <f>_xlfn.IFNA(INDEX('Data manipulation'!$C$23:$O$39,MATCH($V67,'Data manipulation'!$B$23:$B$39,0),MATCH($X67,'Data manipulation'!$C$22:$O$22,0))/1000,0)*SUMIFS('Regional split'!$F$4:$F$6,'Regional split'!$B$4:$B$6,Z$3)*SUMIFS('Data manipulation'!$V$39:$V$42,'Data manipulation'!$X$39:$X$42,$E67,'Data manipulation'!$Y$39:$Y$42,$D67)</f>
        <v>0</v>
      </c>
      <c r="AA67" s="454">
        <f>_xlfn.IFNA(INDEX('Data manipulation'!$C$23:$O$39,MATCH($V67,'Data manipulation'!$B$23:$B$39,0),MATCH($X67,'Data manipulation'!$C$22:$O$22,0))/1000,0)*SUMIFS('Regional split'!$F$4:$F$6,'Regional split'!$B$4:$B$6,AA$3)*SUMIFS('Data manipulation'!$V$39:$V$42,'Data manipulation'!$X$39:$X$42,$E67,'Data manipulation'!$Y$39:$Y$42,$D67)</f>
        <v>0</v>
      </c>
      <c r="AB67" s="443">
        <f t="shared" si="6"/>
        <v>1.6504844355999999</v>
      </c>
      <c r="AC67" s="251">
        <f t="shared" si="0"/>
        <v>0</v>
      </c>
      <c r="AD67" s="444">
        <f t="shared" si="1"/>
        <v>0</v>
      </c>
      <c r="AU67" s="260"/>
      <c r="AZ67" s="252"/>
    </row>
    <row r="68" spans="2:52" ht="15" customHeight="1">
      <c r="B68" s="233" t="str">
        <f t="shared" si="53"/>
        <v>CHTRDHCEE1</v>
      </c>
      <c r="C68" s="233" t="str">
        <f t="shared" si="53"/>
        <v>Commercial Heating Technology Rural Detached - District heating Central - Existing 1</v>
      </c>
      <c r="D68" s="233" t="str">
        <f t="shared" ref="D68:E68" si="58">D26</f>
        <v>Rural</v>
      </c>
      <c r="E68" s="233" t="str">
        <f t="shared" si="58"/>
        <v>Detached</v>
      </c>
      <c r="F68" s="233" t="str">
        <f t="shared" ref="F68:G68" si="59">F26</f>
        <v>COMHDE</v>
      </c>
      <c r="G68" s="233" t="str">
        <f t="shared" si="59"/>
        <v>COMHRDB</v>
      </c>
      <c r="H68" s="261">
        <v>2015</v>
      </c>
      <c r="I68" s="565">
        <v>0</v>
      </c>
      <c r="J68" s="565">
        <v>0</v>
      </c>
      <c r="K68" s="565">
        <v>0</v>
      </c>
      <c r="L68" s="460">
        <v>0.98</v>
      </c>
      <c r="M68" s="460">
        <v>0.98</v>
      </c>
      <c r="N68" s="460">
        <v>0.98</v>
      </c>
      <c r="O68" s="244">
        <f t="shared" si="45"/>
        <v>3.1536000000000002E-2</v>
      </c>
      <c r="P68" s="458">
        <v>0.2</v>
      </c>
      <c r="Q68" s="245">
        <v>30</v>
      </c>
      <c r="R68" s="227">
        <v>1.0900000000000001</v>
      </c>
      <c r="T68" s="268">
        <f t="shared" si="5"/>
        <v>0</v>
      </c>
      <c r="U68" s="268"/>
      <c r="V68" s="589" t="str">
        <f>'Data manipulation'!$B$34</f>
        <v>Heat</v>
      </c>
      <c r="W68" s="254" t="s">
        <v>171</v>
      </c>
      <c r="X68" s="246">
        <v>2015</v>
      </c>
      <c r="Y68" s="432">
        <f>_xlfn.IFNA(INDEX('Data manipulation'!$C$23:$O$39,MATCH($V68,'Data manipulation'!$B$23:$B$39,0),MATCH($X68,'Data manipulation'!$C$22:$O$22,0))/1000,0)*SUMIFS('Regional split'!$F$4:$F$6,'Regional split'!$B$4:$B$6,Y$3)*SUMIFS('Data manipulation'!$V$39:$V$42,'Data manipulation'!$X$39:$X$42,$E68,'Data manipulation'!$Y$39:$Y$42,$D68)</f>
        <v>16.789128192810356</v>
      </c>
      <c r="Z68" s="270">
        <f>_xlfn.IFNA(INDEX('Data manipulation'!$C$23:$O$39,MATCH($V68,'Data manipulation'!$B$23:$B$39,0),MATCH($X68,'Data manipulation'!$C$22:$O$22,0))/1000,0)*SUMIFS('Regional split'!$F$4:$F$6,'Regional split'!$B$4:$B$6,Z$3)*SUMIFS('Data manipulation'!$V$39:$V$42,'Data manipulation'!$X$39:$X$42,$E68,'Data manipulation'!$Y$39:$Y$42,$D68)</f>
        <v>0</v>
      </c>
      <c r="AA68" s="454">
        <f>_xlfn.IFNA(INDEX('Data manipulation'!$C$23:$O$39,MATCH($V68,'Data manipulation'!$B$23:$B$39,0),MATCH($X68,'Data manipulation'!$C$22:$O$22,0))/1000,0)*SUMIFS('Regional split'!$F$4:$F$6,'Regional split'!$B$4:$B$6,AA$3)*SUMIFS('Data manipulation'!$V$39:$V$42,'Data manipulation'!$X$39:$X$42,$E68,'Data manipulation'!$Y$39:$Y$42,$D68)</f>
        <v>0</v>
      </c>
      <c r="AB68" s="443">
        <f t="shared" si="6"/>
        <v>16.45334562895415</v>
      </c>
      <c r="AC68" s="251">
        <f t="shared" si="0"/>
        <v>0</v>
      </c>
      <c r="AD68" s="444">
        <f t="shared" si="1"/>
        <v>0</v>
      </c>
      <c r="AU68" s="260"/>
      <c r="AZ68" s="252"/>
    </row>
    <row r="69" spans="2:52" ht="15" customHeight="1" thickBot="1">
      <c r="B69" s="233" t="str">
        <f t="shared" si="53"/>
        <v>CHTRDLPGE1</v>
      </c>
      <c r="C69" s="233" t="str">
        <f t="shared" si="53"/>
        <v>Commercial Heating Technology Rural Detached - LPG - Existing 1</v>
      </c>
      <c r="D69" s="233" t="str">
        <f t="shared" ref="D69:E69" si="60">D27</f>
        <v>Rural</v>
      </c>
      <c r="E69" s="233" t="str">
        <f t="shared" si="60"/>
        <v>Detached</v>
      </c>
      <c r="F69" s="233" t="str">
        <f t="shared" ref="F69:G69" si="61">F27</f>
        <v>COMLPG</v>
      </c>
      <c r="G69" s="233" t="str">
        <f t="shared" si="61"/>
        <v>COMHRDB</v>
      </c>
      <c r="H69" s="261">
        <v>2015</v>
      </c>
      <c r="I69" s="297">
        <f t="shared" ref="I69" si="62">ROUNDUP(AB69/($O69*$P69)*$R69,1)</f>
        <v>643.80000000000007</v>
      </c>
      <c r="J69" s="297">
        <f t="shared" ref="J69" si="63">ROUNDUP(AC69/($O69*$P69)*$R69,1)</f>
        <v>0</v>
      </c>
      <c r="K69" s="297">
        <f t="shared" ref="K69" si="64">ROUNDUP(AD69/($O69*$P69)*$R69,1)</f>
        <v>0</v>
      </c>
      <c r="L69" s="460">
        <v>0.98</v>
      </c>
      <c r="M69" s="460">
        <v>0.98</v>
      </c>
      <c r="N69" s="460">
        <v>0.98</v>
      </c>
      <c r="O69" s="244">
        <f t="shared" si="45"/>
        <v>3.1536000000000002E-2</v>
      </c>
      <c r="P69" s="458">
        <v>0.2</v>
      </c>
      <c r="Q69" s="245">
        <v>30</v>
      </c>
      <c r="R69" s="227">
        <v>1.0900000000000001</v>
      </c>
      <c r="T69" s="268">
        <f t="shared" si="5"/>
        <v>4.1434442448979594</v>
      </c>
      <c r="U69" s="268"/>
      <c r="V69" s="590" t="str">
        <f>'Data manipulation'!$B$25</f>
        <v>Liquefied petroleum gas</v>
      </c>
      <c r="W69" s="427" t="s">
        <v>759</v>
      </c>
      <c r="X69" s="246">
        <v>2015</v>
      </c>
      <c r="Y69" s="433">
        <f>_xlfn.IFNA(INDEX('Data manipulation'!$C$23:$O$39,MATCH($V69,'Data manipulation'!$B$23:$B$39,0),MATCH($X69,'Data manipulation'!$C$22:$O$22,0))/1000,0)*SUMIFS('Regional split'!$F$4:$F$6,'Regional split'!$B$4:$B$6,Y$3)*SUMIFS('Data manipulation'!$V$39:$V$42,'Data manipulation'!$X$39:$X$42,$E69,'Data manipulation'!$Y$39:$Y$42,$D69)</f>
        <v>3.8008016094384747</v>
      </c>
      <c r="Z69" s="430">
        <f>_xlfn.IFNA(INDEX('Data manipulation'!$C$23:$O$39,MATCH($V69,'Data manipulation'!$B$23:$B$39,0),MATCH($X69,'Data manipulation'!$C$22:$O$22,0))/1000,0)*SUMIFS('Regional split'!$F$4:$F$6,'Regional split'!$B$4:$B$6,Z$3)*SUMIFS('Data manipulation'!$V$39:$V$42,'Data manipulation'!$X$39:$X$42,$E69,'Data manipulation'!$Y$39:$Y$42,$D69)</f>
        <v>0</v>
      </c>
      <c r="AA69" s="455">
        <f>_xlfn.IFNA(INDEX('Data manipulation'!$C$23:$O$39,MATCH($V69,'Data manipulation'!$B$23:$B$39,0),MATCH($X69,'Data manipulation'!$C$22:$O$22,0))/1000,0)*SUMIFS('Regional split'!$F$4:$F$6,'Regional split'!$B$4:$B$6,AA$3)*SUMIFS('Data manipulation'!$V$39:$V$42,'Data manipulation'!$X$39:$X$42,$E69,'Data manipulation'!$Y$39:$Y$42,$D69)</f>
        <v>0</v>
      </c>
      <c r="AB69" s="445">
        <f t="shared" si="6"/>
        <v>3.7247855772497052</v>
      </c>
      <c r="AC69" s="431">
        <f t="shared" si="0"/>
        <v>0</v>
      </c>
      <c r="AD69" s="452">
        <f t="shared" si="1"/>
        <v>0</v>
      </c>
      <c r="AU69" s="260"/>
      <c r="AZ69" s="252"/>
    </row>
    <row r="70" spans="2:52" ht="15" customHeight="1">
      <c r="B70" s="227" t="str">
        <f t="shared" si="53"/>
        <v>CHTUMNGAE1</v>
      </c>
      <c r="C70" s="227" t="str">
        <f t="shared" si="53"/>
        <v>Commercial Heating Technology Urban Multi - Natural Gas - Existing 1</v>
      </c>
      <c r="D70" s="227" t="str">
        <f t="shared" ref="D70:E70" si="65">D28</f>
        <v>Urban</v>
      </c>
      <c r="E70" s="227" t="str">
        <f t="shared" si="65"/>
        <v>Multi storey</v>
      </c>
      <c r="F70" s="227" t="str">
        <f>F28</f>
        <v>COMNGA,COMSNG</v>
      </c>
      <c r="G70" s="227" t="str">
        <f>G28</f>
        <v>COMHUMB</v>
      </c>
      <c r="H70" s="230">
        <v>2015</v>
      </c>
      <c r="I70" s="250">
        <f>ROUNDUP(AB70/($O70*$P70)*$R70,1)</f>
        <v>10131.700000000001</v>
      </c>
      <c r="J70" s="250">
        <f>ROUNDUP(AC70/($O70*$P70)*$R70,1)</f>
        <v>0</v>
      </c>
      <c r="K70" s="250">
        <f>ROUNDUP(AD70/($O70*$P70)*$R70,1)</f>
        <v>0</v>
      </c>
      <c r="L70" s="460">
        <v>0.72</v>
      </c>
      <c r="M70" s="460">
        <v>0.72</v>
      </c>
      <c r="N70" s="460">
        <v>0.72</v>
      </c>
      <c r="O70" s="244">
        <f>31.536/1000</f>
        <v>3.1536000000000002E-2</v>
      </c>
      <c r="P70" s="458">
        <v>0.2</v>
      </c>
      <c r="Q70" s="245">
        <v>22</v>
      </c>
      <c r="R70" s="227">
        <v>1.0900000000000001</v>
      </c>
      <c r="T70" s="268">
        <f t="shared" si="5"/>
        <v>88.753692000000015</v>
      </c>
      <c r="U70" s="268"/>
      <c r="V70" s="589" t="str">
        <f>'Data manipulation'!$B$36</f>
        <v>Natural gas and biogas</v>
      </c>
      <c r="W70" s="246" t="s">
        <v>167</v>
      </c>
      <c r="X70" s="246">
        <v>2015</v>
      </c>
      <c r="Y70" s="432">
        <f>_xlfn.IFNA(INDEX('Data manipulation'!$C$23:$O$39,MATCH($V70,'Data manipulation'!$B$23:$B$39,0),MATCH($X70,'Data manipulation'!$C$22:$O$22,0))/1000,0)*SUMIFS('Regional split'!$F$4:$F$6,'Regional split'!$B$4:$B$6,Y$3)*SUMIFS('Data manipulation'!$V$39:$V$42,'Data manipulation'!$X$39:$X$42,$E70,'Data manipulation'!$Y$39:$Y$42,$D70)</f>
        <v>81.424924384974304</v>
      </c>
      <c r="Z70" s="270">
        <f>_xlfn.IFNA(INDEX('Data manipulation'!$C$23:$O$39,MATCH($V70,'Data manipulation'!$B$23:$B$39,0),MATCH($X70,'Data manipulation'!$C$22:$O$22,0))/1000,0)*SUMIFS('Regional split'!$F$4:$F$6,'Regional split'!$B$4:$B$6,Z$3)*SUMIFS('Data manipulation'!$V$39:$V$42,'Data manipulation'!$X$39:$X$42,$E70,'Data manipulation'!$Y$39:$Y$42,$D70)</f>
        <v>0</v>
      </c>
      <c r="AA70" s="454">
        <f>_xlfn.IFNA(INDEX('Data manipulation'!$C$23:$O$39,MATCH($V70,'Data manipulation'!$B$23:$B$39,0),MATCH($X70,'Data manipulation'!$C$22:$O$22,0))/1000,0)*SUMIFS('Regional split'!$F$4:$F$6,'Regional split'!$B$4:$B$6,AA$3)*SUMIFS('Data manipulation'!$V$39:$V$42,'Data manipulation'!$X$39:$X$42,$E70,'Data manipulation'!$Y$39:$Y$42,$D70)</f>
        <v>0</v>
      </c>
      <c r="AB70" s="443">
        <f t="shared" ref="AB70:AB109" si="66">Y70*L70</f>
        <v>58.625945557181495</v>
      </c>
      <c r="AC70" s="251">
        <f t="shared" ref="AC70:AC109" si="67">Z70*M70</f>
        <v>0</v>
      </c>
      <c r="AD70" s="444">
        <f t="shared" ref="AD70:AD109" si="68">AA70*N70</f>
        <v>0</v>
      </c>
      <c r="AE70" s="262"/>
      <c r="AU70" s="260"/>
      <c r="AZ70" s="252"/>
    </row>
    <row r="71" spans="2:52" ht="15" customHeight="1">
      <c r="B71" s="227" t="str">
        <f t="shared" si="53"/>
        <v>CHTUMDSLE1</v>
      </c>
      <c r="C71" s="227" t="str">
        <f t="shared" si="53"/>
        <v>Commercial Heating Technology Urban Multi - Diesel - Existing 1</v>
      </c>
      <c r="D71" s="227" t="str">
        <f t="shared" ref="D71:E71" si="69">D29</f>
        <v>Urban</v>
      </c>
      <c r="E71" s="227" t="str">
        <f t="shared" si="69"/>
        <v>Multi storey</v>
      </c>
      <c r="F71" s="227" t="str">
        <f t="shared" ref="F71:G71" si="70">F29</f>
        <v>COMDSL,COMDSB</v>
      </c>
      <c r="G71" s="227" t="str">
        <f t="shared" si="70"/>
        <v>COMHUMB</v>
      </c>
      <c r="H71" s="230">
        <v>2015</v>
      </c>
      <c r="I71" s="250">
        <f t="shared" ref="I71:I78" si="71">ROUNDUP(AB71/($O71*$P71)*$R71,1)</f>
        <v>7376.5</v>
      </c>
      <c r="J71" s="250">
        <f t="shared" ref="J71:J77" si="72">ROUNDUP(AC71/($O71*$P71)*$R71,1)</f>
        <v>0</v>
      </c>
      <c r="K71" s="250">
        <f t="shared" ref="K71:K77" si="73">ROUNDUP(AD71/($O71*$P71)*$R71,1)</f>
        <v>0</v>
      </c>
      <c r="L71" s="460">
        <v>0.71</v>
      </c>
      <c r="M71" s="460">
        <v>0.71</v>
      </c>
      <c r="N71" s="460">
        <v>0.71</v>
      </c>
      <c r="O71" s="244">
        <f>31.536/1000</f>
        <v>3.1536000000000002E-2</v>
      </c>
      <c r="P71" s="458">
        <v>0.2</v>
      </c>
      <c r="Q71" s="245">
        <v>20</v>
      </c>
      <c r="R71" s="227">
        <v>1.0900000000000001</v>
      </c>
      <c r="T71" s="268">
        <f t="shared" si="5"/>
        <v>65.528254647887337</v>
      </c>
      <c r="V71" s="589" t="str">
        <f>'Data manipulation'!$B$28</f>
        <v>Gas oil and diesel oil and biodiesel</v>
      </c>
      <c r="W71" s="254" t="s">
        <v>718</v>
      </c>
      <c r="X71" s="246">
        <v>2015</v>
      </c>
      <c r="Y71" s="432">
        <f>_xlfn.IFNA(INDEX('Data manipulation'!$C$23:$O$39,MATCH($V71,'Data manipulation'!$B$23:$B$39,0),MATCH($X71,'Data manipulation'!$C$22:$O$22,0))/1000,0)*SUMIFS('Regional split'!$F$4:$F$6,'Regional split'!$B$4:$B$6,Y$3)*SUMIFS('Data manipulation'!$V$39:$V$42,'Data manipulation'!$X$39:$X$42,$E71,'Data manipulation'!$Y$39:$Y$42,$D71)</f>
        <v>60.117537450621853</v>
      </c>
      <c r="Z71" s="270">
        <f>_xlfn.IFNA(INDEX('Data manipulation'!$C$23:$O$39,MATCH($V71,'Data manipulation'!$B$23:$B$39,0),MATCH($X71,'Data manipulation'!$C$22:$O$22,0))/1000,0)*SUMIFS('Regional split'!$F$4:$F$6,'Regional split'!$B$4:$B$6,Z$3)*SUMIFS('Data manipulation'!$V$39:$V$42,'Data manipulation'!$X$39:$X$42,$E71,'Data manipulation'!$Y$39:$Y$42,$D71)</f>
        <v>0</v>
      </c>
      <c r="AA71" s="454">
        <f>_xlfn.IFNA(INDEX('Data manipulation'!$C$23:$O$39,MATCH($V71,'Data manipulation'!$B$23:$B$39,0),MATCH($X71,'Data manipulation'!$C$22:$O$22,0))/1000,0)*SUMIFS('Regional split'!$F$4:$F$6,'Regional split'!$B$4:$B$6,AA$3)*SUMIFS('Data manipulation'!$V$39:$V$42,'Data manipulation'!$X$39:$X$42,$E71,'Data manipulation'!$Y$39:$Y$42,$D71)</f>
        <v>0</v>
      </c>
      <c r="AB71" s="443">
        <f t="shared" si="66"/>
        <v>42.683451589941512</v>
      </c>
      <c r="AC71" s="251">
        <f t="shared" si="67"/>
        <v>0</v>
      </c>
      <c r="AD71" s="444">
        <f t="shared" si="68"/>
        <v>0</v>
      </c>
      <c r="AE71" s="262"/>
      <c r="AU71" s="260"/>
      <c r="AZ71" s="252"/>
    </row>
    <row r="72" spans="2:52" ht="15" customHeight="1">
      <c r="B72" s="227" t="str">
        <f t="shared" si="53"/>
        <v>CHTUMWPEE1</v>
      </c>
      <c r="C72" s="227" t="str">
        <f t="shared" si="53"/>
        <v>Commercial Heating Technology Urban Multi - Wood pellets - Existing 1</v>
      </c>
      <c r="D72" s="227" t="str">
        <f t="shared" ref="D72:E72" si="74">D30</f>
        <v>Urban</v>
      </c>
      <c r="E72" s="227" t="str">
        <f t="shared" si="74"/>
        <v>Multi storey</v>
      </c>
      <c r="F72" s="227" t="str">
        <f t="shared" ref="F72:G72" si="75">F30</f>
        <v>COMWPE</v>
      </c>
      <c r="G72" s="227" t="str">
        <f t="shared" si="75"/>
        <v>COMHUMB</v>
      </c>
      <c r="H72" s="230">
        <v>2015</v>
      </c>
      <c r="I72" s="250">
        <f t="shared" si="71"/>
        <v>0</v>
      </c>
      <c r="J72" s="250">
        <f t="shared" si="72"/>
        <v>0</v>
      </c>
      <c r="K72" s="250">
        <f t="shared" si="73"/>
        <v>0</v>
      </c>
      <c r="L72" s="460">
        <v>0.61</v>
      </c>
      <c r="M72" s="460">
        <v>0.61</v>
      </c>
      <c r="N72" s="460">
        <v>0.61</v>
      </c>
      <c r="O72" s="244">
        <f t="shared" ref="O72:O89" si="76">31.536/1000</f>
        <v>3.1536000000000002E-2</v>
      </c>
      <c r="P72" s="458">
        <v>0.2</v>
      </c>
      <c r="Q72" s="245">
        <v>20</v>
      </c>
      <c r="R72" s="227">
        <v>1.0900000000000001</v>
      </c>
      <c r="T72" s="268">
        <f t="shared" si="5"/>
        <v>0</v>
      </c>
      <c r="U72" s="268"/>
      <c r="W72" s="254" t="s">
        <v>849</v>
      </c>
      <c r="X72" s="246">
        <v>2015</v>
      </c>
      <c r="Y72" s="432">
        <f>_xlfn.IFNA(INDEX('Data manipulation'!$C$23:$O$39,MATCH($V72,'Data manipulation'!$B$23:$B$39,0),MATCH($X72,'Data manipulation'!$C$22:$O$22,0))/1000,0)*SUMIFS('Regional split'!$F$4:$F$6,'Regional split'!$B$4:$B$6,Y$3)*SUMIFS('Data manipulation'!$V$39:$V$42,'Data manipulation'!$X$39:$X$42,$E72,'Data manipulation'!$Y$39:$Y$42,$D72)</f>
        <v>0</v>
      </c>
      <c r="Z72" s="270">
        <f>_xlfn.IFNA(INDEX('Data manipulation'!$C$23:$O$39,MATCH($V72,'Data manipulation'!$B$23:$B$39,0),MATCH($X72,'Data manipulation'!$C$22:$O$22,0))/1000,0)*SUMIFS('Regional split'!$F$4:$F$6,'Regional split'!$B$4:$B$6,Z$3)*SUMIFS('Data manipulation'!$V$39:$V$42,'Data manipulation'!$X$39:$X$42,$E72,'Data manipulation'!$Y$39:$Y$42,$D72)</f>
        <v>0</v>
      </c>
      <c r="AA72" s="454">
        <f>_xlfn.IFNA(INDEX('Data manipulation'!$C$23:$O$39,MATCH($V72,'Data manipulation'!$B$23:$B$39,0),MATCH($X72,'Data manipulation'!$C$22:$O$22,0))/1000,0)*SUMIFS('Regional split'!$F$4:$F$6,'Regional split'!$B$4:$B$6,AA$3)*SUMIFS('Data manipulation'!$V$39:$V$42,'Data manipulation'!$X$39:$X$42,$E72,'Data manipulation'!$Y$39:$Y$42,$D72)</f>
        <v>0</v>
      </c>
      <c r="AB72" s="443">
        <f t="shared" si="66"/>
        <v>0</v>
      </c>
      <c r="AC72" s="251">
        <f t="shared" si="67"/>
        <v>0</v>
      </c>
      <c r="AD72" s="444">
        <f t="shared" si="68"/>
        <v>0</v>
      </c>
      <c r="AE72" s="262"/>
      <c r="AU72" s="260"/>
      <c r="AZ72" s="252"/>
    </row>
    <row r="73" spans="2:52" ht="15" customHeight="1">
      <c r="B73" s="227" t="str">
        <f t="shared" si="53"/>
        <v>CHTUMFIWE1</v>
      </c>
      <c r="C73" s="227" t="str">
        <f t="shared" si="53"/>
        <v>Commercial Heating Technology Urban Multi - Fire wood - Existing 1</v>
      </c>
      <c r="D73" s="227" t="str">
        <f t="shared" ref="D73:E73" si="77">D31</f>
        <v>Urban</v>
      </c>
      <c r="E73" s="227" t="str">
        <f t="shared" si="77"/>
        <v>Multi storey</v>
      </c>
      <c r="F73" s="227" t="str">
        <f t="shared" ref="F73:G73" si="78">F31</f>
        <v>COMFIW</v>
      </c>
      <c r="G73" s="227" t="str">
        <f t="shared" si="78"/>
        <v>COMHUMB</v>
      </c>
      <c r="H73" s="230">
        <v>2015</v>
      </c>
      <c r="I73" s="250">
        <f t="shared" si="71"/>
        <v>1332.8999999999999</v>
      </c>
      <c r="J73" s="250">
        <f t="shared" si="72"/>
        <v>0</v>
      </c>
      <c r="K73" s="250">
        <f t="shared" si="73"/>
        <v>0</v>
      </c>
      <c r="L73" s="460">
        <v>0.65000022993955098</v>
      </c>
      <c r="M73" s="460">
        <v>0.65000022993955098</v>
      </c>
      <c r="N73" s="460">
        <v>0.65000022993955098</v>
      </c>
      <c r="O73" s="244">
        <f t="shared" si="76"/>
        <v>3.1536000000000002E-2</v>
      </c>
      <c r="P73" s="458">
        <v>0.2</v>
      </c>
      <c r="Q73" s="245">
        <v>20</v>
      </c>
      <c r="R73" s="227">
        <v>1.0900000000000001</v>
      </c>
      <c r="T73" s="268">
        <f t="shared" si="5"/>
        <v>12.933636778531335</v>
      </c>
      <c r="U73" s="268"/>
      <c r="V73" s="589" t="str">
        <f>'Data manipulation'!$B$31</f>
        <v>Primary solid biofuels</v>
      </c>
      <c r="W73" s="254" t="s">
        <v>176</v>
      </c>
      <c r="X73" s="246">
        <v>2015</v>
      </c>
      <c r="Y73" s="432">
        <f>_xlfn.IFNA(INDEX('Data manipulation'!$C$23:$O$39,MATCH($V73,'Data manipulation'!$B$23:$B$39,0),MATCH($X73,'Data manipulation'!$C$22:$O$22,0))/1000,0)*SUMIFS('Regional split'!$F$4:$F$6,'Regional split'!$B$4:$B$6,Y$3)*SUMIFS('Data manipulation'!$V$39:$V$42,'Data manipulation'!$X$39:$X$42,$E73,'Data manipulation'!$Y$39:$Y$42,$D73)</f>
        <v>11.865588133680978</v>
      </c>
      <c r="Z73" s="270">
        <f>_xlfn.IFNA(INDEX('Data manipulation'!$C$23:$O$39,MATCH($V73,'Data manipulation'!$B$23:$B$39,0),MATCH($X73,'Data manipulation'!$C$22:$O$22,0))/1000,0)*SUMIFS('Regional split'!$F$4:$F$6,'Regional split'!$B$4:$B$6,Z$3)*SUMIFS('Data manipulation'!$V$39:$V$42,'Data manipulation'!$X$39:$X$42,$E73,'Data manipulation'!$Y$39:$Y$42,$D73)</f>
        <v>0</v>
      </c>
      <c r="AA73" s="454">
        <f>_xlfn.IFNA(INDEX('Data manipulation'!$C$23:$O$39,MATCH($V73,'Data manipulation'!$B$23:$B$39,0),MATCH($X73,'Data manipulation'!$C$22:$O$22,0))/1000,0)*SUMIFS('Regional split'!$F$4:$F$6,'Regional split'!$B$4:$B$6,AA$3)*SUMIFS('Data manipulation'!$V$39:$V$42,'Data manipulation'!$X$39:$X$42,$E73,'Data manipulation'!$Y$39:$Y$42,$D73)</f>
        <v>0</v>
      </c>
      <c r="AB73" s="443">
        <f t="shared" si="66"/>
        <v>7.7126350152606431</v>
      </c>
      <c r="AC73" s="251">
        <f t="shared" si="67"/>
        <v>0</v>
      </c>
      <c r="AD73" s="444">
        <f t="shared" si="68"/>
        <v>0</v>
      </c>
      <c r="AE73" s="262"/>
      <c r="AU73" s="260"/>
      <c r="AZ73" s="252"/>
    </row>
    <row r="74" spans="2:52" ht="15" customHeight="1">
      <c r="B74" s="233" t="str">
        <f t="shared" si="53"/>
        <v>CHTUMCOAE1</v>
      </c>
      <c r="C74" s="233" t="str">
        <f t="shared" si="53"/>
        <v>Commercial Heating Technology Urban Multi - Coal - Existing 1</v>
      </c>
      <c r="D74" s="233" t="str">
        <f t="shared" ref="D74:E74" si="79">D32</f>
        <v>Urban</v>
      </c>
      <c r="E74" s="233" t="str">
        <f t="shared" si="79"/>
        <v>Multi storey</v>
      </c>
      <c r="F74" s="233" t="str">
        <f t="shared" ref="F74:G74" si="80">F32</f>
        <v>COMCOA</v>
      </c>
      <c r="G74" s="233" t="str">
        <f t="shared" si="80"/>
        <v>COMHUMB</v>
      </c>
      <c r="H74" s="230">
        <v>2015</v>
      </c>
      <c r="I74" s="250">
        <f t="shared" si="71"/>
        <v>230.2</v>
      </c>
      <c r="J74" s="250">
        <f t="shared" si="72"/>
        <v>0</v>
      </c>
      <c r="K74" s="250">
        <f t="shared" si="73"/>
        <v>0</v>
      </c>
      <c r="L74" s="460">
        <v>0.7</v>
      </c>
      <c r="M74" s="460">
        <v>0.7</v>
      </c>
      <c r="N74" s="460">
        <v>0.7</v>
      </c>
      <c r="O74" s="244">
        <f t="shared" si="76"/>
        <v>3.1536000000000002E-2</v>
      </c>
      <c r="P74" s="458">
        <v>0.2</v>
      </c>
      <c r="Q74" s="245">
        <v>20</v>
      </c>
      <c r="R74" s="227">
        <v>1.0900000000000001</v>
      </c>
      <c r="T74" s="268">
        <f t="shared" si="5"/>
        <v>2.0741677714285718</v>
      </c>
      <c r="U74" s="268"/>
      <c r="V74" s="589" t="str">
        <f>'Data manipulation'!$B$23</f>
        <v>Solid fossil fuels, peat, peat products, oil shale and oil sands</v>
      </c>
      <c r="W74" s="254" t="s">
        <v>846</v>
      </c>
      <c r="X74" s="246">
        <v>2015</v>
      </c>
      <c r="Y74" s="432">
        <f>_xlfn.IFNA(INDEX('Data manipulation'!$C$23:$O$39,MATCH($V74,'Data manipulation'!$B$23:$B$39,0),MATCH($X74,'Data manipulation'!$C$22:$O$22,0))/1000,0)*SUMIFS('Regional split'!$F$4:$F$6,'Regional split'!$B$4:$B$6,Y$3)*SUMIFS('Data manipulation'!$V$39:$V$42,'Data manipulation'!$X$39:$X$42,$E74,'Data manipulation'!$Y$39:$Y$42,$D74)</f>
        <v>1.9023495399999999</v>
      </c>
      <c r="Z74" s="270">
        <f>_xlfn.IFNA(INDEX('Data manipulation'!$C$23:$O$39,MATCH($V74,'Data manipulation'!$B$23:$B$39,0),MATCH($X74,'Data manipulation'!$C$22:$O$22,0))/1000,0)*SUMIFS('Regional split'!$F$4:$F$6,'Regional split'!$B$4:$B$6,Z$3)*SUMIFS('Data manipulation'!$V$39:$V$42,'Data manipulation'!$X$39:$X$42,$E74,'Data manipulation'!$Y$39:$Y$42,$D74)</f>
        <v>0</v>
      </c>
      <c r="AA74" s="454">
        <f>_xlfn.IFNA(INDEX('Data manipulation'!$C$23:$O$39,MATCH($V74,'Data manipulation'!$B$23:$B$39,0),MATCH($X74,'Data manipulation'!$C$22:$O$22,0))/1000,0)*SUMIFS('Regional split'!$F$4:$F$6,'Regional split'!$B$4:$B$6,AA$3)*SUMIFS('Data manipulation'!$V$39:$V$42,'Data manipulation'!$X$39:$X$42,$E74,'Data manipulation'!$Y$39:$Y$42,$D74)</f>
        <v>0</v>
      </c>
      <c r="AB74" s="443">
        <f t="shared" si="66"/>
        <v>1.3316446779999997</v>
      </c>
      <c r="AC74" s="251">
        <f t="shared" si="67"/>
        <v>0</v>
      </c>
      <c r="AD74" s="444">
        <f t="shared" si="68"/>
        <v>0</v>
      </c>
      <c r="AE74" s="262"/>
      <c r="AU74" s="260"/>
      <c r="AZ74" s="252"/>
    </row>
    <row r="75" spans="2:52" ht="15" customHeight="1">
      <c r="B75" s="233" t="str">
        <f t="shared" si="53"/>
        <v>CHTUMSOLE1</v>
      </c>
      <c r="C75" s="233" t="str">
        <f t="shared" si="53"/>
        <v>Commercial Heating Technology Urban Multi - Solar - Existing 1</v>
      </c>
      <c r="D75" s="233" t="str">
        <f t="shared" ref="D75:E75" si="81">D33</f>
        <v>Urban</v>
      </c>
      <c r="E75" s="233" t="str">
        <f t="shared" si="81"/>
        <v>Multi storey</v>
      </c>
      <c r="F75" s="233" t="str">
        <f t="shared" ref="F75:G75" si="82">F33</f>
        <v>COMSOL</v>
      </c>
      <c r="G75" s="233" t="str">
        <f t="shared" si="82"/>
        <v>COMHUMB</v>
      </c>
      <c r="H75" s="230">
        <v>2015</v>
      </c>
      <c r="I75" s="250">
        <f t="shared" si="71"/>
        <v>6.8</v>
      </c>
      <c r="J75" s="250">
        <f t="shared" si="72"/>
        <v>0</v>
      </c>
      <c r="K75" s="250">
        <f t="shared" si="73"/>
        <v>0</v>
      </c>
      <c r="L75" s="460">
        <v>1</v>
      </c>
      <c r="M75" s="460">
        <v>1</v>
      </c>
      <c r="N75" s="460">
        <v>1</v>
      </c>
      <c r="O75" s="244">
        <f t="shared" si="76"/>
        <v>3.1536000000000002E-2</v>
      </c>
      <c r="P75" s="458">
        <v>0.2</v>
      </c>
      <c r="Q75" s="245">
        <v>20</v>
      </c>
      <c r="R75" s="227">
        <v>1.0900000000000001</v>
      </c>
      <c r="T75" s="268">
        <f t="shared" ref="T75:T178" si="83">SUM(I75:K75)*O75*P75/L75</f>
        <v>4.2888960000000004E-2</v>
      </c>
      <c r="U75" s="268"/>
      <c r="V75" s="589" t="str">
        <f>'Data manipulation'!$B$29</f>
        <v>Solar thermal</v>
      </c>
      <c r="W75" s="254" t="s">
        <v>168</v>
      </c>
      <c r="X75" s="246">
        <v>2015</v>
      </c>
      <c r="Y75" s="432">
        <f>_xlfn.IFNA(INDEX('Data manipulation'!$C$23:$O$39,MATCH($V75,'Data manipulation'!$B$23:$B$39,0),MATCH($X75,'Data manipulation'!$C$22:$O$22,0))/1000,0)*SUMIFS('Regional split'!$F$4:$F$6,'Regional split'!$B$4:$B$6,Y$3)*SUMIFS('Data manipulation'!$V$39:$V$42,'Data manipulation'!$X$39:$X$42,$E75,'Data manipulation'!$Y$39:$Y$42,$D75)</f>
        <v>3.9184327000000005E-2</v>
      </c>
      <c r="Z75" s="270">
        <f>_xlfn.IFNA(INDEX('Data manipulation'!$C$23:$O$39,MATCH($V75,'Data manipulation'!$B$23:$B$39,0),MATCH($X75,'Data manipulation'!$C$22:$O$22,0))/1000,0)*SUMIFS('Regional split'!$F$4:$F$6,'Regional split'!$B$4:$B$6,Z$3)*SUMIFS('Data manipulation'!$V$39:$V$42,'Data manipulation'!$X$39:$X$42,$E75,'Data manipulation'!$Y$39:$Y$42,$D75)</f>
        <v>0</v>
      </c>
      <c r="AA75" s="454">
        <f>_xlfn.IFNA(INDEX('Data manipulation'!$C$23:$O$39,MATCH($V75,'Data manipulation'!$B$23:$B$39,0),MATCH($X75,'Data manipulation'!$C$22:$O$22,0))/1000,0)*SUMIFS('Regional split'!$F$4:$F$6,'Regional split'!$B$4:$B$6,AA$3)*SUMIFS('Data manipulation'!$V$39:$V$42,'Data manipulation'!$X$39:$X$42,$E75,'Data manipulation'!$Y$39:$Y$42,$D75)</f>
        <v>0</v>
      </c>
      <c r="AB75" s="443">
        <f t="shared" si="66"/>
        <v>3.9184327000000005E-2</v>
      </c>
      <c r="AC75" s="251">
        <f t="shared" si="67"/>
        <v>0</v>
      </c>
      <c r="AD75" s="444">
        <f t="shared" si="68"/>
        <v>0</v>
      </c>
      <c r="AE75" s="262"/>
      <c r="AU75" s="260"/>
      <c r="AZ75" s="252"/>
    </row>
    <row r="76" spans="2:52" ht="15" customHeight="1">
      <c r="B76" s="233" t="str">
        <f t="shared" ref="B76:C85" si="84">B35</f>
        <v>CHTUMELCHE1</v>
      </c>
      <c r="C76" s="233" t="str">
        <f t="shared" si="84"/>
        <v>Commercial Heating Technology Urban Multi - Electricity Heating - Existing 1</v>
      </c>
      <c r="D76" s="233" t="str">
        <f t="shared" ref="D76:E76" si="85">D35</f>
        <v>Urban</v>
      </c>
      <c r="E76" s="233" t="str">
        <f t="shared" si="85"/>
        <v>Multi storey</v>
      </c>
      <c r="F76" s="233" t="str">
        <f t="shared" ref="F76:G76" si="86">F35</f>
        <v>COMELCH</v>
      </c>
      <c r="G76" s="233" t="str">
        <f t="shared" si="86"/>
        <v>COMHUMB</v>
      </c>
      <c r="H76" s="230">
        <v>2015</v>
      </c>
      <c r="I76" s="250">
        <f t="shared" si="71"/>
        <v>1275.3</v>
      </c>
      <c r="J76" s="250">
        <f t="shared" si="72"/>
        <v>0</v>
      </c>
      <c r="K76" s="250">
        <f t="shared" si="73"/>
        <v>0</v>
      </c>
      <c r="L76" s="460">
        <v>1</v>
      </c>
      <c r="M76" s="460">
        <v>1</v>
      </c>
      <c r="N76" s="460">
        <v>1</v>
      </c>
      <c r="O76" s="244">
        <f t="shared" si="76"/>
        <v>3.1536000000000002E-2</v>
      </c>
      <c r="P76" s="458">
        <v>0.2</v>
      </c>
      <c r="Q76" s="245">
        <v>30</v>
      </c>
      <c r="R76" s="227">
        <v>1.0900000000000001</v>
      </c>
      <c r="T76" s="268">
        <f t="shared" si="83"/>
        <v>8.0435721600000019</v>
      </c>
      <c r="U76" s="268"/>
      <c r="V76" s="589" t="str">
        <f>'Data manipulation'!$B$33</f>
        <v>Electricity</v>
      </c>
      <c r="W76" s="254" t="s">
        <v>169</v>
      </c>
      <c r="X76" s="246">
        <v>2015</v>
      </c>
      <c r="Y76" s="432">
        <f>_xlfn.IFNA(INDEX('Data manipulation'!$C$23:$O$39,MATCH($V76,'Data manipulation'!$B$23:$B$39,0),MATCH($X76,'Data manipulation'!$C$22:$O$22,0))/1000,0)*SUMIFS('Regional split'!$F$4:$F$6,'Regional split'!$B$4:$B$6,Y$3)*SUMIFS('Data manipulation'!$V$39:$V$42,'Data manipulation'!$X$39:$X$42,$E76,'Data manipulation'!$Y$39:$Y$42,$D76)</f>
        <v>7.3792716614937817</v>
      </c>
      <c r="Z76" s="270">
        <f>_xlfn.IFNA(INDEX('Data manipulation'!$C$23:$O$39,MATCH($V76,'Data manipulation'!$B$23:$B$39,0),MATCH($X76,'Data manipulation'!$C$22:$O$22,0))/1000,0)*SUMIFS('Regional split'!$F$4:$F$6,'Regional split'!$B$4:$B$6,Z$3)*SUMIFS('Data manipulation'!$V$39:$V$42,'Data manipulation'!$X$39:$X$42,$E76,'Data manipulation'!$Y$39:$Y$42,$D76)</f>
        <v>0</v>
      </c>
      <c r="AA76" s="454">
        <f>_xlfn.IFNA(INDEX('Data manipulation'!$C$23:$O$39,MATCH($V76,'Data manipulation'!$B$23:$B$39,0),MATCH($X76,'Data manipulation'!$C$22:$O$22,0))/1000,0)*SUMIFS('Regional split'!$F$4:$F$6,'Regional split'!$B$4:$B$6,AA$3)*SUMIFS('Data manipulation'!$V$39:$V$42,'Data manipulation'!$X$39:$X$42,$E76,'Data manipulation'!$Y$39:$Y$42,$D76)</f>
        <v>0</v>
      </c>
      <c r="AB76" s="443">
        <f t="shared" si="66"/>
        <v>7.3792716614937817</v>
      </c>
      <c r="AC76" s="251">
        <f t="shared" si="67"/>
        <v>0</v>
      </c>
      <c r="AD76" s="444">
        <f t="shared" si="68"/>
        <v>0</v>
      </c>
      <c r="AU76" s="260"/>
      <c r="AZ76" s="252"/>
    </row>
    <row r="77" spans="2:52" ht="15" customHeight="1">
      <c r="B77" s="233" t="str">
        <f t="shared" si="84"/>
        <v>CHTUMELCHE2</v>
      </c>
      <c r="C77" s="233" t="str">
        <f t="shared" si="84"/>
        <v>Commercial Heating Technology Urban Multi - Electricity Heating - Existing 2</v>
      </c>
      <c r="D77" s="233" t="str">
        <f t="shared" ref="D77:E77" si="87">D36</f>
        <v>Urban</v>
      </c>
      <c r="E77" s="233" t="str">
        <f t="shared" si="87"/>
        <v>Multi storey</v>
      </c>
      <c r="F77" s="233" t="str">
        <f t="shared" ref="F77:G77" si="88">F36</f>
        <v>COMELCH</v>
      </c>
      <c r="G77" s="233" t="str">
        <f t="shared" si="88"/>
        <v>COMHUMB</v>
      </c>
      <c r="H77" s="230">
        <v>2015</v>
      </c>
      <c r="I77" s="250">
        <f t="shared" si="71"/>
        <v>220.9</v>
      </c>
      <c r="J77" s="250">
        <f t="shared" si="72"/>
        <v>0</v>
      </c>
      <c r="K77" s="250">
        <f t="shared" si="73"/>
        <v>0</v>
      </c>
      <c r="L77" s="460">
        <v>2.3149999999999999</v>
      </c>
      <c r="M77" s="460">
        <v>2.3149999999999999</v>
      </c>
      <c r="N77" s="460">
        <v>2.3149999999999999</v>
      </c>
      <c r="O77" s="244">
        <f t="shared" si="76"/>
        <v>3.1536000000000002E-2</v>
      </c>
      <c r="P77" s="458">
        <v>0.2</v>
      </c>
      <c r="Q77" s="245">
        <v>30</v>
      </c>
      <c r="R77" s="227">
        <v>1.0900000000000001</v>
      </c>
      <c r="T77" s="268">
        <f t="shared" si="83"/>
        <v>0.60184038012958985</v>
      </c>
      <c r="U77" s="268"/>
      <c r="V77" s="589" t="str">
        <f>'Data manipulation'!$B$30</f>
        <v>Ambient heat (heat pumps)</v>
      </c>
      <c r="W77" s="254" t="s">
        <v>170</v>
      </c>
      <c r="X77" s="246">
        <v>2015</v>
      </c>
      <c r="Y77" s="432">
        <f>_xlfn.IFNA(INDEX('Data manipulation'!$C$23:$O$39,MATCH($V77,'Data manipulation'!$B$23:$B$39,0),MATCH($X77,'Data manipulation'!$C$22:$O$22,0))/1000,0)*SUMIFS('Regional split'!$F$4:$F$6,'Regional split'!$B$4:$B$6,Y$3)*SUMIFS('Data manipulation'!$V$39:$V$42,'Data manipulation'!$X$39:$X$42,$E77,'Data manipulation'!$Y$39:$Y$42,$D77)</f>
        <v>0.55203511999999999</v>
      </c>
      <c r="Z77" s="270">
        <f>_xlfn.IFNA(INDEX('Data manipulation'!$C$23:$O$39,MATCH($V77,'Data manipulation'!$B$23:$B$39,0),MATCH($X77,'Data manipulation'!$C$22:$O$22,0))/1000,0)*SUMIFS('Regional split'!$F$4:$F$6,'Regional split'!$B$4:$B$6,Z$3)*SUMIFS('Data manipulation'!$V$39:$V$42,'Data manipulation'!$X$39:$X$42,$E77,'Data manipulation'!$Y$39:$Y$42,$D77)</f>
        <v>0</v>
      </c>
      <c r="AA77" s="454">
        <f>_xlfn.IFNA(INDEX('Data manipulation'!$C$23:$O$39,MATCH($V77,'Data manipulation'!$B$23:$B$39,0),MATCH($X77,'Data manipulation'!$C$22:$O$22,0))/1000,0)*SUMIFS('Regional split'!$F$4:$F$6,'Regional split'!$B$4:$B$6,AA$3)*SUMIFS('Data manipulation'!$V$39:$V$42,'Data manipulation'!$X$39:$X$42,$E77,'Data manipulation'!$Y$39:$Y$42,$D77)</f>
        <v>0</v>
      </c>
      <c r="AB77" s="443">
        <f t="shared" si="66"/>
        <v>1.2779613027999999</v>
      </c>
      <c r="AC77" s="251">
        <f t="shared" si="67"/>
        <v>0</v>
      </c>
      <c r="AD77" s="444">
        <f t="shared" si="68"/>
        <v>0</v>
      </c>
      <c r="AU77" s="260"/>
      <c r="AZ77" s="252"/>
    </row>
    <row r="78" spans="2:52" ht="15" customHeight="1">
      <c r="B78" s="233" t="str">
        <f t="shared" si="84"/>
        <v>CHTUMHCEE1</v>
      </c>
      <c r="C78" s="233" t="str">
        <f t="shared" si="84"/>
        <v>Commercial Heating Technology Urban Multi - District heating Central - Existing 1</v>
      </c>
      <c r="D78" s="233" t="str">
        <f t="shared" ref="D78:E78" si="89">D37</f>
        <v>Urban</v>
      </c>
      <c r="E78" s="233" t="str">
        <f t="shared" si="89"/>
        <v>Multi storey</v>
      </c>
      <c r="F78" s="233" t="str">
        <f t="shared" ref="F78:G78" si="90">F37</f>
        <v>COMHCE</v>
      </c>
      <c r="G78" s="233" t="str">
        <f t="shared" si="90"/>
        <v>COMHUMX</v>
      </c>
      <c r="H78" s="230">
        <v>2015</v>
      </c>
      <c r="I78" s="250">
        <f t="shared" si="71"/>
        <v>2056</v>
      </c>
      <c r="J78" s="565">
        <v>0</v>
      </c>
      <c r="K78" s="565">
        <v>0</v>
      </c>
      <c r="L78" s="460">
        <v>0.95</v>
      </c>
      <c r="M78" s="460">
        <v>0.95</v>
      </c>
      <c r="N78" s="460">
        <v>0.95</v>
      </c>
      <c r="O78" s="244">
        <f t="shared" si="76"/>
        <v>3.1536000000000002E-2</v>
      </c>
      <c r="P78" s="458">
        <v>0.2</v>
      </c>
      <c r="Q78" s="245">
        <v>30</v>
      </c>
      <c r="R78" s="227">
        <v>1.05</v>
      </c>
      <c r="T78" s="268">
        <f t="shared" si="83"/>
        <v>13.650108631578947</v>
      </c>
      <c r="U78" s="268"/>
      <c r="V78" s="589" t="str">
        <f>'Data manipulation'!$B$34</f>
        <v>Heat</v>
      </c>
      <c r="W78" s="254" t="s">
        <v>171</v>
      </c>
      <c r="X78" s="246">
        <v>2015</v>
      </c>
      <c r="Y78" s="432">
        <f>_xlfn.IFNA(INDEX('Data manipulation'!$C$23:$O$39,MATCH($V78,'Data manipulation'!$B$23:$B$39,0),MATCH($X78,'Data manipulation'!$C$22:$O$22,0))/1000,0)*SUMIFS('Regional split'!$F$4:$F$6,'Regional split'!$B$4:$B$6,Y$3)*SUMIFS('Data manipulation'!$V$39:$V$42,'Data manipulation'!$X$39:$X$42,$E78,'Data manipulation'!$Y$39:$Y$42,$D78)</f>
        <v>12.999732487850025</v>
      </c>
      <c r="Z78" s="270">
        <f>_xlfn.IFNA(INDEX('Data manipulation'!$C$23:$O$39,MATCH($V78,'Data manipulation'!$B$23:$B$39,0),MATCH($X78,'Data manipulation'!$C$22:$O$22,0))/1000,0)*SUMIFS('Regional split'!$F$4:$F$6,'Regional split'!$B$4:$B$6,Z$3)*SUMIFS('Data manipulation'!$V$39:$V$42,'Data manipulation'!$X$39:$X$42,$E78,'Data manipulation'!$Y$39:$Y$42,$D78)</f>
        <v>0</v>
      </c>
      <c r="AA78" s="454">
        <f>_xlfn.IFNA(INDEX('Data manipulation'!$C$23:$O$39,MATCH($V78,'Data manipulation'!$B$23:$B$39,0),MATCH($X78,'Data manipulation'!$C$22:$O$22,0))/1000,0)*SUMIFS('Regional split'!$F$4:$F$6,'Regional split'!$B$4:$B$6,AA$3)*SUMIFS('Data manipulation'!$V$39:$V$42,'Data manipulation'!$X$39:$X$42,$E78,'Data manipulation'!$Y$39:$Y$42,$D78)</f>
        <v>0</v>
      </c>
      <c r="AB78" s="443">
        <f t="shared" si="66"/>
        <v>12.349745863457523</v>
      </c>
      <c r="AC78" s="251">
        <f t="shared" si="67"/>
        <v>0</v>
      </c>
      <c r="AD78" s="444">
        <f t="shared" si="68"/>
        <v>0</v>
      </c>
      <c r="AU78" s="260"/>
      <c r="AZ78" s="252"/>
    </row>
    <row r="79" spans="2:52" ht="15" customHeight="1" thickBot="1">
      <c r="B79" s="255" t="str">
        <f t="shared" si="84"/>
        <v>CHTUMLPGE1</v>
      </c>
      <c r="C79" s="255" t="str">
        <f t="shared" si="84"/>
        <v>Commercial Heating Technology Urban Multi - LPG - Existing 1</v>
      </c>
      <c r="D79" s="528" t="str">
        <f t="shared" ref="D79:E79" si="91">D38</f>
        <v>Urban</v>
      </c>
      <c r="E79" s="528" t="str">
        <f t="shared" si="91"/>
        <v>Multi storey</v>
      </c>
      <c r="F79" s="255" t="str">
        <f t="shared" ref="F79:G79" si="92">F38</f>
        <v>COMLPG</v>
      </c>
      <c r="G79" s="255" t="str">
        <f t="shared" si="92"/>
        <v>COMHUMB</v>
      </c>
      <c r="H79" s="422">
        <v>2015</v>
      </c>
      <c r="I79" s="297">
        <f t="shared" ref="I79" si="93">ROUNDUP(AB79/($O79*$P79)*$R79,1)</f>
        <v>483.20000000000005</v>
      </c>
      <c r="J79" s="297">
        <f t="shared" ref="J79" si="94">ROUNDUP(AC79/($O79*$P79)*$R79,1)</f>
        <v>0</v>
      </c>
      <c r="K79" s="297">
        <f t="shared" ref="K79" si="95">ROUNDUP(AD79/($O79*$P79)*$R79,1)</f>
        <v>0</v>
      </c>
      <c r="L79" s="461">
        <v>0.95</v>
      </c>
      <c r="M79" s="461">
        <v>0.95</v>
      </c>
      <c r="N79" s="461">
        <v>0.95</v>
      </c>
      <c r="O79" s="257">
        <f t="shared" si="76"/>
        <v>3.1536000000000002E-2</v>
      </c>
      <c r="P79" s="458">
        <v>0.2</v>
      </c>
      <c r="Q79" s="258">
        <v>30</v>
      </c>
      <c r="R79" s="227">
        <v>1.0900000000000001</v>
      </c>
      <c r="T79" s="268">
        <f t="shared" si="83"/>
        <v>3.2080410947368425</v>
      </c>
      <c r="U79" s="268"/>
      <c r="V79" s="590" t="str">
        <f>'Data manipulation'!$B$25</f>
        <v>Liquefied petroleum gas</v>
      </c>
      <c r="W79" s="427" t="s">
        <v>759</v>
      </c>
      <c r="X79" s="246">
        <v>2015</v>
      </c>
      <c r="Y79" s="433">
        <f>_xlfn.IFNA(INDEX('Data manipulation'!$C$23:$O$39,MATCH($V79,'Data manipulation'!$B$23:$B$39,0),MATCH($X79,'Data manipulation'!$C$22:$O$22,0))/1000,0)*SUMIFS('Regional split'!$F$4:$F$6,'Regional split'!$B$4:$B$6,Y$3)*SUMIFS('Data manipulation'!$V$39:$V$42,'Data manipulation'!$X$39:$X$42,$E79,'Data manipulation'!$Y$39:$Y$42,$D79)</f>
        <v>2.9429404311326119</v>
      </c>
      <c r="Z79" s="430">
        <f>_xlfn.IFNA(INDEX('Data manipulation'!$C$23:$O$39,MATCH($V79,'Data manipulation'!$B$23:$B$39,0),MATCH($X79,'Data manipulation'!$C$22:$O$22,0))/1000,0)*SUMIFS('Regional split'!$F$4:$F$6,'Regional split'!$B$4:$B$6,Z$3)*SUMIFS('Data manipulation'!$V$39:$V$42,'Data manipulation'!$X$39:$X$42,$E79,'Data manipulation'!$Y$39:$Y$42,$D79)</f>
        <v>0</v>
      </c>
      <c r="AA79" s="455">
        <f>_xlfn.IFNA(INDEX('Data manipulation'!$C$23:$O$39,MATCH($V79,'Data manipulation'!$B$23:$B$39,0),MATCH($X79,'Data manipulation'!$C$22:$O$22,0))/1000,0)*SUMIFS('Regional split'!$F$4:$F$6,'Regional split'!$B$4:$B$6,AA$3)*SUMIFS('Data manipulation'!$V$39:$V$42,'Data manipulation'!$X$39:$X$42,$E79,'Data manipulation'!$Y$39:$Y$42,$D79)</f>
        <v>0</v>
      </c>
      <c r="AB79" s="450">
        <f t="shared" si="66"/>
        <v>2.7957934095759813</v>
      </c>
      <c r="AC79" s="277">
        <f t="shared" si="67"/>
        <v>0</v>
      </c>
      <c r="AD79" s="446">
        <f t="shared" si="68"/>
        <v>0</v>
      </c>
      <c r="AU79" s="260"/>
      <c r="AZ79" s="252"/>
    </row>
    <row r="80" spans="2:52" ht="15" customHeight="1">
      <c r="B80" s="233" t="str">
        <f t="shared" si="84"/>
        <v>CHTRMNGAE1</v>
      </c>
      <c r="C80" s="233" t="str">
        <f t="shared" si="84"/>
        <v>Commercial Heating Technology Rural Multi - Natural Gas - Existing 1</v>
      </c>
      <c r="D80" s="233" t="str">
        <f t="shared" ref="D80:E80" si="96">D39</f>
        <v>Rural</v>
      </c>
      <c r="E80" s="233" t="str">
        <f t="shared" si="96"/>
        <v>Multi storey</v>
      </c>
      <c r="F80" s="233" t="str">
        <f t="shared" ref="F80:G80" si="97">F39</f>
        <v>COMNGA,COMSNG</v>
      </c>
      <c r="G80" s="233" t="str">
        <f t="shared" si="97"/>
        <v>COMHRMB</v>
      </c>
      <c r="H80" s="259">
        <v>2015</v>
      </c>
      <c r="I80" s="250">
        <f>ROUNDUP(AB80/($O80*$P80)*$R80,1)</f>
        <v>630.1</v>
      </c>
      <c r="J80" s="250">
        <f>ROUNDUP(AC80/($O80*$P80)*$R80,1)</f>
        <v>0</v>
      </c>
      <c r="K80" s="250">
        <f>ROUNDUP(AD80/($O80*$P80)*$R80,1)</f>
        <v>0</v>
      </c>
      <c r="L80" s="460">
        <v>0.79</v>
      </c>
      <c r="M80" s="460">
        <v>0.79</v>
      </c>
      <c r="N80" s="460">
        <v>0.79</v>
      </c>
      <c r="O80" s="244">
        <f t="shared" si="76"/>
        <v>3.1536000000000002E-2</v>
      </c>
      <c r="P80" s="458">
        <v>0.2</v>
      </c>
      <c r="Q80" s="245">
        <v>25</v>
      </c>
      <c r="R80" s="227">
        <v>1.0900000000000001</v>
      </c>
      <c r="T80" s="268">
        <f t="shared" si="83"/>
        <v>5.0305907848101272</v>
      </c>
      <c r="U80" s="268"/>
      <c r="V80" s="589" t="str">
        <f>'Data manipulation'!$B$36</f>
        <v>Natural gas and biogas</v>
      </c>
      <c r="W80" s="246" t="s">
        <v>167</v>
      </c>
      <c r="X80" s="246">
        <v>2015</v>
      </c>
      <c r="Y80" s="432">
        <f>_xlfn.IFNA(INDEX('Data manipulation'!$C$23:$O$39,MATCH($V80,'Data manipulation'!$B$23:$B$39,0),MATCH($X80,'Data manipulation'!$C$22:$O$22,0))/1000,0)*SUMIFS('Regional split'!$F$4:$F$6,'Regional split'!$B$4:$B$6,Y$3)*SUMIFS('Data manipulation'!$V$39:$V$42,'Data manipulation'!$X$39:$X$42,$E80,'Data manipulation'!$Y$39:$Y$42,$D80)</f>
        <v>4.6151779003629159</v>
      </c>
      <c r="Z80" s="270">
        <f>_xlfn.IFNA(INDEX('Data manipulation'!$C$23:$O$39,MATCH($V80,'Data manipulation'!$B$23:$B$39,0),MATCH($X80,'Data manipulation'!$C$22:$O$22,0))/1000,0)*SUMIFS('Regional split'!$F$4:$F$6,'Regional split'!$B$4:$B$6,Z$3)*SUMIFS('Data manipulation'!$V$39:$V$42,'Data manipulation'!$X$39:$X$42,$E80,'Data manipulation'!$Y$39:$Y$42,$D80)</f>
        <v>0</v>
      </c>
      <c r="AA80" s="454">
        <f>_xlfn.IFNA(INDEX('Data manipulation'!$C$23:$O$39,MATCH($V80,'Data manipulation'!$B$23:$B$39,0),MATCH($X80,'Data manipulation'!$C$22:$O$22,0))/1000,0)*SUMIFS('Regional split'!$F$4:$F$6,'Regional split'!$B$4:$B$6,AA$3)*SUMIFS('Data manipulation'!$V$39:$V$42,'Data manipulation'!$X$39:$X$42,$E80,'Data manipulation'!$Y$39:$Y$42,$D80)</f>
        <v>0</v>
      </c>
      <c r="AB80" s="451">
        <f t="shared" si="66"/>
        <v>3.6459905412867037</v>
      </c>
      <c r="AC80" s="278">
        <f t="shared" si="67"/>
        <v>0</v>
      </c>
      <c r="AD80" s="447">
        <f t="shared" si="68"/>
        <v>0</v>
      </c>
      <c r="AU80" s="260"/>
      <c r="AZ80" s="252"/>
    </row>
    <row r="81" spans="2:52" ht="15" customHeight="1">
      <c r="B81" s="233" t="str">
        <f t="shared" si="84"/>
        <v>CHTRMDSLE1</v>
      </c>
      <c r="C81" s="233" t="str">
        <f t="shared" si="84"/>
        <v>Commercial Heating Technology Rural Multi - Diesel - Existing 1</v>
      </c>
      <c r="D81" s="233" t="str">
        <f t="shared" ref="D81:E81" si="98">D40</f>
        <v>Rural</v>
      </c>
      <c r="E81" s="233" t="str">
        <f t="shared" si="98"/>
        <v>Multi storey</v>
      </c>
      <c r="F81" s="233" t="str">
        <f t="shared" ref="F81:G81" si="99">F40</f>
        <v>COMDSL,COMDSB</v>
      </c>
      <c r="G81" s="233" t="str">
        <f t="shared" si="99"/>
        <v>COMHRMB</v>
      </c>
      <c r="H81" s="259">
        <v>2015</v>
      </c>
      <c r="I81" s="250">
        <f t="shared" ref="I81:I87" si="100">ROUNDUP(AB81/($O81*$P81)*$R81,1)</f>
        <v>465.3</v>
      </c>
      <c r="J81" s="250">
        <f t="shared" ref="J81:J87" si="101">ROUNDUP(AC81/($O81*$P81)*$R81,1)</f>
        <v>0</v>
      </c>
      <c r="K81" s="250">
        <f t="shared" ref="K81:K87" si="102">ROUNDUP(AD81/($O81*$P81)*$R81,1)</f>
        <v>0</v>
      </c>
      <c r="L81" s="460">
        <v>0.79</v>
      </c>
      <c r="M81" s="460">
        <v>0.79</v>
      </c>
      <c r="N81" s="460">
        <v>0.79</v>
      </c>
      <c r="O81" s="244">
        <f t="shared" si="76"/>
        <v>3.1536000000000002E-2</v>
      </c>
      <c r="P81" s="458">
        <v>0.2</v>
      </c>
      <c r="Q81" s="245">
        <v>20</v>
      </c>
      <c r="R81" s="227">
        <v>1.0900000000000001</v>
      </c>
      <c r="T81" s="268">
        <f t="shared" si="83"/>
        <v>3.714860962025317</v>
      </c>
      <c r="V81" s="589" t="str">
        <f>'Data manipulation'!$B$28</f>
        <v>Gas oil and diesel oil and biodiesel</v>
      </c>
      <c r="W81" s="254" t="s">
        <v>718</v>
      </c>
      <c r="X81" s="246">
        <v>2015</v>
      </c>
      <c r="Y81" s="432">
        <f>_xlfn.IFNA(INDEX('Data manipulation'!$C$23:$O$39,MATCH($V81,'Data manipulation'!$B$23:$B$39,0),MATCH($X81,'Data manipulation'!$C$22:$O$22,0))/1000,0)*SUMIFS('Regional split'!$F$4:$F$6,'Regional split'!$B$4:$B$6,Y$3)*SUMIFS('Data manipulation'!$V$39:$V$42,'Data manipulation'!$X$39:$X$42,$E81,'Data manipulation'!$Y$39:$Y$42,$D81)</f>
        <v>3.4074717583348422</v>
      </c>
      <c r="Z81" s="270">
        <f>_xlfn.IFNA(INDEX('Data manipulation'!$C$23:$O$39,MATCH($V81,'Data manipulation'!$B$23:$B$39,0),MATCH($X81,'Data manipulation'!$C$22:$O$22,0))/1000,0)*SUMIFS('Regional split'!$F$4:$F$6,'Regional split'!$B$4:$B$6,Z$3)*SUMIFS('Data manipulation'!$V$39:$V$42,'Data manipulation'!$X$39:$X$42,$E81,'Data manipulation'!$Y$39:$Y$42,$D81)</f>
        <v>0</v>
      </c>
      <c r="AA81" s="454">
        <f>_xlfn.IFNA(INDEX('Data manipulation'!$C$23:$O$39,MATCH($V81,'Data manipulation'!$B$23:$B$39,0),MATCH($X81,'Data manipulation'!$C$22:$O$22,0))/1000,0)*SUMIFS('Regional split'!$F$4:$F$6,'Regional split'!$B$4:$B$6,AA$3)*SUMIFS('Data manipulation'!$V$39:$V$42,'Data manipulation'!$X$39:$X$42,$E81,'Data manipulation'!$Y$39:$Y$42,$D81)</f>
        <v>0</v>
      </c>
      <c r="AB81" s="443">
        <f t="shared" si="66"/>
        <v>2.6919026890845252</v>
      </c>
      <c r="AC81" s="251">
        <f t="shared" si="67"/>
        <v>0</v>
      </c>
      <c r="AD81" s="444">
        <f t="shared" si="68"/>
        <v>0</v>
      </c>
      <c r="AU81" s="260"/>
      <c r="AZ81" s="252"/>
    </row>
    <row r="82" spans="2:52" ht="15" customHeight="1">
      <c r="B82" s="233" t="str">
        <f t="shared" si="84"/>
        <v>CHTRMWPEE1</v>
      </c>
      <c r="C82" s="233" t="str">
        <f t="shared" si="84"/>
        <v>Commercial Heating Technology Rural Multi - Wood pellets - Existing 1</v>
      </c>
      <c r="D82" s="233" t="str">
        <f t="shared" ref="D82:E82" si="103">D41</f>
        <v>Rural</v>
      </c>
      <c r="E82" s="233" t="str">
        <f t="shared" si="103"/>
        <v>Multi storey</v>
      </c>
      <c r="F82" s="233" t="str">
        <f t="shared" ref="F82:G82" si="104">F41</f>
        <v>COMWPE</v>
      </c>
      <c r="G82" s="233" t="str">
        <f t="shared" si="104"/>
        <v>COMHRMB</v>
      </c>
      <c r="H82" s="259">
        <v>2015</v>
      </c>
      <c r="I82" s="250">
        <f t="shared" si="100"/>
        <v>0</v>
      </c>
      <c r="J82" s="250">
        <f t="shared" si="101"/>
        <v>0</v>
      </c>
      <c r="K82" s="250">
        <f t="shared" si="102"/>
        <v>0</v>
      </c>
      <c r="L82" s="460">
        <v>0.67</v>
      </c>
      <c r="M82" s="460">
        <v>0.67</v>
      </c>
      <c r="N82" s="460">
        <v>0.67</v>
      </c>
      <c r="O82" s="244">
        <f>31.536/1000</f>
        <v>3.1536000000000002E-2</v>
      </c>
      <c r="P82" s="458">
        <v>0.2</v>
      </c>
      <c r="Q82" s="245">
        <v>20</v>
      </c>
      <c r="R82" s="227">
        <v>1.0900000000000001</v>
      </c>
      <c r="T82" s="268">
        <f t="shared" si="83"/>
        <v>0</v>
      </c>
      <c r="U82" s="268"/>
      <c r="W82" s="254" t="s">
        <v>849</v>
      </c>
      <c r="X82" s="246">
        <v>2015</v>
      </c>
      <c r="Y82" s="432">
        <f>_xlfn.IFNA(INDEX('Data manipulation'!$C$23:$O$39,MATCH($V82,'Data manipulation'!$B$23:$B$39,0),MATCH($X82,'Data manipulation'!$C$22:$O$22,0))/1000,0)*SUMIFS('Regional split'!$F$4:$F$6,'Regional split'!$B$4:$B$6,Y$3)*SUMIFS('Data manipulation'!$V$39:$V$42,'Data manipulation'!$X$39:$X$42,$E82,'Data manipulation'!$Y$39:$Y$42,$D82)</f>
        <v>0</v>
      </c>
      <c r="Z82" s="270">
        <f>_xlfn.IFNA(INDEX('Data manipulation'!$C$23:$O$39,MATCH($V82,'Data manipulation'!$B$23:$B$39,0),MATCH($X82,'Data manipulation'!$C$22:$O$22,0))/1000,0)*SUMIFS('Regional split'!$F$4:$F$6,'Regional split'!$B$4:$B$6,Z$3)*SUMIFS('Data manipulation'!$V$39:$V$42,'Data manipulation'!$X$39:$X$42,$E82,'Data manipulation'!$Y$39:$Y$42,$D82)</f>
        <v>0</v>
      </c>
      <c r="AA82" s="454">
        <f>_xlfn.IFNA(INDEX('Data manipulation'!$C$23:$O$39,MATCH($V82,'Data manipulation'!$B$23:$B$39,0),MATCH($X82,'Data manipulation'!$C$22:$O$22,0))/1000,0)*SUMIFS('Regional split'!$F$4:$F$6,'Regional split'!$B$4:$B$6,AA$3)*SUMIFS('Data manipulation'!$V$39:$V$42,'Data manipulation'!$X$39:$X$42,$E82,'Data manipulation'!$Y$39:$Y$42,$D82)</f>
        <v>0</v>
      </c>
      <c r="AB82" s="443">
        <f t="shared" si="66"/>
        <v>0</v>
      </c>
      <c r="AC82" s="251">
        <f t="shared" si="67"/>
        <v>0</v>
      </c>
      <c r="AD82" s="444">
        <f t="shared" si="68"/>
        <v>0</v>
      </c>
      <c r="AU82" s="260"/>
      <c r="AZ82" s="252"/>
    </row>
    <row r="83" spans="2:52" ht="15" customHeight="1">
      <c r="B83" s="233" t="str">
        <f t="shared" si="84"/>
        <v>CHTRMFIWE1</v>
      </c>
      <c r="C83" s="233" t="str">
        <f t="shared" si="84"/>
        <v>Commercial Heating Technology Rural Multi - Fire wood - Existing 1</v>
      </c>
      <c r="D83" s="233" t="str">
        <f t="shared" ref="D83:E83" si="105">D42</f>
        <v>Rural</v>
      </c>
      <c r="E83" s="233" t="str">
        <f t="shared" si="105"/>
        <v>Multi storey</v>
      </c>
      <c r="F83" s="233" t="str">
        <f t="shared" ref="F83:G83" si="106">F42</f>
        <v>COMFIW</v>
      </c>
      <c r="G83" s="233" t="str">
        <f t="shared" si="106"/>
        <v>COMHRMB</v>
      </c>
      <c r="H83" s="259">
        <v>2015</v>
      </c>
      <c r="I83" s="250">
        <f t="shared" si="100"/>
        <v>77.899999999999991</v>
      </c>
      <c r="J83" s="250">
        <f t="shared" si="101"/>
        <v>0</v>
      </c>
      <c r="K83" s="250">
        <f t="shared" si="102"/>
        <v>0</v>
      </c>
      <c r="L83" s="460">
        <v>0.67</v>
      </c>
      <c r="M83" s="460">
        <v>0.67</v>
      </c>
      <c r="N83" s="460">
        <v>0.67</v>
      </c>
      <c r="O83" s="244">
        <f>31.536/1000</f>
        <v>3.1536000000000002E-2</v>
      </c>
      <c r="P83" s="458">
        <v>0.2</v>
      </c>
      <c r="Q83" s="245">
        <v>20</v>
      </c>
      <c r="R83" s="227">
        <v>1.0900000000000001</v>
      </c>
      <c r="T83" s="268">
        <f t="shared" si="83"/>
        <v>0.73332967164179097</v>
      </c>
      <c r="U83" s="268"/>
      <c r="V83" s="589" t="str">
        <f>'Data manipulation'!$B$31</f>
        <v>Primary solid biofuels</v>
      </c>
      <c r="W83" s="254" t="s">
        <v>176</v>
      </c>
      <c r="X83" s="246">
        <v>2015</v>
      </c>
      <c r="Y83" s="432">
        <f>_xlfn.IFNA(INDEX('Data manipulation'!$C$23:$O$39,MATCH($V83,'Data manipulation'!$B$23:$B$39,0),MATCH($X83,'Data manipulation'!$C$22:$O$22,0))/1000,0)*SUMIFS('Regional split'!$F$4:$F$6,'Regional split'!$B$4:$B$6,Y$3)*SUMIFS('Data manipulation'!$V$39:$V$42,'Data manipulation'!$X$39:$X$42,$E83,'Data manipulation'!$Y$39:$Y$42,$D83)</f>
        <v>0.67254345696977202</v>
      </c>
      <c r="Z83" s="270">
        <f>_xlfn.IFNA(INDEX('Data manipulation'!$C$23:$O$39,MATCH($V83,'Data manipulation'!$B$23:$B$39,0),MATCH($X83,'Data manipulation'!$C$22:$O$22,0))/1000,0)*SUMIFS('Regional split'!$F$4:$F$6,'Regional split'!$B$4:$B$6,Z$3)*SUMIFS('Data manipulation'!$V$39:$V$42,'Data manipulation'!$X$39:$X$42,$E83,'Data manipulation'!$Y$39:$Y$42,$D83)</f>
        <v>0</v>
      </c>
      <c r="AA83" s="454">
        <f>_xlfn.IFNA(INDEX('Data manipulation'!$C$23:$O$39,MATCH($V83,'Data manipulation'!$B$23:$B$39,0),MATCH($X83,'Data manipulation'!$C$22:$O$22,0))/1000,0)*SUMIFS('Regional split'!$F$4:$F$6,'Regional split'!$B$4:$B$6,AA$3)*SUMIFS('Data manipulation'!$V$39:$V$42,'Data manipulation'!$X$39:$X$42,$E83,'Data manipulation'!$Y$39:$Y$42,$D83)</f>
        <v>0</v>
      </c>
      <c r="AB83" s="443">
        <f t="shared" si="66"/>
        <v>0.45060411616974727</v>
      </c>
      <c r="AC83" s="251">
        <f t="shared" si="67"/>
        <v>0</v>
      </c>
      <c r="AD83" s="444">
        <f t="shared" si="68"/>
        <v>0</v>
      </c>
      <c r="AU83" s="260"/>
      <c r="AZ83" s="252"/>
    </row>
    <row r="84" spans="2:52" ht="15" customHeight="1">
      <c r="B84" s="233" t="str">
        <f t="shared" si="84"/>
        <v>CHTRMCOAE1</v>
      </c>
      <c r="C84" s="233" t="str">
        <f t="shared" si="84"/>
        <v>Commercial Heating Technology Rural Multi - Coal - Existing 1</v>
      </c>
      <c r="D84" s="233" t="str">
        <f t="shared" ref="D84:E84" si="107">D43</f>
        <v>Rural</v>
      </c>
      <c r="E84" s="233" t="str">
        <f t="shared" si="107"/>
        <v>Multi storey</v>
      </c>
      <c r="F84" s="233" t="str">
        <f t="shared" ref="F84:G84" si="108">F43</f>
        <v>COMCOA</v>
      </c>
      <c r="G84" s="233" t="str">
        <f t="shared" si="108"/>
        <v>COMHRMB</v>
      </c>
      <c r="H84" s="259">
        <v>2015</v>
      </c>
      <c r="I84" s="250">
        <f t="shared" si="100"/>
        <v>13.5</v>
      </c>
      <c r="J84" s="250">
        <f t="shared" si="101"/>
        <v>0</v>
      </c>
      <c r="K84" s="250">
        <f t="shared" si="102"/>
        <v>0</v>
      </c>
      <c r="L84" s="460">
        <v>0.72</v>
      </c>
      <c r="M84" s="460">
        <v>0.72</v>
      </c>
      <c r="N84" s="460">
        <v>0.72</v>
      </c>
      <c r="O84" s="244">
        <f t="shared" si="76"/>
        <v>3.1536000000000002E-2</v>
      </c>
      <c r="P84" s="458">
        <v>0.2</v>
      </c>
      <c r="Q84" s="245">
        <v>20</v>
      </c>
      <c r="R84" s="227">
        <v>1.0900000000000001</v>
      </c>
      <c r="T84" s="268">
        <f t="shared" si="83"/>
        <v>0.11826000000000002</v>
      </c>
      <c r="U84" s="268"/>
      <c r="V84" s="589" t="str">
        <f>'Data manipulation'!$B$23</f>
        <v>Solid fossil fuels, peat, peat products, oil shale and oil sands</v>
      </c>
      <c r="W84" s="254" t="s">
        <v>846</v>
      </c>
      <c r="X84" s="246">
        <v>2015</v>
      </c>
      <c r="Y84" s="432">
        <f>_xlfn.IFNA(INDEX('Data manipulation'!$C$23:$O$39,MATCH($V84,'Data manipulation'!$B$23:$B$39,0),MATCH($X84,'Data manipulation'!$C$22:$O$22,0))/1000,0)*SUMIFS('Regional split'!$F$4:$F$6,'Regional split'!$B$4:$B$6,Y$3)*SUMIFS('Data manipulation'!$V$39:$V$42,'Data manipulation'!$X$39:$X$42,$E84,'Data manipulation'!$Y$39:$Y$42,$D84)</f>
        <v>0.10782548</v>
      </c>
      <c r="Z84" s="270">
        <f>_xlfn.IFNA(INDEX('Data manipulation'!$C$23:$O$39,MATCH($V84,'Data manipulation'!$B$23:$B$39,0),MATCH($X84,'Data manipulation'!$C$22:$O$22,0))/1000,0)*SUMIFS('Regional split'!$F$4:$F$6,'Regional split'!$B$4:$B$6,Z$3)*SUMIFS('Data manipulation'!$V$39:$V$42,'Data manipulation'!$X$39:$X$42,$E84,'Data manipulation'!$Y$39:$Y$42,$D84)</f>
        <v>0</v>
      </c>
      <c r="AA84" s="454">
        <f>_xlfn.IFNA(INDEX('Data manipulation'!$C$23:$O$39,MATCH($V84,'Data manipulation'!$B$23:$B$39,0),MATCH($X84,'Data manipulation'!$C$22:$O$22,0))/1000,0)*SUMIFS('Regional split'!$F$4:$F$6,'Regional split'!$B$4:$B$6,AA$3)*SUMIFS('Data manipulation'!$V$39:$V$42,'Data manipulation'!$X$39:$X$42,$E84,'Data manipulation'!$Y$39:$Y$42,$D84)</f>
        <v>0</v>
      </c>
      <c r="AB84" s="443">
        <f t="shared" si="66"/>
        <v>7.7634345600000002E-2</v>
      </c>
      <c r="AC84" s="251">
        <f t="shared" si="67"/>
        <v>0</v>
      </c>
      <c r="AD84" s="444">
        <f t="shared" si="68"/>
        <v>0</v>
      </c>
      <c r="AU84" s="260"/>
      <c r="AZ84" s="252"/>
    </row>
    <row r="85" spans="2:52" ht="15" customHeight="1">
      <c r="B85" s="233" t="str">
        <f t="shared" si="84"/>
        <v>CHTRMSOLE1</v>
      </c>
      <c r="C85" s="233" t="str">
        <f t="shared" si="84"/>
        <v>Commercial Heating Technology Rural Multi - Solar - Existing 1</v>
      </c>
      <c r="D85" s="233" t="str">
        <f t="shared" ref="D85:E85" si="109">D44</f>
        <v>Rural</v>
      </c>
      <c r="E85" s="233" t="str">
        <f t="shared" si="109"/>
        <v>Multi storey</v>
      </c>
      <c r="F85" s="233" t="str">
        <f t="shared" ref="F85:G85" si="110">F44</f>
        <v>COMSOL</v>
      </c>
      <c r="G85" s="233" t="str">
        <f t="shared" si="110"/>
        <v>COMHRMB</v>
      </c>
      <c r="H85" s="259">
        <v>2015</v>
      </c>
      <c r="I85" s="250">
        <f t="shared" si="100"/>
        <v>0.4</v>
      </c>
      <c r="J85" s="250">
        <f t="shared" si="101"/>
        <v>0</v>
      </c>
      <c r="K85" s="250">
        <f t="shared" si="102"/>
        <v>0</v>
      </c>
      <c r="L85" s="460">
        <v>1</v>
      </c>
      <c r="M85" s="460">
        <v>1</v>
      </c>
      <c r="N85" s="460">
        <v>1</v>
      </c>
      <c r="O85" s="244">
        <f t="shared" si="76"/>
        <v>3.1536000000000002E-2</v>
      </c>
      <c r="P85" s="458">
        <v>0.2</v>
      </c>
      <c r="Q85" s="245">
        <v>20</v>
      </c>
      <c r="R85" s="227">
        <v>1.0900000000000001</v>
      </c>
      <c r="T85" s="268">
        <f t="shared" si="83"/>
        <v>2.5228800000000003E-3</v>
      </c>
      <c r="U85" s="268"/>
      <c r="V85" s="589" t="str">
        <f>'Data manipulation'!$B$29</f>
        <v>Solar thermal</v>
      </c>
      <c r="W85" s="254" t="s">
        <v>168</v>
      </c>
      <c r="X85" s="246">
        <v>2015</v>
      </c>
      <c r="Y85" s="432">
        <f>_xlfn.IFNA(INDEX('Data manipulation'!$C$23:$O$39,MATCH($V85,'Data manipulation'!$B$23:$B$39,0),MATCH($X85,'Data manipulation'!$C$22:$O$22,0))/1000,0)*SUMIFS('Regional split'!$F$4:$F$6,'Regional split'!$B$4:$B$6,Y$3)*SUMIFS('Data manipulation'!$V$39:$V$42,'Data manipulation'!$X$39:$X$42,$E85,'Data manipulation'!$Y$39:$Y$42,$D85)</f>
        <v>2.2209740000000006E-3</v>
      </c>
      <c r="Z85" s="270">
        <f>_xlfn.IFNA(INDEX('Data manipulation'!$C$23:$O$39,MATCH($V85,'Data manipulation'!$B$23:$B$39,0),MATCH($X85,'Data manipulation'!$C$22:$O$22,0))/1000,0)*SUMIFS('Regional split'!$F$4:$F$6,'Regional split'!$B$4:$B$6,Z$3)*SUMIFS('Data manipulation'!$V$39:$V$42,'Data manipulation'!$X$39:$X$42,$E85,'Data manipulation'!$Y$39:$Y$42,$D85)</f>
        <v>0</v>
      </c>
      <c r="AA85" s="454">
        <f>_xlfn.IFNA(INDEX('Data manipulation'!$C$23:$O$39,MATCH($V85,'Data manipulation'!$B$23:$B$39,0),MATCH($X85,'Data manipulation'!$C$22:$O$22,0))/1000,0)*SUMIFS('Regional split'!$F$4:$F$6,'Regional split'!$B$4:$B$6,AA$3)*SUMIFS('Data manipulation'!$V$39:$V$42,'Data manipulation'!$X$39:$X$42,$E85,'Data manipulation'!$Y$39:$Y$42,$D85)</f>
        <v>0</v>
      </c>
      <c r="AB85" s="443">
        <f t="shared" si="66"/>
        <v>2.2209740000000006E-3</v>
      </c>
      <c r="AC85" s="251">
        <f t="shared" si="67"/>
        <v>0</v>
      </c>
      <c r="AD85" s="444">
        <f t="shared" si="68"/>
        <v>0</v>
      </c>
      <c r="AU85" s="260"/>
      <c r="AZ85" s="252"/>
    </row>
    <row r="86" spans="2:52" ht="15" customHeight="1">
      <c r="B86" s="233" t="str">
        <f t="shared" ref="B86:C89" si="111">B46</f>
        <v>CHTRMELCHE1</v>
      </c>
      <c r="C86" s="233" t="str">
        <f t="shared" si="111"/>
        <v>Commercial Heating Technology Rural Multi - Electricity Heating - Existing 1</v>
      </c>
      <c r="D86" s="233" t="str">
        <f t="shared" ref="D86:E86" si="112">D46</f>
        <v>Rural</v>
      </c>
      <c r="E86" s="233" t="str">
        <f t="shared" si="112"/>
        <v>Multi storey</v>
      </c>
      <c r="F86" s="233" t="str">
        <f t="shared" ref="F86:G86" si="113">F46</f>
        <v>COMELCH</v>
      </c>
      <c r="G86" s="233" t="str">
        <f t="shared" si="113"/>
        <v>COMHRMB</v>
      </c>
      <c r="H86" s="259">
        <v>2015</v>
      </c>
      <c r="I86" s="250">
        <f t="shared" si="100"/>
        <v>72.3</v>
      </c>
      <c r="J86" s="250">
        <f t="shared" si="101"/>
        <v>0</v>
      </c>
      <c r="K86" s="250">
        <f t="shared" si="102"/>
        <v>0</v>
      </c>
      <c r="L86" s="460">
        <v>1</v>
      </c>
      <c r="M86" s="460">
        <v>1</v>
      </c>
      <c r="N86" s="460">
        <v>1</v>
      </c>
      <c r="O86" s="244">
        <f t="shared" si="76"/>
        <v>3.1536000000000002E-2</v>
      </c>
      <c r="P86" s="458">
        <v>0.2</v>
      </c>
      <c r="Q86" s="245">
        <v>30</v>
      </c>
      <c r="R86" s="227">
        <v>1.0900000000000001</v>
      </c>
      <c r="T86" s="268">
        <f t="shared" si="83"/>
        <v>0.45601056000000001</v>
      </c>
      <c r="U86" s="268"/>
      <c r="V86" s="589" t="str">
        <f>'Data manipulation'!$B$33</f>
        <v>Electricity</v>
      </c>
      <c r="W86" s="254" t="s">
        <v>169</v>
      </c>
      <c r="X86" s="246">
        <v>2015</v>
      </c>
      <c r="Y86" s="432">
        <f>_xlfn.IFNA(INDEX('Data manipulation'!$C$23:$O$39,MATCH($V86,'Data manipulation'!$B$23:$B$39,0),MATCH($X86,'Data manipulation'!$C$22:$O$22,0))/1000,0)*SUMIFS('Regional split'!$F$4:$F$6,'Regional split'!$B$4:$B$6,Y$3)*SUMIFS('Data manipulation'!$V$39:$V$42,'Data manipulation'!$X$39:$X$42,$E86,'Data manipulation'!$Y$39:$Y$42,$D86)</f>
        <v>0.41825831279721842</v>
      </c>
      <c r="Z86" s="270">
        <f>_xlfn.IFNA(INDEX('Data manipulation'!$C$23:$O$39,MATCH($V86,'Data manipulation'!$B$23:$B$39,0),MATCH($X86,'Data manipulation'!$C$22:$O$22,0))/1000,0)*SUMIFS('Regional split'!$F$4:$F$6,'Regional split'!$B$4:$B$6,Z$3)*SUMIFS('Data manipulation'!$V$39:$V$42,'Data manipulation'!$X$39:$X$42,$E86,'Data manipulation'!$Y$39:$Y$42,$D86)</f>
        <v>0</v>
      </c>
      <c r="AA86" s="454">
        <f>_xlfn.IFNA(INDEX('Data manipulation'!$C$23:$O$39,MATCH($V86,'Data manipulation'!$B$23:$B$39,0),MATCH($X86,'Data manipulation'!$C$22:$O$22,0))/1000,0)*SUMIFS('Regional split'!$F$4:$F$6,'Regional split'!$B$4:$B$6,AA$3)*SUMIFS('Data manipulation'!$V$39:$V$42,'Data manipulation'!$X$39:$X$42,$E86,'Data manipulation'!$Y$39:$Y$42,$D86)</f>
        <v>0</v>
      </c>
      <c r="AB86" s="443">
        <f t="shared" si="66"/>
        <v>0.41825831279721842</v>
      </c>
      <c r="AC86" s="251">
        <f t="shared" si="67"/>
        <v>0</v>
      </c>
      <c r="AD86" s="444">
        <f t="shared" si="68"/>
        <v>0</v>
      </c>
      <c r="AU86" s="260"/>
      <c r="AZ86" s="252"/>
    </row>
    <row r="87" spans="2:52" ht="15" customHeight="1">
      <c r="B87" s="233" t="str">
        <f t="shared" si="111"/>
        <v>CHTRMELCHE2</v>
      </c>
      <c r="C87" s="233" t="str">
        <f t="shared" si="111"/>
        <v>Commercial Heating Technology Rural Multi - Electricity Heating - Existing 2</v>
      </c>
      <c r="D87" s="233" t="str">
        <f t="shared" ref="D87:E87" si="114">D47</f>
        <v>Rural</v>
      </c>
      <c r="E87" s="233" t="str">
        <f t="shared" si="114"/>
        <v>Multi storey</v>
      </c>
      <c r="F87" s="233" t="str">
        <f t="shared" ref="F87:G87" si="115">F47</f>
        <v>COMELCH</v>
      </c>
      <c r="G87" s="233" t="str">
        <f t="shared" si="115"/>
        <v>COMHRMB</v>
      </c>
      <c r="H87" s="259">
        <v>2015</v>
      </c>
      <c r="I87" s="250">
        <f t="shared" si="100"/>
        <v>12.6</v>
      </c>
      <c r="J87" s="250">
        <f t="shared" si="101"/>
        <v>0</v>
      </c>
      <c r="K87" s="250">
        <f t="shared" si="102"/>
        <v>0</v>
      </c>
      <c r="L87" s="460">
        <v>2.3149999999999999</v>
      </c>
      <c r="M87" s="460">
        <v>2.3149999999999999</v>
      </c>
      <c r="N87" s="460">
        <v>2.3149999999999999</v>
      </c>
      <c r="O87" s="244">
        <f t="shared" si="76"/>
        <v>3.1536000000000002E-2</v>
      </c>
      <c r="P87" s="458">
        <v>0.2</v>
      </c>
      <c r="Q87" s="245">
        <v>30</v>
      </c>
      <c r="R87" s="227">
        <v>1.0900000000000001</v>
      </c>
      <c r="T87" s="268">
        <f t="shared" si="83"/>
        <v>3.4328604751619876E-2</v>
      </c>
      <c r="U87" s="268"/>
      <c r="V87" s="589" t="str">
        <f>'Data manipulation'!$B$30</f>
        <v>Ambient heat (heat pumps)</v>
      </c>
      <c r="W87" s="254" t="s">
        <v>170</v>
      </c>
      <c r="X87" s="246">
        <v>2015</v>
      </c>
      <c r="Y87" s="432">
        <f>_xlfn.IFNA(INDEX('Data manipulation'!$C$23:$O$39,MATCH($V87,'Data manipulation'!$B$23:$B$39,0),MATCH($X87,'Data manipulation'!$C$22:$O$22,0))/1000,0)*SUMIFS('Regional split'!$F$4:$F$6,'Regional split'!$B$4:$B$6,Y$3)*SUMIFS('Data manipulation'!$V$39:$V$42,'Data manipulation'!$X$39:$X$42,$E87,'Data manipulation'!$Y$39:$Y$42,$D87)</f>
        <v>3.1289440000000002E-2</v>
      </c>
      <c r="Z87" s="270">
        <f>_xlfn.IFNA(INDEX('Data manipulation'!$C$23:$O$39,MATCH($V87,'Data manipulation'!$B$23:$B$39,0),MATCH($X87,'Data manipulation'!$C$22:$O$22,0))/1000,0)*SUMIFS('Regional split'!$F$4:$F$6,'Regional split'!$B$4:$B$6,Z$3)*SUMIFS('Data manipulation'!$V$39:$V$42,'Data manipulation'!$X$39:$X$42,$E87,'Data manipulation'!$Y$39:$Y$42,$D87)</f>
        <v>0</v>
      </c>
      <c r="AA87" s="454">
        <f>_xlfn.IFNA(INDEX('Data manipulation'!$C$23:$O$39,MATCH($V87,'Data manipulation'!$B$23:$B$39,0),MATCH($X87,'Data manipulation'!$C$22:$O$22,0))/1000,0)*SUMIFS('Regional split'!$F$4:$F$6,'Regional split'!$B$4:$B$6,AA$3)*SUMIFS('Data manipulation'!$V$39:$V$42,'Data manipulation'!$X$39:$X$42,$E87,'Data manipulation'!$Y$39:$Y$42,$D87)</f>
        <v>0</v>
      </c>
      <c r="AB87" s="443">
        <f t="shared" si="66"/>
        <v>7.2435053600000007E-2</v>
      </c>
      <c r="AC87" s="251">
        <f t="shared" si="67"/>
        <v>0</v>
      </c>
      <c r="AD87" s="444">
        <f t="shared" si="68"/>
        <v>0</v>
      </c>
      <c r="AU87" s="260"/>
      <c r="AZ87" s="252"/>
    </row>
    <row r="88" spans="2:52" ht="15" customHeight="1">
      <c r="B88" s="233" t="str">
        <f t="shared" si="111"/>
        <v>CHTRMHCEE1</v>
      </c>
      <c r="C88" s="233" t="str">
        <f t="shared" si="111"/>
        <v>Commercial Heating Technology Rural Multi - District heating Central - Existing 1</v>
      </c>
      <c r="D88" s="233" t="str">
        <f t="shared" ref="D88:E88" si="116">D48</f>
        <v>Rural</v>
      </c>
      <c r="E88" s="233" t="str">
        <f t="shared" si="116"/>
        <v>Multi storey</v>
      </c>
      <c r="F88" s="233" t="str">
        <f t="shared" ref="F88:G88" si="117">F48</f>
        <v>COMHDE</v>
      </c>
      <c r="G88" s="233" t="str">
        <f t="shared" si="117"/>
        <v>COMHRMX</v>
      </c>
      <c r="H88" s="261">
        <v>2015</v>
      </c>
      <c r="I88" s="565">
        <v>0</v>
      </c>
      <c r="J88" s="565">
        <v>0</v>
      </c>
      <c r="K88" s="565">
        <v>0</v>
      </c>
      <c r="L88" s="460">
        <v>0.98</v>
      </c>
      <c r="M88" s="460">
        <v>0.98</v>
      </c>
      <c r="N88" s="460">
        <v>0.98</v>
      </c>
      <c r="O88" s="244">
        <f t="shared" si="76"/>
        <v>3.1536000000000002E-2</v>
      </c>
      <c r="P88" s="458">
        <v>0.2</v>
      </c>
      <c r="Q88" s="245">
        <v>30</v>
      </c>
      <c r="R88" s="227">
        <v>1.0900000000000001</v>
      </c>
      <c r="T88" s="268">
        <f t="shared" si="83"/>
        <v>0</v>
      </c>
      <c r="U88" s="268"/>
      <c r="V88" s="589" t="str">
        <f>'Data manipulation'!$B$34</f>
        <v>Heat</v>
      </c>
      <c r="W88" s="254" t="s">
        <v>171</v>
      </c>
      <c r="X88" s="246">
        <v>2015</v>
      </c>
      <c r="Y88" s="432">
        <f>_xlfn.IFNA(INDEX('Data manipulation'!$C$23:$O$39,MATCH($V88,'Data manipulation'!$B$23:$B$39,0),MATCH($X88,'Data manipulation'!$C$22:$O$22,0))/1000,0)*SUMIFS('Regional split'!$F$4:$F$6,'Regional split'!$B$4:$B$6,Y$3)*SUMIFS('Data manipulation'!$V$39:$V$42,'Data manipulation'!$X$39:$X$42,$E88,'Data manipulation'!$Y$39:$Y$42,$D88)</f>
        <v>0.73682694263117543</v>
      </c>
      <c r="Z88" s="270">
        <f>_xlfn.IFNA(INDEX('Data manipulation'!$C$23:$O$39,MATCH($V88,'Data manipulation'!$B$23:$B$39,0),MATCH($X88,'Data manipulation'!$C$22:$O$22,0))/1000,0)*SUMIFS('Regional split'!$F$4:$F$6,'Regional split'!$B$4:$B$6,Z$3)*SUMIFS('Data manipulation'!$V$39:$V$42,'Data manipulation'!$X$39:$X$42,$E88,'Data manipulation'!$Y$39:$Y$42,$D88)</f>
        <v>0</v>
      </c>
      <c r="AA88" s="454">
        <f>_xlfn.IFNA(INDEX('Data manipulation'!$C$23:$O$39,MATCH($V88,'Data manipulation'!$B$23:$B$39,0),MATCH($X88,'Data manipulation'!$C$22:$O$22,0))/1000,0)*SUMIFS('Regional split'!$F$4:$F$6,'Regional split'!$B$4:$B$6,AA$3)*SUMIFS('Data manipulation'!$V$39:$V$42,'Data manipulation'!$X$39:$X$42,$E88,'Data manipulation'!$Y$39:$Y$42,$D88)</f>
        <v>0</v>
      </c>
      <c r="AB88" s="443">
        <f t="shared" si="66"/>
        <v>0.72209040377855194</v>
      </c>
      <c r="AC88" s="251">
        <f t="shared" si="67"/>
        <v>0</v>
      </c>
      <c r="AD88" s="444">
        <f t="shared" si="68"/>
        <v>0</v>
      </c>
      <c r="AU88" s="260"/>
      <c r="AZ88" s="252"/>
    </row>
    <row r="89" spans="2:52" ht="15" customHeight="1" thickBot="1">
      <c r="B89" s="233" t="str">
        <f t="shared" si="111"/>
        <v>CHTRMLPGE1</v>
      </c>
      <c r="C89" s="233" t="str">
        <f t="shared" si="111"/>
        <v>Commercial Heating Technology Rural Multi - LPG - Existing 1</v>
      </c>
      <c r="D89" s="233" t="str">
        <f t="shared" ref="D89:E89" si="118">D49</f>
        <v>Rural</v>
      </c>
      <c r="E89" s="233" t="str">
        <f t="shared" si="118"/>
        <v>Multi storey</v>
      </c>
      <c r="F89" s="233" t="str">
        <f t="shared" ref="F89:G89" si="119">F49</f>
        <v>COMLPG</v>
      </c>
      <c r="G89" s="233" t="str">
        <f t="shared" si="119"/>
        <v>COMHRMB</v>
      </c>
      <c r="H89" s="261">
        <v>2015</v>
      </c>
      <c r="I89" s="297">
        <f t="shared" ref="I89" si="120">ROUNDUP(AB89/($O89*$P89)*$R89,1)</f>
        <v>28.3</v>
      </c>
      <c r="J89" s="297">
        <f t="shared" ref="J89" si="121">ROUNDUP(AC89/($O89*$P89)*$R89,1)</f>
        <v>0</v>
      </c>
      <c r="K89" s="297">
        <f t="shared" ref="K89" si="122">ROUNDUP(AD89/($O89*$P89)*$R89,1)</f>
        <v>0</v>
      </c>
      <c r="L89" s="460">
        <v>0.98</v>
      </c>
      <c r="M89" s="460">
        <v>0.98</v>
      </c>
      <c r="N89" s="460">
        <v>0.98</v>
      </c>
      <c r="O89" s="244">
        <f t="shared" si="76"/>
        <v>3.1536000000000002E-2</v>
      </c>
      <c r="P89" s="458">
        <v>0.2</v>
      </c>
      <c r="Q89" s="245">
        <v>30</v>
      </c>
      <c r="R89" s="227">
        <v>1.0900000000000001</v>
      </c>
      <c r="T89" s="268">
        <f t="shared" si="83"/>
        <v>0.1821364897959184</v>
      </c>
      <c r="U89" s="268"/>
      <c r="V89" s="590" t="str">
        <f>'Data manipulation'!$B$25</f>
        <v>Liquefied petroleum gas</v>
      </c>
      <c r="W89" s="427" t="s">
        <v>759</v>
      </c>
      <c r="X89" s="246">
        <v>2015</v>
      </c>
      <c r="Y89" s="433">
        <f>_xlfn.IFNA(INDEX('Data manipulation'!$C$23:$O$39,MATCH($V89,'Data manipulation'!$B$23:$B$39,0),MATCH($X89,'Data manipulation'!$C$22:$O$22,0))/1000,0)*SUMIFS('Regional split'!$F$4:$F$6,'Regional split'!$B$4:$B$6,Y$3)*SUMIFS('Data manipulation'!$V$39:$V$42,'Data manipulation'!$X$39:$X$42,$E89,'Data manipulation'!$Y$39:$Y$42,$D89)</f>
        <v>0.16680634022613997</v>
      </c>
      <c r="Z89" s="430">
        <f>_xlfn.IFNA(INDEX('Data manipulation'!$C$23:$O$39,MATCH($V89,'Data manipulation'!$B$23:$B$39,0),MATCH($X89,'Data manipulation'!$C$22:$O$22,0))/1000,0)*SUMIFS('Regional split'!$F$4:$F$6,'Regional split'!$B$4:$B$6,Z$3)*SUMIFS('Data manipulation'!$V$39:$V$42,'Data manipulation'!$X$39:$X$42,$E89,'Data manipulation'!$Y$39:$Y$42,$D89)</f>
        <v>0</v>
      </c>
      <c r="AA89" s="455">
        <f>_xlfn.IFNA(INDEX('Data manipulation'!$C$23:$O$39,MATCH($V89,'Data manipulation'!$B$23:$B$39,0),MATCH($X89,'Data manipulation'!$C$22:$O$22,0))/1000,0)*SUMIFS('Regional split'!$F$4:$F$6,'Regional split'!$B$4:$B$6,AA$3)*SUMIFS('Data manipulation'!$V$39:$V$42,'Data manipulation'!$X$39:$X$42,$E89,'Data manipulation'!$Y$39:$Y$42,$D89)</f>
        <v>0</v>
      </c>
      <c r="AB89" s="445">
        <f t="shared" si="66"/>
        <v>0.16347021342161716</v>
      </c>
      <c r="AC89" s="431">
        <f t="shared" si="67"/>
        <v>0</v>
      </c>
      <c r="AD89" s="452">
        <f t="shared" si="68"/>
        <v>0</v>
      </c>
      <c r="AU89" s="260"/>
      <c r="AZ89" s="252"/>
    </row>
    <row r="90" spans="2:52" ht="15" customHeight="1">
      <c r="B90" s="227" t="str">
        <f>B50</f>
        <v>CHTUDNGAE1</v>
      </c>
      <c r="C90" s="227" t="str">
        <f t="shared" ref="C90:G90" si="123">C50</f>
        <v>Commercial Heating Technology Urban Detached - Natural Gas - Existing 1</v>
      </c>
      <c r="D90" s="227" t="str">
        <f t="shared" si="123"/>
        <v>Urban</v>
      </c>
      <c r="E90" s="227" t="str">
        <f t="shared" si="123"/>
        <v>Detached</v>
      </c>
      <c r="F90" s="227" t="str">
        <f t="shared" si="123"/>
        <v>COMNGA,COMSNG,COMBGA</v>
      </c>
      <c r="G90" s="227" t="str">
        <f t="shared" si="123"/>
        <v>COMHUDB</v>
      </c>
      <c r="H90" s="230">
        <v>2018</v>
      </c>
      <c r="I90" s="250">
        <f>ROUNDUP(AB90/($O90*$P90)*$R90,1)</f>
        <v>18472.399999999998</v>
      </c>
      <c r="J90" s="250">
        <f>ROUNDUP(AC90/($O90*$P90)*$R90,1)</f>
        <v>0</v>
      </c>
      <c r="K90" s="250">
        <f>ROUNDUP(AD90/($O90*$P90)*$R90,1)</f>
        <v>0</v>
      </c>
      <c r="L90" s="460">
        <v>0.72</v>
      </c>
      <c r="M90" s="460">
        <v>0.72</v>
      </c>
      <c r="N90" s="460">
        <v>0.72</v>
      </c>
      <c r="O90" s="244">
        <f>31.536/1000</f>
        <v>3.1536000000000002E-2</v>
      </c>
      <c r="P90" s="458">
        <v>0.2</v>
      </c>
      <c r="Q90" s="245">
        <v>22</v>
      </c>
      <c r="R90" s="227">
        <v>1.05</v>
      </c>
      <c r="T90" s="268">
        <f t="shared" si="83"/>
        <v>161.81822400000001</v>
      </c>
      <c r="U90" s="268"/>
      <c r="V90" s="589" t="str">
        <f>'Data manipulation'!$B$36</f>
        <v>Natural gas and biogas</v>
      </c>
      <c r="W90" s="246" t="s">
        <v>167</v>
      </c>
      <c r="X90" s="246">
        <v>2018</v>
      </c>
      <c r="Y90" s="432">
        <f>_xlfn.IFNA(INDEX('Data manipulation'!$C$23:$O$39,MATCH($V90,'Data manipulation'!$B$23:$B$39,0),MATCH($X90,'Data manipulation'!$C$22:$O$22,0))/1000,0)*SUMIFS('Regional split'!$F$4:$F$6,'Regional split'!$B$4:$B$6,Y$3)*SUMIFS('Data manipulation'!$V$39:$V$42,'Data manipulation'!$X$39:$X$42,$E90,'Data manipulation'!$Y$39:$Y$42,$D90)</f>
        <v>154.11180608424272</v>
      </c>
      <c r="Z90" s="270">
        <f>_xlfn.IFNA(INDEX('Data manipulation'!$C$23:$O$39,MATCH($V90,'Data manipulation'!$B$23:$B$39,0),MATCH($X90,'Data manipulation'!$C$22:$O$22,0))/1000,0)*SUMIFS('Regional split'!$F$4:$F$6,'Regional split'!$B$4:$B$6,Z$3)*SUMIFS('Data manipulation'!$V$39:$V$42,'Data manipulation'!$X$39:$X$42,$E90,'Data manipulation'!$Y$39:$Y$42,$D90)</f>
        <v>0</v>
      </c>
      <c r="AA90" s="454">
        <f>_xlfn.IFNA(INDEX('Data manipulation'!$C$23:$O$39,MATCH($V90,'Data manipulation'!$B$23:$B$39,0),MATCH($X90,'Data manipulation'!$C$22:$O$22,0))/1000,0)*SUMIFS('Regional split'!$F$4:$F$6,'Regional split'!$B$4:$B$6,AA$3)*SUMIFS('Data manipulation'!$V$39:$V$42,'Data manipulation'!$X$39:$X$42,$E90,'Data manipulation'!$Y$39:$Y$42,$D90)</f>
        <v>0</v>
      </c>
      <c r="AB90" s="443">
        <f t="shared" si="66"/>
        <v>110.96050038065475</v>
      </c>
      <c r="AC90" s="251">
        <f t="shared" si="67"/>
        <v>0</v>
      </c>
      <c r="AD90" s="444">
        <f t="shared" si="68"/>
        <v>0</v>
      </c>
      <c r="AE90" s="262"/>
      <c r="AU90" s="260"/>
      <c r="AZ90" s="252"/>
    </row>
    <row r="91" spans="2:52" ht="15" customHeight="1">
      <c r="B91" s="227" t="str">
        <f t="shared" ref="B91:G91" si="124">B51</f>
        <v>CHTUDDSLE1</v>
      </c>
      <c r="C91" s="227" t="str">
        <f t="shared" si="124"/>
        <v>Commercial Heating Technology Urban Detached - Diesel - Existing 1</v>
      </c>
      <c r="D91" s="227" t="str">
        <f t="shared" si="124"/>
        <v>Urban</v>
      </c>
      <c r="E91" s="227" t="str">
        <f t="shared" si="124"/>
        <v>Detached</v>
      </c>
      <c r="F91" s="227" t="str">
        <f t="shared" si="124"/>
        <v>COMDSL,COMDSB</v>
      </c>
      <c r="G91" s="227" t="str">
        <f t="shared" si="124"/>
        <v>COMHUDB</v>
      </c>
      <c r="H91" s="230">
        <v>2018</v>
      </c>
      <c r="I91" s="250">
        <f t="shared" ref="I91:I98" si="125">ROUNDUP(AB91/($O91*$P91)*$R91,1)</f>
        <v>5466.2000000000007</v>
      </c>
      <c r="J91" s="250">
        <f t="shared" ref="J91:J97" si="126">ROUNDUP(AC91/($O91*$P91)*$R91,1)</f>
        <v>0</v>
      </c>
      <c r="K91" s="250">
        <f t="shared" ref="K91:K97" si="127">ROUNDUP(AD91/($O91*$P91)*$R91,1)</f>
        <v>0</v>
      </c>
      <c r="L91" s="460">
        <v>0.71</v>
      </c>
      <c r="M91" s="460">
        <v>0.71</v>
      </c>
      <c r="N91" s="460">
        <v>0.71</v>
      </c>
      <c r="O91" s="244">
        <f>31.536/1000</f>
        <v>3.1536000000000002E-2</v>
      </c>
      <c r="P91" s="458">
        <v>0.2</v>
      </c>
      <c r="Q91" s="245">
        <v>20</v>
      </c>
      <c r="R91" s="227">
        <v>1.05</v>
      </c>
      <c r="T91" s="268">
        <f t="shared" si="83"/>
        <v>48.558333295774666</v>
      </c>
      <c r="V91" s="589" t="str">
        <f>'Data manipulation'!$B$28</f>
        <v>Gas oil and diesel oil and biodiesel</v>
      </c>
      <c r="W91" s="254" t="s">
        <v>718</v>
      </c>
      <c r="X91" s="246">
        <v>2018</v>
      </c>
      <c r="Y91" s="432">
        <f>_xlfn.IFNA(INDEX('Data manipulation'!$C$23:$O$39,MATCH($V91,'Data manipulation'!$B$23:$B$39,0),MATCH($X91,'Data manipulation'!$C$22:$O$22,0))/1000,0)*SUMIFS('Regional split'!$F$4:$F$6,'Regional split'!$B$4:$B$6,Y$3)*SUMIFS('Data manipulation'!$V$39:$V$42,'Data manipulation'!$X$39:$X$42,$E91,'Data manipulation'!$Y$39:$Y$42,$D91)</f>
        <v>46.245771341165508</v>
      </c>
      <c r="Z91" s="270">
        <f>_xlfn.IFNA(INDEX('Data manipulation'!$C$23:$O$39,MATCH($V91,'Data manipulation'!$B$23:$B$39,0),MATCH($X91,'Data manipulation'!$C$22:$O$22,0))/1000,0)*SUMIFS('Regional split'!$F$4:$F$6,'Regional split'!$B$4:$B$6,Z$3)*SUMIFS('Data manipulation'!$V$39:$V$42,'Data manipulation'!$X$39:$X$42,$E91,'Data manipulation'!$Y$39:$Y$42,$D91)</f>
        <v>0</v>
      </c>
      <c r="AA91" s="454">
        <f>_xlfn.IFNA(INDEX('Data manipulation'!$C$23:$O$39,MATCH($V91,'Data manipulation'!$B$23:$B$39,0),MATCH($X91,'Data manipulation'!$C$22:$O$22,0))/1000,0)*SUMIFS('Regional split'!$F$4:$F$6,'Regional split'!$B$4:$B$6,AA$3)*SUMIFS('Data manipulation'!$V$39:$V$42,'Data manipulation'!$X$39:$X$42,$E91,'Data manipulation'!$Y$39:$Y$42,$D91)</f>
        <v>0</v>
      </c>
      <c r="AB91" s="443">
        <f t="shared" si="66"/>
        <v>32.834497652227512</v>
      </c>
      <c r="AC91" s="251">
        <f t="shared" si="67"/>
        <v>0</v>
      </c>
      <c r="AD91" s="444">
        <f t="shared" si="68"/>
        <v>0</v>
      </c>
      <c r="AE91" s="262"/>
      <c r="AU91" s="260"/>
      <c r="AZ91" s="252"/>
    </row>
    <row r="92" spans="2:52" ht="15" customHeight="1">
      <c r="B92" s="227" t="str">
        <f t="shared" ref="B92:G92" si="128">B52</f>
        <v>CHTUDWPEE1</v>
      </c>
      <c r="C92" s="227" t="str">
        <f t="shared" si="128"/>
        <v>Commercial Heating Technology Urban Detached - Wood pellets - Existing 1</v>
      </c>
      <c r="D92" s="227" t="str">
        <f t="shared" si="128"/>
        <v>Urban</v>
      </c>
      <c r="E92" s="227" t="str">
        <f t="shared" si="128"/>
        <v>Detached</v>
      </c>
      <c r="F92" s="227" t="str">
        <f t="shared" si="128"/>
        <v>COMWPE</v>
      </c>
      <c r="G92" s="227" t="str">
        <f t="shared" si="128"/>
        <v>COMHUDB</v>
      </c>
      <c r="H92" s="230">
        <v>2018</v>
      </c>
      <c r="I92" s="250">
        <f t="shared" si="125"/>
        <v>0</v>
      </c>
      <c r="J92" s="250">
        <f t="shared" si="126"/>
        <v>0</v>
      </c>
      <c r="K92" s="250">
        <f t="shared" si="127"/>
        <v>0</v>
      </c>
      <c r="L92" s="460">
        <v>0.61</v>
      </c>
      <c r="M92" s="460">
        <v>0.61</v>
      </c>
      <c r="N92" s="460">
        <v>0.61</v>
      </c>
      <c r="O92" s="244">
        <f t="shared" ref="O92:O109" si="129">31.536/1000</f>
        <v>3.1536000000000002E-2</v>
      </c>
      <c r="P92" s="458">
        <v>0.2</v>
      </c>
      <c r="Q92" s="245">
        <v>20</v>
      </c>
      <c r="R92" s="227">
        <v>1.05</v>
      </c>
      <c r="T92" s="268">
        <f t="shared" si="83"/>
        <v>0</v>
      </c>
      <c r="U92" s="268"/>
      <c r="W92" s="254" t="s">
        <v>849</v>
      </c>
      <c r="X92" s="246">
        <v>2018</v>
      </c>
      <c r="Y92" s="432">
        <f>_xlfn.IFNA(INDEX('Data manipulation'!$C$23:$O$39,MATCH($V92,'Data manipulation'!$B$23:$B$39,0),MATCH($X92,'Data manipulation'!$C$22:$O$22,0))/1000,0)*SUMIFS('Regional split'!$F$4:$F$6,'Regional split'!$B$4:$B$6,Y$3)*SUMIFS('Data manipulation'!$V$39:$V$42,'Data manipulation'!$X$39:$X$42,$E92,'Data manipulation'!$Y$39:$Y$42,$D92)</f>
        <v>0</v>
      </c>
      <c r="Z92" s="270">
        <f>_xlfn.IFNA(INDEX('Data manipulation'!$C$23:$O$39,MATCH($V92,'Data manipulation'!$B$23:$B$39,0),MATCH($X92,'Data manipulation'!$C$22:$O$22,0))/1000,0)*SUMIFS('Regional split'!$F$4:$F$6,'Regional split'!$B$4:$B$6,Z$3)*SUMIFS('Data manipulation'!$V$39:$V$42,'Data manipulation'!$X$39:$X$42,$E92,'Data manipulation'!$Y$39:$Y$42,$D92)</f>
        <v>0</v>
      </c>
      <c r="AA92" s="454">
        <f>_xlfn.IFNA(INDEX('Data manipulation'!$C$23:$O$39,MATCH($V92,'Data manipulation'!$B$23:$B$39,0),MATCH($X92,'Data manipulation'!$C$22:$O$22,0))/1000,0)*SUMIFS('Regional split'!$F$4:$F$6,'Regional split'!$B$4:$B$6,AA$3)*SUMIFS('Data manipulation'!$V$39:$V$42,'Data manipulation'!$X$39:$X$42,$E92,'Data manipulation'!$Y$39:$Y$42,$D92)</f>
        <v>0</v>
      </c>
      <c r="AB92" s="443">
        <f t="shared" si="66"/>
        <v>0</v>
      </c>
      <c r="AC92" s="251">
        <f t="shared" si="67"/>
        <v>0</v>
      </c>
      <c r="AD92" s="444">
        <f t="shared" si="68"/>
        <v>0</v>
      </c>
      <c r="AE92" s="262"/>
      <c r="AU92" s="260"/>
      <c r="AZ92" s="252"/>
    </row>
    <row r="93" spans="2:52" ht="15" customHeight="1">
      <c r="B93" s="227" t="str">
        <f t="shared" ref="B93:G93" si="130">B53</f>
        <v>CHTUDFIWE1</v>
      </c>
      <c r="C93" s="227" t="str">
        <f t="shared" si="130"/>
        <v>Commercial Heating Technology Urban Detached - Fire wood - Existing 1</v>
      </c>
      <c r="D93" s="227" t="str">
        <f t="shared" si="130"/>
        <v>Urban</v>
      </c>
      <c r="E93" s="227" t="str">
        <f t="shared" si="130"/>
        <v>Detached</v>
      </c>
      <c r="F93" s="227" t="str">
        <f t="shared" si="130"/>
        <v>COMFIW</v>
      </c>
      <c r="G93" s="227" t="str">
        <f t="shared" si="130"/>
        <v>COMHUDB</v>
      </c>
      <c r="H93" s="230">
        <v>2018</v>
      </c>
      <c r="I93" s="250">
        <f t="shared" si="125"/>
        <v>2449</v>
      </c>
      <c r="J93" s="250">
        <f t="shared" si="126"/>
        <v>0</v>
      </c>
      <c r="K93" s="250">
        <f t="shared" si="127"/>
        <v>0</v>
      </c>
      <c r="L93" s="460">
        <v>0.65000022993955098</v>
      </c>
      <c r="M93" s="460">
        <v>0.65000022993955098</v>
      </c>
      <c r="N93" s="460">
        <v>0.65000022993955098</v>
      </c>
      <c r="O93" s="244">
        <f t="shared" si="129"/>
        <v>3.1536000000000002E-2</v>
      </c>
      <c r="P93" s="458">
        <v>0.2</v>
      </c>
      <c r="Q93" s="245">
        <v>20</v>
      </c>
      <c r="R93" s="227">
        <v>1.05</v>
      </c>
      <c r="T93" s="268">
        <f t="shared" si="83"/>
        <v>23.763580516635336</v>
      </c>
      <c r="U93" s="268"/>
      <c r="V93" s="589" t="str">
        <f>'Data manipulation'!$B$31</f>
        <v>Primary solid biofuels</v>
      </c>
      <c r="W93" s="254" t="s">
        <v>176</v>
      </c>
      <c r="X93" s="246">
        <v>2018</v>
      </c>
      <c r="Y93" s="432">
        <f>_xlfn.IFNA(INDEX('Data manipulation'!$C$23:$O$39,MATCH($V93,'Data manipulation'!$B$23:$B$39,0),MATCH($X93,'Data manipulation'!$C$22:$O$22,0))/1000,0)*SUMIFS('Regional split'!$F$4:$F$6,'Regional split'!$B$4:$B$6,Y$3)*SUMIFS('Data manipulation'!$V$39:$V$42,'Data manipulation'!$X$39:$X$42,$E93,'Data manipulation'!$Y$39:$Y$42,$D93)</f>
        <v>22.631312278288551</v>
      </c>
      <c r="Z93" s="270">
        <f>_xlfn.IFNA(INDEX('Data manipulation'!$C$23:$O$39,MATCH($V93,'Data manipulation'!$B$23:$B$39,0),MATCH($X93,'Data manipulation'!$C$22:$O$22,0))/1000,0)*SUMIFS('Regional split'!$F$4:$F$6,'Regional split'!$B$4:$B$6,Z$3)*SUMIFS('Data manipulation'!$V$39:$V$42,'Data manipulation'!$X$39:$X$42,$E93,'Data manipulation'!$Y$39:$Y$42,$D93)</f>
        <v>0</v>
      </c>
      <c r="AA93" s="454">
        <f>_xlfn.IFNA(INDEX('Data manipulation'!$C$23:$O$39,MATCH($V93,'Data manipulation'!$B$23:$B$39,0),MATCH($X93,'Data manipulation'!$C$22:$O$22,0))/1000,0)*SUMIFS('Regional split'!$F$4:$F$6,'Regional split'!$B$4:$B$6,AA$3)*SUMIFS('Data manipulation'!$V$39:$V$42,'Data manipulation'!$X$39:$X$42,$E93,'Data manipulation'!$Y$39:$Y$42,$D93)</f>
        <v>0</v>
      </c>
      <c r="AB93" s="443">
        <f t="shared" si="66"/>
        <v>14.710358184721342</v>
      </c>
      <c r="AC93" s="251">
        <f t="shared" si="67"/>
        <v>0</v>
      </c>
      <c r="AD93" s="444">
        <f t="shared" si="68"/>
        <v>0</v>
      </c>
      <c r="AE93" s="262"/>
      <c r="AU93" s="260"/>
      <c r="AZ93" s="252"/>
    </row>
    <row r="94" spans="2:52" ht="15" customHeight="1">
      <c r="B94" s="233" t="str">
        <f t="shared" ref="B94:G94" si="131">B54</f>
        <v>CHTUDCOAE1</v>
      </c>
      <c r="C94" s="233" t="str">
        <f t="shared" si="131"/>
        <v>Commercial Heating Technology Urban Detached - Coal - Existing 1</v>
      </c>
      <c r="D94" s="233" t="str">
        <f t="shared" si="131"/>
        <v>Urban</v>
      </c>
      <c r="E94" s="233" t="str">
        <f t="shared" si="131"/>
        <v>Detached</v>
      </c>
      <c r="F94" s="233" t="str">
        <f t="shared" si="131"/>
        <v>COMCOA</v>
      </c>
      <c r="G94" s="233" t="str">
        <f t="shared" si="131"/>
        <v>COMHUDB</v>
      </c>
      <c r="H94" s="230">
        <v>2018</v>
      </c>
      <c r="I94" s="250">
        <f t="shared" si="125"/>
        <v>42.9</v>
      </c>
      <c r="J94" s="250">
        <f t="shared" si="126"/>
        <v>0</v>
      </c>
      <c r="K94" s="250">
        <f t="shared" si="127"/>
        <v>0</v>
      </c>
      <c r="L94" s="460">
        <v>0.7</v>
      </c>
      <c r="M94" s="460">
        <v>0.7</v>
      </c>
      <c r="N94" s="460">
        <v>0.7</v>
      </c>
      <c r="O94" s="244">
        <f t="shared" si="129"/>
        <v>3.1536000000000002E-2</v>
      </c>
      <c r="P94" s="458">
        <v>0.2</v>
      </c>
      <c r="Q94" s="245">
        <v>20</v>
      </c>
      <c r="R94" s="227">
        <v>1.05</v>
      </c>
      <c r="T94" s="268">
        <f t="shared" si="83"/>
        <v>0.3865412571428572</v>
      </c>
      <c r="U94" s="268"/>
      <c r="V94" s="589" t="str">
        <f>'Data manipulation'!$B$23</f>
        <v>Solid fossil fuels, peat, peat products, oil shale and oil sands</v>
      </c>
      <c r="W94" s="254" t="s">
        <v>846</v>
      </c>
      <c r="X94" s="246">
        <v>2018</v>
      </c>
      <c r="Y94" s="432">
        <f>_xlfn.IFNA(INDEX('Data manipulation'!$C$23:$O$39,MATCH($V94,'Data manipulation'!$B$23:$B$39,0),MATCH($X94,'Data manipulation'!$C$22:$O$22,0))/1000,0)*SUMIFS('Regional split'!$F$4:$F$6,'Regional split'!$B$4:$B$6,Y$3)*SUMIFS('Data manipulation'!$V$39:$V$42,'Data manipulation'!$X$39:$X$42,$E94,'Data manipulation'!$Y$39:$Y$42,$D94)</f>
        <v>0.36772301999999996</v>
      </c>
      <c r="Z94" s="270">
        <f>_xlfn.IFNA(INDEX('Data manipulation'!$C$23:$O$39,MATCH($V94,'Data manipulation'!$B$23:$B$39,0),MATCH($X94,'Data manipulation'!$C$22:$O$22,0))/1000,0)*SUMIFS('Regional split'!$F$4:$F$6,'Regional split'!$B$4:$B$6,Z$3)*SUMIFS('Data manipulation'!$V$39:$V$42,'Data manipulation'!$X$39:$X$42,$E94,'Data manipulation'!$Y$39:$Y$42,$D94)</f>
        <v>0</v>
      </c>
      <c r="AA94" s="454">
        <f>_xlfn.IFNA(INDEX('Data manipulation'!$C$23:$O$39,MATCH($V94,'Data manipulation'!$B$23:$B$39,0),MATCH($X94,'Data manipulation'!$C$22:$O$22,0))/1000,0)*SUMIFS('Regional split'!$F$4:$F$6,'Regional split'!$B$4:$B$6,AA$3)*SUMIFS('Data manipulation'!$V$39:$V$42,'Data manipulation'!$X$39:$X$42,$E94,'Data manipulation'!$Y$39:$Y$42,$D94)</f>
        <v>0</v>
      </c>
      <c r="AB94" s="443">
        <f t="shared" si="66"/>
        <v>0.25740611399999996</v>
      </c>
      <c r="AC94" s="251">
        <f t="shared" si="67"/>
        <v>0</v>
      </c>
      <c r="AD94" s="444">
        <f t="shared" si="68"/>
        <v>0</v>
      </c>
      <c r="AE94" s="262"/>
      <c r="AU94" s="260"/>
      <c r="AZ94" s="252"/>
    </row>
    <row r="95" spans="2:52" ht="15" customHeight="1">
      <c r="B95" s="233" t="str">
        <f t="shared" ref="B95:G95" si="132">B55</f>
        <v>CHTUDSOLE1</v>
      </c>
      <c r="C95" s="233" t="str">
        <f t="shared" si="132"/>
        <v>Commercial Heating Technology Urban Detached - Solar - Existing 1</v>
      </c>
      <c r="D95" s="233" t="str">
        <f t="shared" si="132"/>
        <v>Urban</v>
      </c>
      <c r="E95" s="233" t="str">
        <f t="shared" si="132"/>
        <v>Detached</v>
      </c>
      <c r="F95" s="233" t="str">
        <f t="shared" si="132"/>
        <v>COMSOL</v>
      </c>
      <c r="G95" s="233" t="str">
        <f t="shared" si="132"/>
        <v>COMHUDB</v>
      </c>
      <c r="H95" s="230">
        <v>2018</v>
      </c>
      <c r="I95" s="250">
        <f t="shared" si="125"/>
        <v>12.299999999999999</v>
      </c>
      <c r="J95" s="250">
        <f t="shared" si="126"/>
        <v>0</v>
      </c>
      <c r="K95" s="250">
        <f t="shared" si="127"/>
        <v>0</v>
      </c>
      <c r="L95" s="460">
        <v>1</v>
      </c>
      <c r="M95" s="460">
        <v>1</v>
      </c>
      <c r="N95" s="460">
        <v>1</v>
      </c>
      <c r="O95" s="244">
        <f t="shared" si="129"/>
        <v>3.1536000000000002E-2</v>
      </c>
      <c r="P95" s="458">
        <v>0.2</v>
      </c>
      <c r="Q95" s="245">
        <v>20</v>
      </c>
      <c r="R95" s="227">
        <v>1.05</v>
      </c>
      <c r="T95" s="268">
        <f t="shared" si="83"/>
        <v>7.7578560000000005E-2</v>
      </c>
      <c r="U95" s="268"/>
      <c r="V95" s="589" t="str">
        <f>'Data manipulation'!$B$29</f>
        <v>Solar thermal</v>
      </c>
      <c r="W95" s="254" t="s">
        <v>168</v>
      </c>
      <c r="X95" s="246">
        <v>2018</v>
      </c>
      <c r="Y95" s="432">
        <f>_xlfn.IFNA(INDEX('Data manipulation'!$C$23:$O$39,MATCH($V95,'Data manipulation'!$B$23:$B$39,0),MATCH($X95,'Data manipulation'!$C$22:$O$22,0))/1000,0)*SUMIFS('Regional split'!$F$4:$F$6,'Regional split'!$B$4:$B$6,Y$3)*SUMIFS('Data manipulation'!$V$39:$V$42,'Data manipulation'!$X$39:$X$42,$E95,'Data manipulation'!$Y$39:$Y$42,$D95)</f>
        <v>7.3451700000000009E-2</v>
      </c>
      <c r="Z95" s="270">
        <f>_xlfn.IFNA(INDEX('Data manipulation'!$C$23:$O$39,MATCH($V95,'Data manipulation'!$B$23:$B$39,0),MATCH($X95,'Data manipulation'!$C$22:$O$22,0))/1000,0)*SUMIFS('Regional split'!$F$4:$F$6,'Regional split'!$B$4:$B$6,Z$3)*SUMIFS('Data manipulation'!$V$39:$V$42,'Data manipulation'!$X$39:$X$42,$E95,'Data manipulation'!$Y$39:$Y$42,$D95)</f>
        <v>0</v>
      </c>
      <c r="AA95" s="454">
        <f>_xlfn.IFNA(INDEX('Data manipulation'!$C$23:$O$39,MATCH($V95,'Data manipulation'!$B$23:$B$39,0),MATCH($X95,'Data manipulation'!$C$22:$O$22,0))/1000,0)*SUMIFS('Regional split'!$F$4:$F$6,'Regional split'!$B$4:$B$6,AA$3)*SUMIFS('Data manipulation'!$V$39:$V$42,'Data manipulation'!$X$39:$X$42,$E95,'Data manipulation'!$Y$39:$Y$42,$D95)</f>
        <v>0</v>
      </c>
      <c r="AB95" s="443">
        <f t="shared" si="66"/>
        <v>7.3451700000000009E-2</v>
      </c>
      <c r="AC95" s="251">
        <f t="shared" si="67"/>
        <v>0</v>
      </c>
      <c r="AD95" s="444">
        <f t="shared" si="68"/>
        <v>0</v>
      </c>
      <c r="AE95" s="262"/>
      <c r="AU95" s="260"/>
      <c r="AZ95" s="252"/>
    </row>
    <row r="96" spans="2:52" ht="15" customHeight="1">
      <c r="B96" s="233" t="str">
        <f t="shared" ref="B96:G96" si="133">B56</f>
        <v>CHTUDELCHE1</v>
      </c>
      <c r="C96" s="233" t="str">
        <f t="shared" si="133"/>
        <v>Commercial Heating Technology Urban Detached - Electricity Heating - Existing 1</v>
      </c>
      <c r="D96" s="233" t="str">
        <f t="shared" si="133"/>
        <v>Urban</v>
      </c>
      <c r="E96" s="233" t="str">
        <f t="shared" si="133"/>
        <v>Detached</v>
      </c>
      <c r="F96" s="233" t="str">
        <f t="shared" si="133"/>
        <v>COMELCH</v>
      </c>
      <c r="G96" s="233" t="str">
        <f t="shared" si="133"/>
        <v>COMHUDB</v>
      </c>
      <c r="H96" s="230">
        <v>2018</v>
      </c>
      <c r="I96" s="250">
        <f t="shared" si="125"/>
        <v>1981.1</v>
      </c>
      <c r="J96" s="250">
        <f t="shared" si="126"/>
        <v>0</v>
      </c>
      <c r="K96" s="250">
        <f t="shared" si="127"/>
        <v>0</v>
      </c>
      <c r="L96" s="460">
        <v>1</v>
      </c>
      <c r="M96" s="460">
        <v>1</v>
      </c>
      <c r="N96" s="460">
        <v>1</v>
      </c>
      <c r="O96" s="244">
        <f t="shared" si="129"/>
        <v>3.1536000000000002E-2</v>
      </c>
      <c r="P96" s="458">
        <v>0.2</v>
      </c>
      <c r="Q96" s="245">
        <v>30</v>
      </c>
      <c r="R96" s="227">
        <v>1.05</v>
      </c>
      <c r="T96" s="268">
        <f t="shared" si="83"/>
        <v>12.49519392</v>
      </c>
      <c r="U96" s="268"/>
      <c r="V96" s="589" t="str">
        <f>'Data manipulation'!$B$33</f>
        <v>Electricity</v>
      </c>
      <c r="W96" s="254" t="s">
        <v>169</v>
      </c>
      <c r="X96" s="246">
        <v>2018</v>
      </c>
      <c r="Y96" s="432">
        <f>_xlfn.IFNA(INDEX('Data manipulation'!$C$23:$O$39,MATCH($V96,'Data manipulation'!$B$23:$B$39,0),MATCH($X96,'Data manipulation'!$C$22:$O$22,0))/1000,0)*SUMIFS('Regional split'!$F$4:$F$6,'Regional split'!$B$4:$B$6,Y$3)*SUMIFS('Data manipulation'!$V$39:$V$42,'Data manipulation'!$X$39:$X$42,$E96,'Data manipulation'!$Y$39:$Y$42,$D96)</f>
        <v>11.899926886307286</v>
      </c>
      <c r="Z96" s="270">
        <f>_xlfn.IFNA(INDEX('Data manipulation'!$C$23:$O$39,MATCH($V96,'Data manipulation'!$B$23:$B$39,0),MATCH($X96,'Data manipulation'!$C$22:$O$22,0))/1000,0)*SUMIFS('Regional split'!$F$4:$F$6,'Regional split'!$B$4:$B$6,Z$3)*SUMIFS('Data manipulation'!$V$39:$V$42,'Data manipulation'!$X$39:$X$42,$E96,'Data manipulation'!$Y$39:$Y$42,$D96)</f>
        <v>0</v>
      </c>
      <c r="AA96" s="454">
        <f>_xlfn.IFNA(INDEX('Data manipulation'!$C$23:$O$39,MATCH($V96,'Data manipulation'!$B$23:$B$39,0),MATCH($X96,'Data manipulation'!$C$22:$O$22,0))/1000,0)*SUMIFS('Regional split'!$F$4:$F$6,'Regional split'!$B$4:$B$6,AA$3)*SUMIFS('Data manipulation'!$V$39:$V$42,'Data manipulation'!$X$39:$X$42,$E96,'Data manipulation'!$Y$39:$Y$42,$D96)</f>
        <v>0</v>
      </c>
      <c r="AB96" s="443">
        <f t="shared" si="66"/>
        <v>11.899926886307286</v>
      </c>
      <c r="AC96" s="251">
        <f t="shared" si="67"/>
        <v>0</v>
      </c>
      <c r="AD96" s="444">
        <f t="shared" si="68"/>
        <v>0</v>
      </c>
      <c r="AU96" s="260"/>
      <c r="AZ96" s="252"/>
    </row>
    <row r="97" spans="2:52" ht="15" customHeight="1">
      <c r="B97" s="233" t="str">
        <f t="shared" ref="B97:G97" si="134">B57</f>
        <v>CHTUDELCHE2</v>
      </c>
      <c r="C97" s="233" t="str">
        <f t="shared" si="134"/>
        <v>Commercial Heating Technology Urban Detached - Electricity Heating - Existing 2</v>
      </c>
      <c r="D97" s="233" t="str">
        <f t="shared" si="134"/>
        <v>Urban</v>
      </c>
      <c r="E97" s="233" t="str">
        <f t="shared" si="134"/>
        <v>Detached</v>
      </c>
      <c r="F97" s="233" t="str">
        <f t="shared" si="134"/>
        <v>COMELCH</v>
      </c>
      <c r="G97" s="233" t="str">
        <f t="shared" si="134"/>
        <v>COMHUDB</v>
      </c>
      <c r="H97" s="230">
        <v>2018</v>
      </c>
      <c r="I97" s="250">
        <f t="shared" si="125"/>
        <v>539.30000000000007</v>
      </c>
      <c r="J97" s="250">
        <f t="shared" si="126"/>
        <v>0</v>
      </c>
      <c r="K97" s="250">
        <f t="shared" si="127"/>
        <v>0</v>
      </c>
      <c r="L97" s="460">
        <v>2.3149999999999999</v>
      </c>
      <c r="M97" s="460">
        <v>2.3149999999999999</v>
      </c>
      <c r="N97" s="460">
        <v>2.3149999999999999</v>
      </c>
      <c r="O97" s="244">
        <f t="shared" si="129"/>
        <v>3.1536000000000002E-2</v>
      </c>
      <c r="P97" s="458">
        <v>0.2</v>
      </c>
      <c r="Q97" s="245">
        <v>30</v>
      </c>
      <c r="R97" s="227">
        <v>1.05</v>
      </c>
      <c r="T97" s="268">
        <f t="shared" si="83"/>
        <v>1.4693187732181427</v>
      </c>
      <c r="U97" s="268"/>
      <c r="V97" s="589" t="str">
        <f>'Data manipulation'!$B$30</f>
        <v>Ambient heat (heat pumps)</v>
      </c>
      <c r="W97" s="254" t="s">
        <v>170</v>
      </c>
      <c r="X97" s="246">
        <v>2018</v>
      </c>
      <c r="Y97" s="432">
        <f>_xlfn.IFNA(INDEX('Data manipulation'!$C$23:$O$39,MATCH($V97,'Data manipulation'!$B$23:$B$39,0),MATCH($X97,'Data manipulation'!$C$22:$O$22,0))/1000,0)*SUMIFS('Regional split'!$F$4:$F$6,'Regional split'!$B$4:$B$6,Y$3)*SUMIFS('Data manipulation'!$V$39:$V$42,'Data manipulation'!$X$39:$X$42,$E97,'Data manipulation'!$Y$39:$Y$42,$D97)</f>
        <v>1.3992342</v>
      </c>
      <c r="Z97" s="270">
        <f>_xlfn.IFNA(INDEX('Data manipulation'!$C$23:$O$39,MATCH($V97,'Data manipulation'!$B$23:$B$39,0),MATCH($X97,'Data manipulation'!$C$22:$O$22,0))/1000,0)*SUMIFS('Regional split'!$F$4:$F$6,'Regional split'!$B$4:$B$6,Z$3)*SUMIFS('Data manipulation'!$V$39:$V$42,'Data manipulation'!$X$39:$X$42,$E97,'Data manipulation'!$Y$39:$Y$42,$D97)</f>
        <v>0</v>
      </c>
      <c r="AA97" s="454">
        <f>_xlfn.IFNA(INDEX('Data manipulation'!$C$23:$O$39,MATCH($V97,'Data manipulation'!$B$23:$B$39,0),MATCH($X97,'Data manipulation'!$C$22:$O$22,0))/1000,0)*SUMIFS('Regional split'!$F$4:$F$6,'Regional split'!$B$4:$B$6,AA$3)*SUMIFS('Data manipulation'!$V$39:$V$42,'Data manipulation'!$X$39:$X$42,$E97,'Data manipulation'!$Y$39:$Y$42,$D97)</f>
        <v>0</v>
      </c>
      <c r="AB97" s="443">
        <f t="shared" si="66"/>
        <v>3.2392271729999997</v>
      </c>
      <c r="AC97" s="251">
        <f t="shared" si="67"/>
        <v>0</v>
      </c>
      <c r="AD97" s="444">
        <f t="shared" si="68"/>
        <v>0</v>
      </c>
      <c r="AU97" s="260"/>
      <c r="AZ97" s="252"/>
    </row>
    <row r="98" spans="2:52" ht="15" customHeight="1">
      <c r="B98" s="233" t="str">
        <f t="shared" ref="B98:G98" si="135">B58</f>
        <v>CHTUDHCEE1</v>
      </c>
      <c r="C98" s="233" t="str">
        <f t="shared" si="135"/>
        <v>Commercial Heating Technology Urban Detached - District heating Central - Existing 1</v>
      </c>
      <c r="D98" s="233" t="str">
        <f t="shared" si="135"/>
        <v>Urban</v>
      </c>
      <c r="E98" s="233" t="str">
        <f t="shared" si="135"/>
        <v>Detached</v>
      </c>
      <c r="F98" s="233" t="str">
        <f t="shared" si="135"/>
        <v>COMHCE</v>
      </c>
      <c r="G98" s="233" t="str">
        <f t="shared" si="135"/>
        <v>COMHUDX</v>
      </c>
      <c r="H98" s="230">
        <v>2018</v>
      </c>
      <c r="I98" s="250">
        <f t="shared" si="125"/>
        <v>3386.5</v>
      </c>
      <c r="J98" s="565">
        <v>0</v>
      </c>
      <c r="K98" s="565">
        <v>0</v>
      </c>
      <c r="L98" s="460">
        <v>0.95</v>
      </c>
      <c r="M98" s="460">
        <v>0.95</v>
      </c>
      <c r="N98" s="460">
        <v>0.95</v>
      </c>
      <c r="O98" s="244">
        <f t="shared" si="129"/>
        <v>3.1536000000000002E-2</v>
      </c>
      <c r="P98" s="458">
        <v>0.2</v>
      </c>
      <c r="Q98" s="245">
        <v>30</v>
      </c>
      <c r="R98" s="227">
        <v>1.05</v>
      </c>
      <c r="T98" s="268">
        <f t="shared" si="83"/>
        <v>22.48350821052632</v>
      </c>
      <c r="U98" s="268"/>
      <c r="V98" s="589" t="str">
        <f>'Data manipulation'!$B$34</f>
        <v>Heat</v>
      </c>
      <c r="W98" s="254" t="s">
        <v>171</v>
      </c>
      <c r="X98" s="246">
        <v>2018</v>
      </c>
      <c r="Y98" s="432">
        <f>_xlfn.IFNA(INDEX('Data manipulation'!$C$23:$O$39,MATCH($V98,'Data manipulation'!$B$23:$B$39,0),MATCH($X98,'Data manipulation'!$C$22:$O$22,0))/1000,0)*SUMIFS('Regional split'!$F$4:$F$6,'Regional split'!$B$4:$B$6,Y$3)*SUMIFS('Data manipulation'!$V$39:$V$42,'Data manipulation'!$X$39:$X$42,$E98,'Data manipulation'!$Y$39:$Y$42,$D98)</f>
        <v>21.412349163719409</v>
      </c>
      <c r="Z98" s="270">
        <f>_xlfn.IFNA(INDEX('Data manipulation'!$C$23:$O$39,MATCH($V98,'Data manipulation'!$B$23:$B$39,0),MATCH($X98,'Data manipulation'!$C$22:$O$22,0))/1000,0)*SUMIFS('Regional split'!$F$4:$F$6,'Regional split'!$B$4:$B$6,Z$3)*SUMIFS('Data manipulation'!$V$39:$V$42,'Data manipulation'!$X$39:$X$42,$E98,'Data manipulation'!$Y$39:$Y$42,$D98)</f>
        <v>0</v>
      </c>
      <c r="AA98" s="454">
        <f>_xlfn.IFNA(INDEX('Data manipulation'!$C$23:$O$39,MATCH($V98,'Data manipulation'!$B$23:$B$39,0),MATCH($X98,'Data manipulation'!$C$22:$O$22,0))/1000,0)*SUMIFS('Regional split'!$F$4:$F$6,'Regional split'!$B$4:$B$6,AA$3)*SUMIFS('Data manipulation'!$V$39:$V$42,'Data manipulation'!$X$39:$X$42,$E98,'Data manipulation'!$Y$39:$Y$42,$D98)</f>
        <v>0</v>
      </c>
      <c r="AB98" s="443">
        <f t="shared" si="66"/>
        <v>20.341731705533437</v>
      </c>
      <c r="AC98" s="251">
        <f t="shared" si="67"/>
        <v>0</v>
      </c>
      <c r="AD98" s="444">
        <f t="shared" si="68"/>
        <v>0</v>
      </c>
      <c r="AU98" s="260"/>
      <c r="AZ98" s="252"/>
    </row>
    <row r="99" spans="2:52" ht="15" customHeight="1" thickBot="1">
      <c r="B99" s="255" t="str">
        <f t="shared" ref="B99:G99" si="136">B59</f>
        <v>CHTUDLPGE1</v>
      </c>
      <c r="C99" s="255" t="str">
        <f t="shared" si="136"/>
        <v>Commercial Heating Technology Urban Detached - LPG - Existing 1</v>
      </c>
      <c r="D99" s="528" t="str">
        <f t="shared" si="136"/>
        <v>Urban</v>
      </c>
      <c r="E99" s="528" t="str">
        <f t="shared" si="136"/>
        <v>Detached</v>
      </c>
      <c r="F99" s="255" t="str">
        <f t="shared" si="136"/>
        <v>COMLPG</v>
      </c>
      <c r="G99" s="255" t="str">
        <f t="shared" si="136"/>
        <v>COMHUDB</v>
      </c>
      <c r="H99" s="422">
        <v>2018</v>
      </c>
      <c r="I99" s="297">
        <f t="shared" ref="I99" si="137">ROUNDUP(AB99/($O99*$P99)*$R99,1)</f>
        <v>413.5</v>
      </c>
      <c r="J99" s="297">
        <f t="shared" ref="J99" si="138">ROUNDUP(AC99/($O99*$P99)*$R99,1)</f>
        <v>0</v>
      </c>
      <c r="K99" s="297">
        <f t="shared" ref="K99" si="139">ROUNDUP(AD99/($O99*$P99)*$R99,1)</f>
        <v>0</v>
      </c>
      <c r="L99" s="461">
        <v>0.95</v>
      </c>
      <c r="M99" s="461">
        <v>0.95</v>
      </c>
      <c r="N99" s="461">
        <v>0.95</v>
      </c>
      <c r="O99" s="257">
        <f t="shared" si="129"/>
        <v>3.1536000000000002E-2</v>
      </c>
      <c r="P99" s="458">
        <v>0.2</v>
      </c>
      <c r="Q99" s="258">
        <v>30</v>
      </c>
      <c r="R99" s="227">
        <v>1.05</v>
      </c>
      <c r="T99" s="268">
        <f t="shared" si="83"/>
        <v>2.7452917894736846</v>
      </c>
      <c r="U99" s="268"/>
      <c r="V99" s="590" t="str">
        <f>'Data manipulation'!$B$25</f>
        <v>Liquefied petroleum gas</v>
      </c>
      <c r="W99" s="427" t="s">
        <v>759</v>
      </c>
      <c r="X99" s="246">
        <v>2018</v>
      </c>
      <c r="Y99" s="433">
        <f>_xlfn.IFNA(INDEX('Data manipulation'!$C$23:$O$39,MATCH($V99,'Data manipulation'!$B$23:$B$39,0),MATCH($X99,'Data manipulation'!$C$22:$O$22,0))/1000,0)*SUMIFS('Regional split'!$F$4:$F$6,'Regional split'!$B$4:$B$6,Y$3)*SUMIFS('Data manipulation'!$V$39:$V$42,'Data manipulation'!$X$39:$X$42,$E99,'Data manipulation'!$Y$39:$Y$42,$D99)</f>
        <v>2.61402036</v>
      </c>
      <c r="Z99" s="430">
        <f>_xlfn.IFNA(INDEX('Data manipulation'!$C$23:$O$39,MATCH($V99,'Data manipulation'!$B$23:$B$39,0),MATCH($X99,'Data manipulation'!$C$22:$O$22,0))/1000,0)*SUMIFS('Regional split'!$F$4:$F$6,'Regional split'!$B$4:$B$6,Z$3)*SUMIFS('Data manipulation'!$V$39:$V$42,'Data manipulation'!$X$39:$X$42,$E99,'Data manipulation'!$Y$39:$Y$42,$D99)</f>
        <v>0</v>
      </c>
      <c r="AA99" s="455">
        <f>_xlfn.IFNA(INDEX('Data manipulation'!$C$23:$O$39,MATCH($V99,'Data manipulation'!$B$23:$B$39,0),MATCH($X99,'Data manipulation'!$C$22:$O$22,0))/1000,0)*SUMIFS('Regional split'!$F$4:$F$6,'Regional split'!$B$4:$B$6,AA$3)*SUMIFS('Data manipulation'!$V$39:$V$42,'Data manipulation'!$X$39:$X$42,$E99,'Data manipulation'!$Y$39:$Y$42,$D99)</f>
        <v>0</v>
      </c>
      <c r="AB99" s="450">
        <f t="shared" si="66"/>
        <v>2.4833193419999997</v>
      </c>
      <c r="AC99" s="277">
        <f t="shared" si="67"/>
        <v>0</v>
      </c>
      <c r="AD99" s="446">
        <f t="shared" si="68"/>
        <v>0</v>
      </c>
      <c r="AU99" s="260"/>
      <c r="AZ99" s="252"/>
    </row>
    <row r="100" spans="2:52" ht="15" customHeight="1">
      <c r="B100" s="233" t="str">
        <f t="shared" ref="B100:G100" si="140">B60</f>
        <v>CHTRDNGAE1</v>
      </c>
      <c r="C100" s="233" t="str">
        <f t="shared" si="140"/>
        <v>Commercial Heating Technology Rural Detached - Natural Gas - Existing 1</v>
      </c>
      <c r="D100" s="233" t="str">
        <f t="shared" si="140"/>
        <v>Rural</v>
      </c>
      <c r="E100" s="233" t="str">
        <f t="shared" si="140"/>
        <v>Detached</v>
      </c>
      <c r="F100" s="233" t="str">
        <f t="shared" si="140"/>
        <v>COMNGA,COMSNG</v>
      </c>
      <c r="G100" s="233" t="str">
        <f t="shared" si="140"/>
        <v>COMHRDB</v>
      </c>
      <c r="H100" s="259">
        <v>2018</v>
      </c>
      <c r="I100" s="250">
        <f>ROUNDUP(AB100/($O100*$P100)*$R100,1)</f>
        <v>15394.2</v>
      </c>
      <c r="J100" s="250">
        <f>ROUNDUP(AC100/($O100*$P100)*$R100,1)</f>
        <v>0</v>
      </c>
      <c r="K100" s="250">
        <f>ROUNDUP(AD100/($O100*$P100)*$R100,1)</f>
        <v>0</v>
      </c>
      <c r="L100" s="460">
        <v>0.79</v>
      </c>
      <c r="M100" s="460">
        <v>0.79</v>
      </c>
      <c r="N100" s="460">
        <v>0.79</v>
      </c>
      <c r="O100" s="244">
        <f t="shared" si="129"/>
        <v>3.1536000000000002E-2</v>
      </c>
      <c r="P100" s="458">
        <v>0.2</v>
      </c>
      <c r="Q100" s="245">
        <v>25</v>
      </c>
      <c r="R100" s="227">
        <v>1.05</v>
      </c>
      <c r="T100" s="268">
        <f t="shared" si="83"/>
        <v>122.90417498734179</v>
      </c>
      <c r="U100" s="268"/>
      <c r="V100" s="589" t="str">
        <f>'Data manipulation'!$B$36</f>
        <v>Natural gas and biogas</v>
      </c>
      <c r="W100" s="246" t="s">
        <v>167</v>
      </c>
      <c r="X100" s="246">
        <v>2018</v>
      </c>
      <c r="Y100" s="432">
        <f>_xlfn.IFNA(INDEX('Data manipulation'!$C$23:$O$39,MATCH($V100,'Data manipulation'!$B$23:$B$39,0),MATCH($X100,'Data manipulation'!$C$22:$O$22,0))/1000,0)*SUMIFS('Regional split'!$F$4:$F$6,'Regional split'!$B$4:$B$6,Y$3)*SUMIFS('Data manipulation'!$V$39:$V$42,'Data manipulation'!$X$39:$X$42,$E100,'Data manipulation'!$Y$39:$Y$42,$D100)</f>
        <v>117.05158604969863</v>
      </c>
      <c r="Z100" s="270">
        <f>_xlfn.IFNA(INDEX('Data manipulation'!$C$23:$O$39,MATCH($V100,'Data manipulation'!$B$23:$B$39,0),MATCH($X100,'Data manipulation'!$C$22:$O$22,0))/1000,0)*SUMIFS('Regional split'!$F$4:$F$6,'Regional split'!$B$4:$B$6,Z$3)*SUMIFS('Data manipulation'!$V$39:$V$42,'Data manipulation'!$X$39:$X$42,$E100,'Data manipulation'!$Y$39:$Y$42,$D100)</f>
        <v>0</v>
      </c>
      <c r="AA100" s="454">
        <f>_xlfn.IFNA(INDEX('Data manipulation'!$C$23:$O$39,MATCH($V100,'Data manipulation'!$B$23:$B$39,0),MATCH($X100,'Data manipulation'!$C$22:$O$22,0))/1000,0)*SUMIFS('Regional split'!$F$4:$F$6,'Regional split'!$B$4:$B$6,AA$3)*SUMIFS('Data manipulation'!$V$39:$V$42,'Data manipulation'!$X$39:$X$42,$E100,'Data manipulation'!$Y$39:$Y$42,$D100)</f>
        <v>0</v>
      </c>
      <c r="AB100" s="451">
        <f t="shared" si="66"/>
        <v>92.470752979261917</v>
      </c>
      <c r="AC100" s="278">
        <f t="shared" si="67"/>
        <v>0</v>
      </c>
      <c r="AD100" s="447">
        <f t="shared" si="68"/>
        <v>0</v>
      </c>
      <c r="AU100" s="260"/>
      <c r="AZ100" s="252"/>
    </row>
    <row r="101" spans="2:52" ht="15" customHeight="1">
      <c r="B101" s="233" t="str">
        <f t="shared" ref="B101:G101" si="141">B61</f>
        <v>CHTRDDSLE1</v>
      </c>
      <c r="C101" s="233" t="str">
        <f t="shared" si="141"/>
        <v>Commercial Heating Technology Rural Detached - Diesel - Existing 1</v>
      </c>
      <c r="D101" s="233" t="str">
        <f t="shared" si="141"/>
        <v>Rural</v>
      </c>
      <c r="E101" s="233" t="str">
        <f t="shared" si="141"/>
        <v>Detached</v>
      </c>
      <c r="F101" s="233" t="str">
        <f t="shared" si="141"/>
        <v>COMDSL,COMDSB</v>
      </c>
      <c r="G101" s="233" t="str">
        <f t="shared" si="141"/>
        <v>COMHRDB</v>
      </c>
      <c r="H101" s="259">
        <v>2018</v>
      </c>
      <c r="I101" s="250">
        <f t="shared" ref="I101:I107" si="142">ROUNDUP(AB101/($O101*$P101)*$R101,1)</f>
        <v>4619.5</v>
      </c>
      <c r="J101" s="250">
        <f t="shared" ref="J101:J107" si="143">ROUNDUP(AC101/($O101*$P101)*$R101,1)</f>
        <v>0</v>
      </c>
      <c r="K101" s="250">
        <f t="shared" ref="K101:K107" si="144">ROUNDUP(AD101/($O101*$P101)*$R101,1)</f>
        <v>0</v>
      </c>
      <c r="L101" s="460">
        <v>0.79</v>
      </c>
      <c r="M101" s="460">
        <v>0.79</v>
      </c>
      <c r="N101" s="460">
        <v>0.79</v>
      </c>
      <c r="O101" s="244">
        <f t="shared" si="129"/>
        <v>3.1536000000000002E-2</v>
      </c>
      <c r="P101" s="458">
        <v>0.2</v>
      </c>
      <c r="Q101" s="245">
        <v>20</v>
      </c>
      <c r="R101" s="227">
        <v>1.05</v>
      </c>
      <c r="T101" s="268">
        <f t="shared" si="83"/>
        <v>36.881152405063297</v>
      </c>
      <c r="V101" s="589" t="str">
        <f>'Data manipulation'!$B$28</f>
        <v>Gas oil and diesel oil and biodiesel</v>
      </c>
      <c r="W101" s="254" t="s">
        <v>718</v>
      </c>
      <c r="X101" s="246">
        <v>2018</v>
      </c>
      <c r="Y101" s="432">
        <f>_xlfn.IFNA(INDEX('Data manipulation'!$C$23:$O$39,MATCH($V101,'Data manipulation'!$B$23:$B$39,0),MATCH($X101,'Data manipulation'!$C$22:$O$22,0))/1000,0)*SUMIFS('Regional split'!$F$4:$F$6,'Regional split'!$B$4:$B$6,Y$3)*SUMIFS('Data manipulation'!$V$39:$V$42,'Data manipulation'!$X$39:$X$42,$E101,'Data manipulation'!$Y$39:$Y$42,$D101)</f>
        <v>35.12476442340904</v>
      </c>
      <c r="Z101" s="270">
        <f>_xlfn.IFNA(INDEX('Data manipulation'!$C$23:$O$39,MATCH($V101,'Data manipulation'!$B$23:$B$39,0),MATCH($X101,'Data manipulation'!$C$22:$O$22,0))/1000,0)*SUMIFS('Regional split'!$F$4:$F$6,'Regional split'!$B$4:$B$6,Z$3)*SUMIFS('Data manipulation'!$V$39:$V$42,'Data manipulation'!$X$39:$X$42,$E101,'Data manipulation'!$Y$39:$Y$42,$D101)</f>
        <v>0</v>
      </c>
      <c r="AA101" s="454">
        <f>_xlfn.IFNA(INDEX('Data manipulation'!$C$23:$O$39,MATCH($V101,'Data manipulation'!$B$23:$B$39,0),MATCH($X101,'Data manipulation'!$C$22:$O$22,0))/1000,0)*SUMIFS('Regional split'!$F$4:$F$6,'Regional split'!$B$4:$B$6,AA$3)*SUMIFS('Data manipulation'!$V$39:$V$42,'Data manipulation'!$X$39:$X$42,$E101,'Data manipulation'!$Y$39:$Y$42,$D101)</f>
        <v>0</v>
      </c>
      <c r="AB101" s="443">
        <f t="shared" si="66"/>
        <v>27.748563894493142</v>
      </c>
      <c r="AC101" s="251">
        <f t="shared" si="67"/>
        <v>0</v>
      </c>
      <c r="AD101" s="444">
        <f t="shared" si="68"/>
        <v>0</v>
      </c>
      <c r="AU101" s="260"/>
      <c r="AZ101" s="252"/>
    </row>
    <row r="102" spans="2:52" ht="15" customHeight="1">
      <c r="B102" s="233" t="str">
        <f t="shared" ref="B102:G102" si="145">B62</f>
        <v>CHTRDWPEE1</v>
      </c>
      <c r="C102" s="233" t="str">
        <f t="shared" si="145"/>
        <v>Commercial Heating Technology Rural Detached - Wood pellets - Existing 1</v>
      </c>
      <c r="D102" s="233" t="str">
        <f t="shared" si="145"/>
        <v>Rural</v>
      </c>
      <c r="E102" s="233" t="str">
        <f t="shared" si="145"/>
        <v>Detached</v>
      </c>
      <c r="F102" s="233" t="str">
        <f t="shared" si="145"/>
        <v>COMWPE</v>
      </c>
      <c r="G102" s="233" t="str">
        <f t="shared" si="145"/>
        <v>COMHRDB</v>
      </c>
      <c r="H102" s="259">
        <v>2018</v>
      </c>
      <c r="I102" s="250">
        <f t="shared" si="142"/>
        <v>0</v>
      </c>
      <c r="J102" s="250">
        <f t="shared" si="143"/>
        <v>0</v>
      </c>
      <c r="K102" s="250">
        <f t="shared" si="144"/>
        <v>0</v>
      </c>
      <c r="L102" s="460">
        <v>0.67</v>
      </c>
      <c r="M102" s="460">
        <v>0.67</v>
      </c>
      <c r="N102" s="460">
        <v>0.67</v>
      </c>
      <c r="O102" s="244">
        <f>31.536/1000</f>
        <v>3.1536000000000002E-2</v>
      </c>
      <c r="P102" s="458">
        <v>0.2</v>
      </c>
      <c r="Q102" s="245">
        <v>20</v>
      </c>
      <c r="R102" s="227">
        <v>1.05</v>
      </c>
      <c r="T102" s="268">
        <f t="shared" si="83"/>
        <v>0</v>
      </c>
      <c r="U102" s="268"/>
      <c r="W102" s="254" t="s">
        <v>849</v>
      </c>
      <c r="X102" s="246">
        <v>2018</v>
      </c>
      <c r="Y102" s="432">
        <f>_xlfn.IFNA(INDEX('Data manipulation'!$C$23:$O$39,MATCH($V102,'Data manipulation'!$B$23:$B$39,0),MATCH($X102,'Data manipulation'!$C$22:$O$22,0))/1000,0)*SUMIFS('Regional split'!$F$4:$F$6,'Regional split'!$B$4:$B$6,Y$3)*SUMIFS('Data manipulation'!$V$39:$V$42,'Data manipulation'!$X$39:$X$42,$E102,'Data manipulation'!$Y$39:$Y$42,$D102)</f>
        <v>0</v>
      </c>
      <c r="Z102" s="270">
        <f>_xlfn.IFNA(INDEX('Data manipulation'!$C$23:$O$39,MATCH($V102,'Data manipulation'!$B$23:$B$39,0),MATCH($X102,'Data manipulation'!$C$22:$O$22,0))/1000,0)*SUMIFS('Regional split'!$F$4:$F$6,'Regional split'!$B$4:$B$6,Z$3)*SUMIFS('Data manipulation'!$V$39:$V$42,'Data manipulation'!$X$39:$X$42,$E102,'Data manipulation'!$Y$39:$Y$42,$D102)</f>
        <v>0</v>
      </c>
      <c r="AA102" s="454">
        <f>_xlfn.IFNA(INDEX('Data manipulation'!$C$23:$O$39,MATCH($V102,'Data manipulation'!$B$23:$B$39,0),MATCH($X102,'Data manipulation'!$C$22:$O$22,0))/1000,0)*SUMIFS('Regional split'!$F$4:$F$6,'Regional split'!$B$4:$B$6,AA$3)*SUMIFS('Data manipulation'!$V$39:$V$42,'Data manipulation'!$X$39:$X$42,$E102,'Data manipulation'!$Y$39:$Y$42,$D102)</f>
        <v>0</v>
      </c>
      <c r="AB102" s="443">
        <f t="shared" si="66"/>
        <v>0</v>
      </c>
      <c r="AC102" s="251">
        <f t="shared" si="67"/>
        <v>0</v>
      </c>
      <c r="AD102" s="444">
        <f t="shared" si="68"/>
        <v>0</v>
      </c>
      <c r="AU102" s="260"/>
      <c r="AZ102" s="252"/>
    </row>
    <row r="103" spans="2:52" ht="15" customHeight="1">
      <c r="B103" s="233" t="str">
        <f t="shared" ref="B103:G103" si="146">B63</f>
        <v>CHTRDFIWE1</v>
      </c>
      <c r="C103" s="233" t="str">
        <f t="shared" si="146"/>
        <v>Commercial Heating Technology Rural Detached - Fire wood - Existing 1</v>
      </c>
      <c r="D103" s="233" t="str">
        <f t="shared" si="146"/>
        <v>Rural</v>
      </c>
      <c r="E103" s="233" t="str">
        <f t="shared" si="146"/>
        <v>Detached</v>
      </c>
      <c r="F103" s="233" t="str">
        <f t="shared" si="146"/>
        <v>COMFIW</v>
      </c>
      <c r="G103" s="233" t="str">
        <f t="shared" si="146"/>
        <v>COMHRDB</v>
      </c>
      <c r="H103" s="259">
        <v>2018</v>
      </c>
      <c r="I103" s="250">
        <f t="shared" si="142"/>
        <v>1917.3</v>
      </c>
      <c r="J103" s="250">
        <f t="shared" si="143"/>
        <v>0</v>
      </c>
      <c r="K103" s="250">
        <f t="shared" si="144"/>
        <v>0</v>
      </c>
      <c r="L103" s="460">
        <v>0.67</v>
      </c>
      <c r="M103" s="460">
        <v>0.67</v>
      </c>
      <c r="N103" s="460">
        <v>0.67</v>
      </c>
      <c r="O103" s="244">
        <f>31.536/1000</f>
        <v>3.1536000000000002E-2</v>
      </c>
      <c r="P103" s="458">
        <v>0.2</v>
      </c>
      <c r="Q103" s="245">
        <v>20</v>
      </c>
      <c r="R103" s="227">
        <v>1.05</v>
      </c>
      <c r="T103" s="268">
        <f t="shared" si="83"/>
        <v>18.048947104477612</v>
      </c>
      <c r="U103" s="268"/>
      <c r="V103" s="589" t="str">
        <f>'Data manipulation'!$B$31</f>
        <v>Primary solid biofuels</v>
      </c>
      <c r="W103" s="254" t="s">
        <v>176</v>
      </c>
      <c r="X103" s="246">
        <v>2018</v>
      </c>
      <c r="Y103" s="432">
        <f>_xlfn.IFNA(INDEX('Data manipulation'!$C$23:$O$39,MATCH($V103,'Data manipulation'!$B$23:$B$39,0),MATCH($X103,'Data manipulation'!$C$22:$O$22,0))/1000,0)*SUMIFS('Regional split'!$F$4:$F$6,'Regional split'!$B$4:$B$6,Y$3)*SUMIFS('Data manipulation'!$V$39:$V$42,'Data manipulation'!$X$39:$X$42,$E103,'Data manipulation'!$Y$39:$Y$42,$D103)</f>
        <v>17.189020516128686</v>
      </c>
      <c r="Z103" s="270">
        <f>_xlfn.IFNA(INDEX('Data manipulation'!$C$23:$O$39,MATCH($V103,'Data manipulation'!$B$23:$B$39,0),MATCH($X103,'Data manipulation'!$C$22:$O$22,0))/1000,0)*SUMIFS('Regional split'!$F$4:$F$6,'Regional split'!$B$4:$B$6,Z$3)*SUMIFS('Data manipulation'!$V$39:$V$42,'Data manipulation'!$X$39:$X$42,$E103,'Data manipulation'!$Y$39:$Y$42,$D103)</f>
        <v>0</v>
      </c>
      <c r="AA103" s="454">
        <f>_xlfn.IFNA(INDEX('Data manipulation'!$C$23:$O$39,MATCH($V103,'Data manipulation'!$B$23:$B$39,0),MATCH($X103,'Data manipulation'!$C$22:$O$22,0))/1000,0)*SUMIFS('Regional split'!$F$4:$F$6,'Regional split'!$B$4:$B$6,AA$3)*SUMIFS('Data manipulation'!$V$39:$V$42,'Data manipulation'!$X$39:$X$42,$E103,'Data manipulation'!$Y$39:$Y$42,$D103)</f>
        <v>0</v>
      </c>
      <c r="AB103" s="443">
        <f t="shared" si="66"/>
        <v>11.516643745806221</v>
      </c>
      <c r="AC103" s="251">
        <f t="shared" si="67"/>
        <v>0</v>
      </c>
      <c r="AD103" s="444">
        <f t="shared" si="68"/>
        <v>0</v>
      </c>
      <c r="AU103" s="260"/>
      <c r="AZ103" s="252"/>
    </row>
    <row r="104" spans="2:52" ht="15" customHeight="1">
      <c r="B104" s="233" t="str">
        <f t="shared" ref="B104:G104" si="147">B64</f>
        <v>CHTRDCOAE1</v>
      </c>
      <c r="C104" s="233" t="str">
        <f t="shared" si="147"/>
        <v>Commercial Heating Technology Rural Detached - Coal - Existing 1</v>
      </c>
      <c r="D104" s="233" t="str">
        <f t="shared" si="147"/>
        <v>Rural</v>
      </c>
      <c r="E104" s="233" t="str">
        <f t="shared" si="147"/>
        <v>Detached</v>
      </c>
      <c r="F104" s="233" t="str">
        <f t="shared" si="147"/>
        <v>COMCOA</v>
      </c>
      <c r="G104" s="233" t="str">
        <f t="shared" si="147"/>
        <v>COMHRDB</v>
      </c>
      <c r="H104" s="259">
        <v>2018</v>
      </c>
      <c r="I104" s="250">
        <f t="shared" si="142"/>
        <v>33.5</v>
      </c>
      <c r="J104" s="250">
        <f t="shared" si="143"/>
        <v>0</v>
      </c>
      <c r="K104" s="250">
        <f t="shared" si="144"/>
        <v>0</v>
      </c>
      <c r="L104" s="460">
        <v>0.72</v>
      </c>
      <c r="M104" s="460">
        <v>0.72</v>
      </c>
      <c r="N104" s="460">
        <v>0.72</v>
      </c>
      <c r="O104" s="244">
        <f t="shared" si="129"/>
        <v>3.1536000000000002E-2</v>
      </c>
      <c r="P104" s="458">
        <v>0.2</v>
      </c>
      <c r="Q104" s="245">
        <v>20</v>
      </c>
      <c r="R104" s="227">
        <v>1.05</v>
      </c>
      <c r="T104" s="268">
        <f t="shared" si="83"/>
        <v>0.29346000000000005</v>
      </c>
      <c r="U104" s="268"/>
      <c r="V104" s="589" t="str">
        <f>'Data manipulation'!$B$23</f>
        <v>Solid fossil fuels, peat, peat products, oil shale and oil sands</v>
      </c>
      <c r="W104" s="254" t="s">
        <v>846</v>
      </c>
      <c r="X104" s="246">
        <v>2018</v>
      </c>
      <c r="Y104" s="432">
        <f>_xlfn.IFNA(INDEX('Data manipulation'!$C$23:$O$39,MATCH($V104,'Data manipulation'!$B$23:$B$39,0),MATCH($X104,'Data manipulation'!$C$22:$O$22,0))/1000,0)*SUMIFS('Regional split'!$F$4:$F$6,'Regional split'!$B$4:$B$6,Y$3)*SUMIFS('Data manipulation'!$V$39:$V$42,'Data manipulation'!$X$39:$X$42,$E104,'Data manipulation'!$Y$39:$Y$42,$D104)</f>
        <v>0.27929438899999998</v>
      </c>
      <c r="Z104" s="270">
        <f>_xlfn.IFNA(INDEX('Data manipulation'!$C$23:$O$39,MATCH($V104,'Data manipulation'!$B$23:$B$39,0),MATCH($X104,'Data manipulation'!$C$22:$O$22,0))/1000,0)*SUMIFS('Regional split'!$F$4:$F$6,'Regional split'!$B$4:$B$6,Z$3)*SUMIFS('Data manipulation'!$V$39:$V$42,'Data manipulation'!$X$39:$X$42,$E104,'Data manipulation'!$Y$39:$Y$42,$D104)</f>
        <v>0</v>
      </c>
      <c r="AA104" s="454">
        <f>_xlfn.IFNA(INDEX('Data manipulation'!$C$23:$O$39,MATCH($V104,'Data manipulation'!$B$23:$B$39,0),MATCH($X104,'Data manipulation'!$C$22:$O$22,0))/1000,0)*SUMIFS('Regional split'!$F$4:$F$6,'Regional split'!$B$4:$B$6,AA$3)*SUMIFS('Data manipulation'!$V$39:$V$42,'Data manipulation'!$X$39:$X$42,$E104,'Data manipulation'!$Y$39:$Y$42,$D104)</f>
        <v>0</v>
      </c>
      <c r="AB104" s="443">
        <f t="shared" si="66"/>
        <v>0.20109196007999997</v>
      </c>
      <c r="AC104" s="251">
        <f t="shared" si="67"/>
        <v>0</v>
      </c>
      <c r="AD104" s="444">
        <f t="shared" si="68"/>
        <v>0</v>
      </c>
      <c r="AU104" s="260"/>
      <c r="AZ104" s="252"/>
    </row>
    <row r="105" spans="2:52" ht="15" customHeight="1">
      <c r="B105" s="233" t="str">
        <f t="shared" ref="B105:G105" si="148">B65</f>
        <v>CHTRDSOLE1</v>
      </c>
      <c r="C105" s="233" t="str">
        <f t="shared" si="148"/>
        <v>Commercial Heating Technology Rural Detached - Solar - Existing 1</v>
      </c>
      <c r="D105" s="233" t="str">
        <f t="shared" si="148"/>
        <v>Rural</v>
      </c>
      <c r="E105" s="233" t="str">
        <f t="shared" si="148"/>
        <v>Detached</v>
      </c>
      <c r="F105" s="233" t="str">
        <f t="shared" si="148"/>
        <v>COMSOL</v>
      </c>
      <c r="G105" s="233" t="str">
        <f t="shared" si="148"/>
        <v>COMHRDB</v>
      </c>
      <c r="H105" s="259">
        <v>2018</v>
      </c>
      <c r="I105" s="250">
        <f t="shared" si="142"/>
        <v>9.2999999999999989</v>
      </c>
      <c r="J105" s="250">
        <f t="shared" si="143"/>
        <v>0</v>
      </c>
      <c r="K105" s="250">
        <f t="shared" si="144"/>
        <v>0</v>
      </c>
      <c r="L105" s="460">
        <v>1</v>
      </c>
      <c r="M105" s="460">
        <v>1</v>
      </c>
      <c r="N105" s="460">
        <v>1</v>
      </c>
      <c r="O105" s="244">
        <f t="shared" si="129"/>
        <v>3.1536000000000002E-2</v>
      </c>
      <c r="P105" s="458">
        <v>0.2</v>
      </c>
      <c r="Q105" s="245">
        <v>20</v>
      </c>
      <c r="R105" s="227">
        <v>1.05</v>
      </c>
      <c r="T105" s="268">
        <f t="shared" si="83"/>
        <v>5.8656959999999994E-2</v>
      </c>
      <c r="U105" s="268"/>
      <c r="V105" s="589" t="str">
        <f>'Data manipulation'!$B$29</f>
        <v>Solar thermal</v>
      </c>
      <c r="W105" s="254" t="s">
        <v>168</v>
      </c>
      <c r="X105" s="246">
        <v>2018</v>
      </c>
      <c r="Y105" s="432">
        <f>_xlfn.IFNA(INDEX('Data manipulation'!$C$23:$O$39,MATCH($V105,'Data manipulation'!$B$23:$B$39,0),MATCH($X105,'Data manipulation'!$C$22:$O$22,0))/1000,0)*SUMIFS('Regional split'!$F$4:$F$6,'Regional split'!$B$4:$B$6,Y$3)*SUMIFS('Data manipulation'!$V$39:$V$42,'Data manipulation'!$X$39:$X$42,$E105,'Data manipulation'!$Y$39:$Y$42,$D105)</f>
        <v>5.5788315000000005E-2</v>
      </c>
      <c r="Z105" s="270">
        <f>_xlfn.IFNA(INDEX('Data manipulation'!$C$23:$O$39,MATCH($V105,'Data manipulation'!$B$23:$B$39,0),MATCH($X105,'Data manipulation'!$C$22:$O$22,0))/1000,0)*SUMIFS('Regional split'!$F$4:$F$6,'Regional split'!$B$4:$B$6,Z$3)*SUMIFS('Data manipulation'!$V$39:$V$42,'Data manipulation'!$X$39:$X$42,$E105,'Data manipulation'!$Y$39:$Y$42,$D105)</f>
        <v>0</v>
      </c>
      <c r="AA105" s="454">
        <f>_xlfn.IFNA(INDEX('Data manipulation'!$C$23:$O$39,MATCH($V105,'Data manipulation'!$B$23:$B$39,0),MATCH($X105,'Data manipulation'!$C$22:$O$22,0))/1000,0)*SUMIFS('Regional split'!$F$4:$F$6,'Regional split'!$B$4:$B$6,AA$3)*SUMIFS('Data manipulation'!$V$39:$V$42,'Data manipulation'!$X$39:$X$42,$E105,'Data manipulation'!$Y$39:$Y$42,$D105)</f>
        <v>0</v>
      </c>
      <c r="AB105" s="443">
        <f t="shared" si="66"/>
        <v>5.5788315000000005E-2</v>
      </c>
      <c r="AC105" s="251">
        <f t="shared" si="67"/>
        <v>0</v>
      </c>
      <c r="AD105" s="444">
        <f t="shared" si="68"/>
        <v>0</v>
      </c>
      <c r="AU105" s="260"/>
      <c r="AZ105" s="252"/>
    </row>
    <row r="106" spans="2:52" ht="15" customHeight="1">
      <c r="B106" s="233" t="str">
        <f t="shared" ref="B106:G106" si="149">B66</f>
        <v>CHTRDELCHE1</v>
      </c>
      <c r="C106" s="233" t="str">
        <f t="shared" si="149"/>
        <v>Commercial Heating Technology Rural Detached - Electricity Heating - Existing 1</v>
      </c>
      <c r="D106" s="233" t="str">
        <f t="shared" si="149"/>
        <v>Rural</v>
      </c>
      <c r="E106" s="233" t="str">
        <f t="shared" si="149"/>
        <v>Detached</v>
      </c>
      <c r="F106" s="233" t="str">
        <f t="shared" si="149"/>
        <v>COMELCH</v>
      </c>
      <c r="G106" s="233" t="str">
        <f t="shared" si="149"/>
        <v>COMHRDB</v>
      </c>
      <c r="H106" s="259">
        <v>2018</v>
      </c>
      <c r="I106" s="250">
        <f t="shared" si="142"/>
        <v>1504.6999999999998</v>
      </c>
      <c r="J106" s="250">
        <f t="shared" si="143"/>
        <v>0</v>
      </c>
      <c r="K106" s="250">
        <f t="shared" si="144"/>
        <v>0</v>
      </c>
      <c r="L106" s="460">
        <v>1</v>
      </c>
      <c r="M106" s="460">
        <v>1</v>
      </c>
      <c r="N106" s="460">
        <v>1</v>
      </c>
      <c r="O106" s="244">
        <f t="shared" si="129"/>
        <v>3.1536000000000002E-2</v>
      </c>
      <c r="P106" s="458">
        <v>0.2</v>
      </c>
      <c r="Q106" s="245">
        <v>30</v>
      </c>
      <c r="R106" s="227">
        <v>1.05</v>
      </c>
      <c r="T106" s="268">
        <f t="shared" si="83"/>
        <v>9.4904438399999993</v>
      </c>
      <c r="U106" s="268"/>
      <c r="V106" s="589" t="str">
        <f>'Data manipulation'!$B$33</f>
        <v>Electricity</v>
      </c>
      <c r="W106" s="254" t="s">
        <v>169</v>
      </c>
      <c r="X106" s="246">
        <v>2018</v>
      </c>
      <c r="Y106" s="432">
        <f>_xlfn.IFNA(INDEX('Data manipulation'!$C$23:$O$39,MATCH($V106,'Data manipulation'!$B$23:$B$39,0),MATCH($X106,'Data manipulation'!$C$22:$O$22,0))/1000,0)*SUMIFS('Regional split'!$F$4:$F$6,'Regional split'!$B$4:$B$6,Y$3)*SUMIFS('Data manipulation'!$V$39:$V$42,'Data manipulation'!$X$39:$X$42,$E106,'Data manipulation'!$Y$39:$Y$42,$D106)</f>
        <v>9.0382778017429146</v>
      </c>
      <c r="Z106" s="270">
        <f>_xlfn.IFNA(INDEX('Data manipulation'!$C$23:$O$39,MATCH($V106,'Data manipulation'!$B$23:$B$39,0),MATCH($X106,'Data manipulation'!$C$22:$O$22,0))/1000,0)*SUMIFS('Regional split'!$F$4:$F$6,'Regional split'!$B$4:$B$6,Z$3)*SUMIFS('Data manipulation'!$V$39:$V$42,'Data manipulation'!$X$39:$X$42,$E106,'Data manipulation'!$Y$39:$Y$42,$D106)</f>
        <v>0</v>
      </c>
      <c r="AA106" s="454">
        <f>_xlfn.IFNA(INDEX('Data manipulation'!$C$23:$O$39,MATCH($V106,'Data manipulation'!$B$23:$B$39,0),MATCH($X106,'Data manipulation'!$C$22:$O$22,0))/1000,0)*SUMIFS('Regional split'!$F$4:$F$6,'Regional split'!$B$4:$B$6,AA$3)*SUMIFS('Data manipulation'!$V$39:$V$42,'Data manipulation'!$X$39:$X$42,$E106,'Data manipulation'!$Y$39:$Y$42,$D106)</f>
        <v>0</v>
      </c>
      <c r="AB106" s="443">
        <f t="shared" si="66"/>
        <v>9.0382778017429146</v>
      </c>
      <c r="AC106" s="251">
        <f t="shared" si="67"/>
        <v>0</v>
      </c>
      <c r="AD106" s="444">
        <f t="shared" si="68"/>
        <v>0</v>
      </c>
      <c r="AU106" s="260"/>
      <c r="AZ106" s="252"/>
    </row>
    <row r="107" spans="2:52" ht="15" customHeight="1">
      <c r="B107" s="233" t="str">
        <f t="shared" ref="B107:G107" si="150">B67</f>
        <v>CHTRDELCHE2</v>
      </c>
      <c r="C107" s="233" t="str">
        <f t="shared" si="150"/>
        <v>Commercial Heating Technology Rural Detached - Electricity Heating - Existing 2</v>
      </c>
      <c r="D107" s="233" t="str">
        <f t="shared" si="150"/>
        <v>Rural</v>
      </c>
      <c r="E107" s="233" t="str">
        <f t="shared" si="150"/>
        <v>Detached</v>
      </c>
      <c r="F107" s="233" t="str">
        <f t="shared" si="150"/>
        <v>COMELCH</v>
      </c>
      <c r="G107" s="233" t="str">
        <f t="shared" si="150"/>
        <v>COMHRDB</v>
      </c>
      <c r="H107" s="259">
        <v>2018</v>
      </c>
      <c r="I107" s="250">
        <f t="shared" si="142"/>
        <v>409.6</v>
      </c>
      <c r="J107" s="250">
        <f t="shared" si="143"/>
        <v>0</v>
      </c>
      <c r="K107" s="250">
        <f t="shared" si="144"/>
        <v>0</v>
      </c>
      <c r="L107" s="460">
        <v>2.3149999999999999</v>
      </c>
      <c r="M107" s="460">
        <v>2.3149999999999999</v>
      </c>
      <c r="N107" s="460">
        <v>2.3149999999999999</v>
      </c>
      <c r="O107" s="244">
        <f t="shared" si="129"/>
        <v>3.1536000000000002E-2</v>
      </c>
      <c r="P107" s="458">
        <v>0.2</v>
      </c>
      <c r="Q107" s="245">
        <v>30</v>
      </c>
      <c r="R107" s="227">
        <v>1.05</v>
      </c>
      <c r="T107" s="268">
        <f t="shared" si="83"/>
        <v>1.1159521036717064</v>
      </c>
      <c r="U107" s="268"/>
      <c r="V107" s="589" t="str">
        <f>'Data manipulation'!$B$30</f>
        <v>Ambient heat (heat pumps)</v>
      </c>
      <c r="W107" s="254" t="s">
        <v>170</v>
      </c>
      <c r="X107" s="246">
        <v>2018</v>
      </c>
      <c r="Y107" s="432">
        <f>_xlfn.IFNA(INDEX('Data manipulation'!$C$23:$O$39,MATCH($V107,'Data manipulation'!$B$23:$B$39,0),MATCH($X107,'Data manipulation'!$C$22:$O$22,0))/1000,0)*SUMIFS('Regional split'!$F$4:$F$6,'Regional split'!$B$4:$B$6,Y$3)*SUMIFS('Data manipulation'!$V$39:$V$42,'Data manipulation'!$X$39:$X$42,$E107,'Data manipulation'!$Y$39:$Y$42,$D107)</f>
        <v>1.06275169</v>
      </c>
      <c r="Z107" s="270">
        <f>_xlfn.IFNA(INDEX('Data manipulation'!$C$23:$O$39,MATCH($V107,'Data manipulation'!$B$23:$B$39,0),MATCH($X107,'Data manipulation'!$C$22:$O$22,0))/1000,0)*SUMIFS('Regional split'!$F$4:$F$6,'Regional split'!$B$4:$B$6,Z$3)*SUMIFS('Data manipulation'!$V$39:$V$42,'Data manipulation'!$X$39:$X$42,$E107,'Data manipulation'!$Y$39:$Y$42,$D107)</f>
        <v>0</v>
      </c>
      <c r="AA107" s="454">
        <f>_xlfn.IFNA(INDEX('Data manipulation'!$C$23:$O$39,MATCH($V107,'Data manipulation'!$B$23:$B$39,0),MATCH($X107,'Data manipulation'!$C$22:$O$22,0))/1000,0)*SUMIFS('Regional split'!$F$4:$F$6,'Regional split'!$B$4:$B$6,AA$3)*SUMIFS('Data manipulation'!$V$39:$V$42,'Data manipulation'!$X$39:$X$42,$E107,'Data manipulation'!$Y$39:$Y$42,$D107)</f>
        <v>0</v>
      </c>
      <c r="AB107" s="443">
        <f t="shared" si="66"/>
        <v>2.4602701623500001</v>
      </c>
      <c r="AC107" s="251">
        <f t="shared" si="67"/>
        <v>0</v>
      </c>
      <c r="AD107" s="444">
        <f t="shared" si="68"/>
        <v>0</v>
      </c>
      <c r="AU107" s="260"/>
      <c r="AZ107" s="252"/>
    </row>
    <row r="108" spans="2:52" ht="15" customHeight="1">
      <c r="B108" s="233" t="str">
        <f t="shared" ref="B108:G108" si="151">B68</f>
        <v>CHTRDHCEE1</v>
      </c>
      <c r="C108" s="233" t="str">
        <f t="shared" si="151"/>
        <v>Commercial Heating Technology Rural Detached - District heating Central - Existing 1</v>
      </c>
      <c r="D108" s="233" t="str">
        <f t="shared" si="151"/>
        <v>Rural</v>
      </c>
      <c r="E108" s="233" t="str">
        <f t="shared" si="151"/>
        <v>Detached</v>
      </c>
      <c r="F108" s="233" t="str">
        <f t="shared" si="151"/>
        <v>COMHDE</v>
      </c>
      <c r="G108" s="233" t="str">
        <f t="shared" si="151"/>
        <v>COMHRDB</v>
      </c>
      <c r="H108" s="261">
        <v>2018</v>
      </c>
      <c r="I108" s="565">
        <v>0</v>
      </c>
      <c r="J108" s="565">
        <v>0</v>
      </c>
      <c r="K108" s="565">
        <v>0</v>
      </c>
      <c r="L108" s="460">
        <v>0.98</v>
      </c>
      <c r="M108" s="460">
        <v>0.98</v>
      </c>
      <c r="N108" s="460">
        <v>0.98</v>
      </c>
      <c r="O108" s="244">
        <f t="shared" si="129"/>
        <v>3.1536000000000002E-2</v>
      </c>
      <c r="P108" s="458">
        <v>0.2</v>
      </c>
      <c r="Q108" s="245">
        <v>30</v>
      </c>
      <c r="R108" s="227">
        <v>1.05</v>
      </c>
      <c r="T108" s="268">
        <f t="shared" si="83"/>
        <v>0</v>
      </c>
      <c r="U108" s="268"/>
      <c r="V108" s="589" t="str">
        <f>'Data manipulation'!$B$34</f>
        <v>Heat</v>
      </c>
      <c r="W108" s="254" t="s">
        <v>171</v>
      </c>
      <c r="X108" s="246">
        <v>2018</v>
      </c>
      <c r="Y108" s="432">
        <f>_xlfn.IFNA(INDEX('Data manipulation'!$C$23:$O$39,MATCH($V108,'Data manipulation'!$B$23:$B$39,0),MATCH($X108,'Data manipulation'!$C$22:$O$22,0))/1000,0)*SUMIFS('Regional split'!$F$4:$F$6,'Regional split'!$B$4:$B$6,Y$3)*SUMIFS('Data manipulation'!$V$39:$V$42,'Data manipulation'!$X$39:$X$42,$E108,'Data manipulation'!$Y$39:$Y$42,$D108)</f>
        <v>16.263189007682122</v>
      </c>
      <c r="Z108" s="270">
        <f>_xlfn.IFNA(INDEX('Data manipulation'!$C$23:$O$39,MATCH($V108,'Data manipulation'!$B$23:$B$39,0),MATCH($X108,'Data manipulation'!$C$22:$O$22,0))/1000,0)*SUMIFS('Regional split'!$F$4:$F$6,'Regional split'!$B$4:$B$6,Z$3)*SUMIFS('Data manipulation'!$V$39:$V$42,'Data manipulation'!$X$39:$X$42,$E108,'Data manipulation'!$Y$39:$Y$42,$D108)</f>
        <v>0</v>
      </c>
      <c r="AA108" s="454">
        <f>_xlfn.IFNA(INDEX('Data manipulation'!$C$23:$O$39,MATCH($V108,'Data manipulation'!$B$23:$B$39,0),MATCH($X108,'Data manipulation'!$C$22:$O$22,0))/1000,0)*SUMIFS('Regional split'!$F$4:$F$6,'Regional split'!$B$4:$B$6,AA$3)*SUMIFS('Data manipulation'!$V$39:$V$42,'Data manipulation'!$X$39:$X$42,$E108,'Data manipulation'!$Y$39:$Y$42,$D108)</f>
        <v>0</v>
      </c>
      <c r="AB108" s="443">
        <f t="shared" si="66"/>
        <v>15.93792522752848</v>
      </c>
      <c r="AC108" s="251">
        <f t="shared" si="67"/>
        <v>0</v>
      </c>
      <c r="AD108" s="444">
        <f t="shared" si="68"/>
        <v>0</v>
      </c>
      <c r="AU108" s="260"/>
      <c r="AZ108" s="252"/>
    </row>
    <row r="109" spans="2:52" ht="15" customHeight="1" thickBot="1">
      <c r="B109" s="233" t="str">
        <f t="shared" ref="B109:G109" si="152">B69</f>
        <v>CHTRDLPGE1</v>
      </c>
      <c r="C109" s="233" t="str">
        <f t="shared" si="152"/>
        <v>Commercial Heating Technology Rural Detached - LPG - Existing 1</v>
      </c>
      <c r="D109" s="233" t="str">
        <f t="shared" si="152"/>
        <v>Rural</v>
      </c>
      <c r="E109" s="233" t="str">
        <f t="shared" si="152"/>
        <v>Detached</v>
      </c>
      <c r="F109" s="233" t="str">
        <f t="shared" si="152"/>
        <v>COMLPG</v>
      </c>
      <c r="G109" s="233" t="str">
        <f t="shared" si="152"/>
        <v>COMHRDB</v>
      </c>
      <c r="H109" s="261">
        <v>2018</v>
      </c>
      <c r="I109" s="297">
        <f t="shared" ref="I109" si="153">ROUNDUP(AB109/($O109*$P109)*$R109,1)</f>
        <v>324</v>
      </c>
      <c r="J109" s="297">
        <f t="shared" ref="J109" si="154">ROUNDUP(AC109/($O109*$P109)*$R109,1)</f>
        <v>0</v>
      </c>
      <c r="K109" s="297">
        <f t="shared" ref="K109" si="155">ROUNDUP(AD109/($O109*$P109)*$R109,1)</f>
        <v>0</v>
      </c>
      <c r="L109" s="460">
        <v>0.98</v>
      </c>
      <c r="M109" s="460">
        <v>0.98</v>
      </c>
      <c r="N109" s="460">
        <v>0.98</v>
      </c>
      <c r="O109" s="244">
        <f t="shared" si="129"/>
        <v>3.1536000000000002E-2</v>
      </c>
      <c r="P109" s="458">
        <v>0.2</v>
      </c>
      <c r="Q109" s="245">
        <v>30</v>
      </c>
      <c r="R109" s="227">
        <v>1.05</v>
      </c>
      <c r="T109" s="268">
        <f t="shared" si="83"/>
        <v>2.0852375510204086</v>
      </c>
      <c r="U109" s="268"/>
      <c r="V109" s="590" t="str">
        <f>'Data manipulation'!$B$25</f>
        <v>Liquefied petroleum gas</v>
      </c>
      <c r="W109" s="427" t="s">
        <v>759</v>
      </c>
      <c r="X109" s="246">
        <v>2018</v>
      </c>
      <c r="Y109" s="433">
        <f>_xlfn.IFNA(INDEX('Data manipulation'!$C$23:$O$39,MATCH($V109,'Data manipulation'!$B$23:$B$39,0),MATCH($X109,'Data manipulation'!$C$22:$O$22,0))/1000,0)*SUMIFS('Regional split'!$F$4:$F$6,'Regional split'!$B$4:$B$6,Y$3)*SUMIFS('Data manipulation'!$V$39:$V$42,'Data manipulation'!$X$39:$X$42,$E109,'Data manipulation'!$Y$39:$Y$42,$D109)</f>
        <v>1.985410702</v>
      </c>
      <c r="Z109" s="430">
        <f>_xlfn.IFNA(INDEX('Data manipulation'!$C$23:$O$39,MATCH($V109,'Data manipulation'!$B$23:$B$39,0),MATCH($X109,'Data manipulation'!$C$22:$O$22,0))/1000,0)*SUMIFS('Regional split'!$F$4:$F$6,'Regional split'!$B$4:$B$6,Z$3)*SUMIFS('Data manipulation'!$V$39:$V$42,'Data manipulation'!$X$39:$X$42,$E109,'Data manipulation'!$Y$39:$Y$42,$D109)</f>
        <v>0</v>
      </c>
      <c r="AA109" s="455">
        <f>_xlfn.IFNA(INDEX('Data manipulation'!$C$23:$O$39,MATCH($V109,'Data manipulation'!$B$23:$B$39,0),MATCH($X109,'Data manipulation'!$C$22:$O$22,0))/1000,0)*SUMIFS('Regional split'!$F$4:$F$6,'Regional split'!$B$4:$B$6,AA$3)*SUMIFS('Data manipulation'!$V$39:$V$42,'Data manipulation'!$X$39:$X$42,$E109,'Data manipulation'!$Y$39:$Y$42,$D109)</f>
        <v>0</v>
      </c>
      <c r="AB109" s="445">
        <f t="shared" si="66"/>
        <v>1.94570248796</v>
      </c>
      <c r="AC109" s="431">
        <f t="shared" si="67"/>
        <v>0</v>
      </c>
      <c r="AD109" s="452">
        <f t="shared" si="68"/>
        <v>0</v>
      </c>
      <c r="AU109" s="260"/>
      <c r="AZ109" s="252"/>
    </row>
    <row r="110" spans="2:52" ht="15" customHeight="1">
      <c r="B110" s="227" t="str">
        <f t="shared" ref="B110:E110" si="156">B70</f>
        <v>CHTUMNGAE1</v>
      </c>
      <c r="C110" s="227" t="str">
        <f t="shared" si="156"/>
        <v>Commercial Heating Technology Urban Multi - Natural Gas - Existing 1</v>
      </c>
      <c r="D110" s="227" t="str">
        <f t="shared" si="156"/>
        <v>Urban</v>
      </c>
      <c r="E110" s="227" t="str">
        <f t="shared" si="156"/>
        <v>Multi storey</v>
      </c>
      <c r="F110" s="227" t="str">
        <f>F70</f>
        <v>COMNGA,COMSNG</v>
      </c>
      <c r="G110" s="227" t="str">
        <f>G70</f>
        <v>COMHUMB</v>
      </c>
      <c r="H110" s="230">
        <v>2018</v>
      </c>
      <c r="I110" s="250">
        <f>ROUNDUP(AB110/($O110*$P110)*$R110,1)</f>
        <v>10863.5</v>
      </c>
      <c r="J110" s="250">
        <f>ROUNDUP(AC110/($O110*$P110)*$R110,1)</f>
        <v>0</v>
      </c>
      <c r="K110" s="250">
        <f>ROUNDUP(AD110/($O110*$P110)*$R110,1)</f>
        <v>0</v>
      </c>
      <c r="L110" s="460">
        <v>0.72</v>
      </c>
      <c r="M110" s="460">
        <v>0.72</v>
      </c>
      <c r="N110" s="460">
        <v>0.72</v>
      </c>
      <c r="O110" s="244">
        <f>31.536/1000</f>
        <v>3.1536000000000002E-2</v>
      </c>
      <c r="P110" s="458">
        <v>0.2</v>
      </c>
      <c r="Q110" s="245">
        <v>22</v>
      </c>
      <c r="R110" s="227">
        <v>1.05</v>
      </c>
      <c r="T110" s="268">
        <f t="shared" si="83"/>
        <v>95.164260000000013</v>
      </c>
      <c r="U110" s="268"/>
      <c r="V110" s="589" t="str">
        <f>'Data manipulation'!$B$36</f>
        <v>Natural gas and biogas</v>
      </c>
      <c r="W110" s="246" t="s">
        <v>167</v>
      </c>
      <c r="X110" s="246">
        <v>2018</v>
      </c>
      <c r="Y110" s="432">
        <f>_xlfn.IFNA(INDEX('Data manipulation'!$C$23:$O$39,MATCH($V110,'Data manipulation'!$B$23:$B$39,0),MATCH($X110,'Data manipulation'!$C$22:$O$22,0))/1000,0)*SUMIFS('Regional split'!$F$4:$F$6,'Regional split'!$B$4:$B$6,Y$3)*SUMIFS('Data manipulation'!$V$39:$V$42,'Data manipulation'!$X$39:$X$42,$E110,'Data manipulation'!$Y$39:$Y$42,$D110)</f>
        <v>90.632419292399874</v>
      </c>
      <c r="Z110" s="270">
        <f>_xlfn.IFNA(INDEX('Data manipulation'!$C$23:$O$39,MATCH($V110,'Data manipulation'!$B$23:$B$39,0),MATCH($X110,'Data manipulation'!$C$22:$O$22,0))/1000,0)*SUMIFS('Regional split'!$F$4:$F$6,'Regional split'!$B$4:$B$6,Z$3)*SUMIFS('Data manipulation'!$V$39:$V$42,'Data manipulation'!$X$39:$X$42,$E110,'Data manipulation'!$Y$39:$Y$42,$D110)</f>
        <v>0</v>
      </c>
      <c r="AA110" s="454">
        <f>_xlfn.IFNA(INDEX('Data manipulation'!$C$23:$O$39,MATCH($V110,'Data manipulation'!$B$23:$B$39,0),MATCH($X110,'Data manipulation'!$C$22:$O$22,0))/1000,0)*SUMIFS('Regional split'!$F$4:$F$6,'Regional split'!$B$4:$B$6,AA$3)*SUMIFS('Data manipulation'!$V$39:$V$42,'Data manipulation'!$X$39:$X$42,$E110,'Data manipulation'!$Y$39:$Y$42,$D110)</f>
        <v>0</v>
      </c>
      <c r="AB110" s="443">
        <f t="shared" ref="AB110:AB189" si="157">Y110*L110</f>
        <v>65.255341890527902</v>
      </c>
      <c r="AC110" s="251">
        <f t="shared" ref="AC110:AC189" si="158">Z110*M110</f>
        <v>0</v>
      </c>
      <c r="AD110" s="444">
        <f t="shared" ref="AD110:AD189" si="159">AA110*N110</f>
        <v>0</v>
      </c>
      <c r="AE110" s="262"/>
      <c r="AU110" s="260"/>
      <c r="AZ110" s="252"/>
    </row>
    <row r="111" spans="2:52" ht="15" customHeight="1">
      <c r="B111" s="227" t="str">
        <f t="shared" ref="B111:G111" si="160">B71</f>
        <v>CHTUMDSLE1</v>
      </c>
      <c r="C111" s="227" t="str">
        <f t="shared" si="160"/>
        <v>Commercial Heating Technology Urban Multi - Diesel - Existing 1</v>
      </c>
      <c r="D111" s="227" t="str">
        <f t="shared" si="160"/>
        <v>Urban</v>
      </c>
      <c r="E111" s="227" t="str">
        <f t="shared" si="160"/>
        <v>Multi storey</v>
      </c>
      <c r="F111" s="227" t="str">
        <f t="shared" si="160"/>
        <v>COMDSL,COMDSB</v>
      </c>
      <c r="G111" s="227" t="str">
        <f t="shared" si="160"/>
        <v>COMHUMB</v>
      </c>
      <c r="H111" s="230">
        <v>2018</v>
      </c>
      <c r="I111" s="250">
        <f t="shared" ref="I111:I118" si="161">ROUNDUP(AB111/($O111*$P111)*$R111,1)</f>
        <v>3214.7</v>
      </c>
      <c r="J111" s="250">
        <f t="shared" ref="J111:J117" si="162">ROUNDUP(AC111/($O111*$P111)*$R111,1)</f>
        <v>0</v>
      </c>
      <c r="K111" s="250">
        <f t="shared" ref="K111:K117" si="163">ROUNDUP(AD111/($O111*$P111)*$R111,1)</f>
        <v>0</v>
      </c>
      <c r="L111" s="460">
        <v>0.71</v>
      </c>
      <c r="M111" s="460">
        <v>0.71</v>
      </c>
      <c r="N111" s="460">
        <v>0.71</v>
      </c>
      <c r="O111" s="244">
        <f>31.536/1000</f>
        <v>3.1536000000000002E-2</v>
      </c>
      <c r="P111" s="458">
        <v>0.2</v>
      </c>
      <c r="Q111" s="245">
        <v>20</v>
      </c>
      <c r="R111" s="227">
        <v>1.05</v>
      </c>
      <c r="T111" s="268">
        <f t="shared" si="83"/>
        <v>28.557402591549302</v>
      </c>
      <c r="V111" s="589" t="str">
        <f>'Data manipulation'!$B$28</f>
        <v>Gas oil and diesel oil and biodiesel</v>
      </c>
      <c r="W111" s="254" t="s">
        <v>718</v>
      </c>
      <c r="X111" s="246">
        <v>2018</v>
      </c>
      <c r="Y111" s="432">
        <f>_xlfn.IFNA(INDEX('Data manipulation'!$C$23:$O$39,MATCH($V111,'Data manipulation'!$B$23:$B$39,0),MATCH($X111,'Data manipulation'!$C$22:$O$22,0))/1000,0)*SUMIFS('Regional split'!$F$4:$F$6,'Regional split'!$B$4:$B$6,Y$3)*SUMIFS('Data manipulation'!$V$39:$V$42,'Data manipulation'!$X$39:$X$42,$E111,'Data manipulation'!$Y$39:$Y$42,$D111)</f>
        <v>27.196917907780669</v>
      </c>
      <c r="Z111" s="270">
        <f>_xlfn.IFNA(INDEX('Data manipulation'!$C$23:$O$39,MATCH($V111,'Data manipulation'!$B$23:$B$39,0),MATCH($X111,'Data manipulation'!$C$22:$O$22,0))/1000,0)*SUMIFS('Regional split'!$F$4:$F$6,'Regional split'!$B$4:$B$6,Z$3)*SUMIFS('Data manipulation'!$V$39:$V$42,'Data manipulation'!$X$39:$X$42,$E111,'Data manipulation'!$Y$39:$Y$42,$D111)</f>
        <v>0</v>
      </c>
      <c r="AA111" s="454">
        <f>_xlfn.IFNA(INDEX('Data manipulation'!$C$23:$O$39,MATCH($V111,'Data manipulation'!$B$23:$B$39,0),MATCH($X111,'Data manipulation'!$C$22:$O$22,0))/1000,0)*SUMIFS('Regional split'!$F$4:$F$6,'Regional split'!$B$4:$B$6,AA$3)*SUMIFS('Data manipulation'!$V$39:$V$42,'Data manipulation'!$X$39:$X$42,$E111,'Data manipulation'!$Y$39:$Y$42,$D111)</f>
        <v>0</v>
      </c>
      <c r="AB111" s="443">
        <f t="shared" si="157"/>
        <v>19.309811714524272</v>
      </c>
      <c r="AC111" s="251">
        <f t="shared" si="158"/>
        <v>0</v>
      </c>
      <c r="AD111" s="444">
        <f t="shared" si="159"/>
        <v>0</v>
      </c>
      <c r="AE111" s="262"/>
      <c r="AU111" s="260"/>
      <c r="AZ111" s="252"/>
    </row>
    <row r="112" spans="2:52" ht="15" customHeight="1">
      <c r="B112" s="227" t="str">
        <f t="shared" ref="B112:G112" si="164">B72</f>
        <v>CHTUMWPEE1</v>
      </c>
      <c r="C112" s="227" t="str">
        <f t="shared" si="164"/>
        <v>Commercial Heating Technology Urban Multi - Wood pellets - Existing 1</v>
      </c>
      <c r="D112" s="227" t="str">
        <f t="shared" si="164"/>
        <v>Urban</v>
      </c>
      <c r="E112" s="227" t="str">
        <f t="shared" si="164"/>
        <v>Multi storey</v>
      </c>
      <c r="F112" s="227" t="str">
        <f t="shared" si="164"/>
        <v>COMWPE</v>
      </c>
      <c r="G112" s="227" t="str">
        <f t="shared" si="164"/>
        <v>COMHUMB</v>
      </c>
      <c r="H112" s="230">
        <v>2018</v>
      </c>
      <c r="I112" s="250">
        <f t="shared" si="161"/>
        <v>0</v>
      </c>
      <c r="J112" s="250">
        <f t="shared" si="162"/>
        <v>0</v>
      </c>
      <c r="K112" s="250">
        <f t="shared" si="163"/>
        <v>0</v>
      </c>
      <c r="L112" s="460">
        <v>0.61</v>
      </c>
      <c r="M112" s="460">
        <v>0.61</v>
      </c>
      <c r="N112" s="460">
        <v>0.61</v>
      </c>
      <c r="O112" s="244">
        <f t="shared" ref="O112:O129" si="165">31.536/1000</f>
        <v>3.1536000000000002E-2</v>
      </c>
      <c r="P112" s="458">
        <v>0.2</v>
      </c>
      <c r="Q112" s="245">
        <v>20</v>
      </c>
      <c r="R112" s="227">
        <v>1.05</v>
      </c>
      <c r="T112" s="268">
        <f t="shared" si="83"/>
        <v>0</v>
      </c>
      <c r="U112" s="268"/>
      <c r="W112" s="254" t="s">
        <v>849</v>
      </c>
      <c r="X112" s="246">
        <v>2018</v>
      </c>
      <c r="Y112" s="432">
        <f>_xlfn.IFNA(INDEX('Data manipulation'!$C$23:$O$39,MATCH($V112,'Data manipulation'!$B$23:$B$39,0),MATCH($X112,'Data manipulation'!$C$22:$O$22,0))/1000,0)*SUMIFS('Regional split'!$F$4:$F$6,'Regional split'!$B$4:$B$6,Y$3)*SUMIFS('Data manipulation'!$V$39:$V$42,'Data manipulation'!$X$39:$X$42,$E112,'Data manipulation'!$Y$39:$Y$42,$D112)</f>
        <v>0</v>
      </c>
      <c r="Z112" s="270">
        <f>_xlfn.IFNA(INDEX('Data manipulation'!$C$23:$O$39,MATCH($V112,'Data manipulation'!$B$23:$B$39,0),MATCH($X112,'Data manipulation'!$C$22:$O$22,0))/1000,0)*SUMIFS('Regional split'!$F$4:$F$6,'Regional split'!$B$4:$B$6,Z$3)*SUMIFS('Data manipulation'!$V$39:$V$42,'Data manipulation'!$X$39:$X$42,$E112,'Data manipulation'!$Y$39:$Y$42,$D112)</f>
        <v>0</v>
      </c>
      <c r="AA112" s="454">
        <f>_xlfn.IFNA(INDEX('Data manipulation'!$C$23:$O$39,MATCH($V112,'Data manipulation'!$B$23:$B$39,0),MATCH($X112,'Data manipulation'!$C$22:$O$22,0))/1000,0)*SUMIFS('Regional split'!$F$4:$F$6,'Regional split'!$B$4:$B$6,AA$3)*SUMIFS('Data manipulation'!$V$39:$V$42,'Data manipulation'!$X$39:$X$42,$E112,'Data manipulation'!$Y$39:$Y$42,$D112)</f>
        <v>0</v>
      </c>
      <c r="AB112" s="443">
        <f t="shared" si="157"/>
        <v>0</v>
      </c>
      <c r="AC112" s="251">
        <f t="shared" si="158"/>
        <v>0</v>
      </c>
      <c r="AD112" s="444">
        <f t="shared" si="159"/>
        <v>0</v>
      </c>
      <c r="AE112" s="262"/>
      <c r="AU112" s="260"/>
      <c r="AZ112" s="252"/>
    </row>
    <row r="113" spans="2:52" ht="15" customHeight="1">
      <c r="B113" s="227" t="str">
        <f t="shared" ref="B113:G113" si="166">B73</f>
        <v>CHTUMFIWE1</v>
      </c>
      <c r="C113" s="227" t="str">
        <f t="shared" si="166"/>
        <v>Commercial Heating Technology Urban Multi - Fire wood - Existing 1</v>
      </c>
      <c r="D113" s="227" t="str">
        <f t="shared" si="166"/>
        <v>Urban</v>
      </c>
      <c r="E113" s="227" t="str">
        <f t="shared" si="166"/>
        <v>Multi storey</v>
      </c>
      <c r="F113" s="227" t="str">
        <f t="shared" si="166"/>
        <v>COMFIW</v>
      </c>
      <c r="G113" s="227" t="str">
        <f t="shared" si="166"/>
        <v>COMHUMB</v>
      </c>
      <c r="H113" s="230">
        <v>2018</v>
      </c>
      <c r="I113" s="250">
        <f t="shared" si="161"/>
        <v>1440.3</v>
      </c>
      <c r="J113" s="250">
        <f t="shared" si="162"/>
        <v>0</v>
      </c>
      <c r="K113" s="250">
        <f t="shared" si="163"/>
        <v>0</v>
      </c>
      <c r="L113" s="460">
        <v>0.65000022993955098</v>
      </c>
      <c r="M113" s="460">
        <v>0.65000022993955098</v>
      </c>
      <c r="N113" s="460">
        <v>0.65000022993955098</v>
      </c>
      <c r="O113" s="244">
        <f t="shared" si="165"/>
        <v>3.1536000000000002E-2</v>
      </c>
      <c r="P113" s="458">
        <v>0.2</v>
      </c>
      <c r="Q113" s="245">
        <v>20</v>
      </c>
      <c r="R113" s="227">
        <v>1.05</v>
      </c>
      <c r="T113" s="268">
        <f t="shared" si="83"/>
        <v>13.975779917562216</v>
      </c>
      <c r="U113" s="268"/>
      <c r="V113" s="589" t="str">
        <f>'Data manipulation'!$B$31</f>
        <v>Primary solid biofuels</v>
      </c>
      <c r="W113" s="254" t="s">
        <v>176</v>
      </c>
      <c r="X113" s="246">
        <v>2018</v>
      </c>
      <c r="Y113" s="432">
        <f>_xlfn.IFNA(INDEX('Data manipulation'!$C$23:$O$39,MATCH($V113,'Data manipulation'!$B$23:$B$39,0),MATCH($X113,'Data manipulation'!$C$22:$O$22,0))/1000,0)*SUMIFS('Regional split'!$F$4:$F$6,'Regional split'!$B$4:$B$6,Y$3)*SUMIFS('Data manipulation'!$V$39:$V$42,'Data manipulation'!$X$39:$X$42,$E113,'Data manipulation'!$Y$39:$Y$42,$D113)</f>
        <v>13.309366982707791</v>
      </c>
      <c r="Z113" s="270">
        <f>_xlfn.IFNA(INDEX('Data manipulation'!$C$23:$O$39,MATCH($V113,'Data manipulation'!$B$23:$B$39,0),MATCH($X113,'Data manipulation'!$C$22:$O$22,0))/1000,0)*SUMIFS('Regional split'!$F$4:$F$6,'Regional split'!$B$4:$B$6,Z$3)*SUMIFS('Data manipulation'!$V$39:$V$42,'Data manipulation'!$X$39:$X$42,$E113,'Data manipulation'!$Y$39:$Y$42,$D113)</f>
        <v>0</v>
      </c>
      <c r="AA113" s="454">
        <f>_xlfn.IFNA(INDEX('Data manipulation'!$C$23:$O$39,MATCH($V113,'Data manipulation'!$B$23:$B$39,0),MATCH($X113,'Data manipulation'!$C$22:$O$22,0))/1000,0)*SUMIFS('Regional split'!$F$4:$F$6,'Regional split'!$B$4:$B$6,AA$3)*SUMIFS('Data manipulation'!$V$39:$V$42,'Data manipulation'!$X$39:$X$42,$E113,'Data manipulation'!$Y$39:$Y$42,$D113)</f>
        <v>0</v>
      </c>
      <c r="AB113" s="443">
        <f t="shared" si="157"/>
        <v>8.6510915991099324</v>
      </c>
      <c r="AC113" s="251">
        <f t="shared" si="158"/>
        <v>0</v>
      </c>
      <c r="AD113" s="444">
        <f t="shared" si="159"/>
        <v>0</v>
      </c>
      <c r="AE113" s="262"/>
      <c r="AU113" s="260"/>
      <c r="AZ113" s="252"/>
    </row>
    <row r="114" spans="2:52" ht="15" customHeight="1">
      <c r="B114" s="233" t="str">
        <f t="shared" ref="B114:G114" si="167">B74</f>
        <v>CHTUMCOAE1</v>
      </c>
      <c r="C114" s="233" t="str">
        <f t="shared" si="167"/>
        <v>Commercial Heating Technology Urban Multi - Coal - Existing 1</v>
      </c>
      <c r="D114" s="233" t="str">
        <f t="shared" si="167"/>
        <v>Urban</v>
      </c>
      <c r="E114" s="233" t="str">
        <f t="shared" si="167"/>
        <v>Multi storey</v>
      </c>
      <c r="F114" s="233" t="str">
        <f t="shared" si="167"/>
        <v>COMCOA</v>
      </c>
      <c r="G114" s="233" t="str">
        <f t="shared" si="167"/>
        <v>COMHUMB</v>
      </c>
      <c r="H114" s="230">
        <v>2018</v>
      </c>
      <c r="I114" s="250">
        <f t="shared" si="161"/>
        <v>25.3</v>
      </c>
      <c r="J114" s="250">
        <f t="shared" si="162"/>
        <v>0</v>
      </c>
      <c r="K114" s="250">
        <f t="shared" si="163"/>
        <v>0</v>
      </c>
      <c r="L114" s="460">
        <v>0.7</v>
      </c>
      <c r="M114" s="460">
        <v>0.7</v>
      </c>
      <c r="N114" s="460">
        <v>0.7</v>
      </c>
      <c r="O114" s="244">
        <f t="shared" si="165"/>
        <v>3.1536000000000002E-2</v>
      </c>
      <c r="P114" s="458">
        <v>0.2</v>
      </c>
      <c r="Q114" s="245">
        <v>20</v>
      </c>
      <c r="R114" s="227">
        <v>1.05</v>
      </c>
      <c r="T114" s="268">
        <f t="shared" si="83"/>
        <v>0.22796022857142861</v>
      </c>
      <c r="U114" s="268"/>
      <c r="V114" s="589" t="str">
        <f>'Data manipulation'!$B$23</f>
        <v>Solid fossil fuels, peat, peat products, oil shale and oil sands</v>
      </c>
      <c r="W114" s="254" t="s">
        <v>846</v>
      </c>
      <c r="X114" s="246">
        <v>2018</v>
      </c>
      <c r="Y114" s="432">
        <f>_xlfn.IFNA(INDEX('Data manipulation'!$C$23:$O$39,MATCH($V114,'Data manipulation'!$B$23:$B$39,0),MATCH($X114,'Data manipulation'!$C$22:$O$22,0))/1000,0)*SUMIFS('Regional split'!$F$4:$F$6,'Regional split'!$B$4:$B$6,Y$3)*SUMIFS('Data manipulation'!$V$39:$V$42,'Data manipulation'!$X$39:$X$42,$E114,'Data manipulation'!$Y$39:$Y$42,$D114)</f>
        <v>0.21625615699999998</v>
      </c>
      <c r="Z114" s="270">
        <f>_xlfn.IFNA(INDEX('Data manipulation'!$C$23:$O$39,MATCH($V114,'Data manipulation'!$B$23:$B$39,0),MATCH($X114,'Data manipulation'!$C$22:$O$22,0))/1000,0)*SUMIFS('Regional split'!$F$4:$F$6,'Regional split'!$B$4:$B$6,Z$3)*SUMIFS('Data manipulation'!$V$39:$V$42,'Data manipulation'!$X$39:$X$42,$E114,'Data manipulation'!$Y$39:$Y$42,$D114)</f>
        <v>0</v>
      </c>
      <c r="AA114" s="454">
        <f>_xlfn.IFNA(INDEX('Data manipulation'!$C$23:$O$39,MATCH($V114,'Data manipulation'!$B$23:$B$39,0),MATCH($X114,'Data manipulation'!$C$22:$O$22,0))/1000,0)*SUMIFS('Regional split'!$F$4:$F$6,'Regional split'!$B$4:$B$6,AA$3)*SUMIFS('Data manipulation'!$V$39:$V$42,'Data manipulation'!$X$39:$X$42,$E114,'Data manipulation'!$Y$39:$Y$42,$D114)</f>
        <v>0</v>
      </c>
      <c r="AB114" s="443">
        <f t="shared" si="157"/>
        <v>0.15137930989999998</v>
      </c>
      <c r="AC114" s="251">
        <f t="shared" si="158"/>
        <v>0</v>
      </c>
      <c r="AD114" s="444">
        <f t="shared" si="159"/>
        <v>0</v>
      </c>
      <c r="AE114" s="262"/>
      <c r="AU114" s="260"/>
      <c r="AZ114" s="252"/>
    </row>
    <row r="115" spans="2:52" ht="15" customHeight="1">
      <c r="B115" s="233" t="str">
        <f t="shared" ref="B115:G115" si="168">B75</f>
        <v>CHTUMSOLE1</v>
      </c>
      <c r="C115" s="233" t="str">
        <f t="shared" si="168"/>
        <v>Commercial Heating Technology Urban Multi - Solar - Existing 1</v>
      </c>
      <c r="D115" s="233" t="str">
        <f t="shared" si="168"/>
        <v>Urban</v>
      </c>
      <c r="E115" s="233" t="str">
        <f t="shared" si="168"/>
        <v>Multi storey</v>
      </c>
      <c r="F115" s="233" t="str">
        <f t="shared" si="168"/>
        <v>COMSOL</v>
      </c>
      <c r="G115" s="233" t="str">
        <f t="shared" si="168"/>
        <v>COMHUMB</v>
      </c>
      <c r="H115" s="230">
        <v>2018</v>
      </c>
      <c r="I115" s="250">
        <f t="shared" si="161"/>
        <v>7.1999999999999993</v>
      </c>
      <c r="J115" s="250">
        <f t="shared" si="162"/>
        <v>0</v>
      </c>
      <c r="K115" s="250">
        <f t="shared" si="163"/>
        <v>0</v>
      </c>
      <c r="L115" s="460">
        <v>1</v>
      </c>
      <c r="M115" s="460">
        <v>1</v>
      </c>
      <c r="N115" s="460">
        <v>1</v>
      </c>
      <c r="O115" s="244">
        <f t="shared" si="165"/>
        <v>3.1536000000000002E-2</v>
      </c>
      <c r="P115" s="458">
        <v>0.2</v>
      </c>
      <c r="Q115" s="245">
        <v>20</v>
      </c>
      <c r="R115" s="227">
        <v>1.05</v>
      </c>
      <c r="T115" s="268">
        <f t="shared" si="83"/>
        <v>4.5411840000000002E-2</v>
      </c>
      <c r="U115" s="268"/>
      <c r="V115" s="589" t="str">
        <f>'Data manipulation'!$B$29</f>
        <v>Solar thermal</v>
      </c>
      <c r="W115" s="254" t="s">
        <v>168</v>
      </c>
      <c r="X115" s="246">
        <v>2018</v>
      </c>
      <c r="Y115" s="432">
        <f>_xlfn.IFNA(INDEX('Data manipulation'!$C$23:$O$39,MATCH($V115,'Data manipulation'!$B$23:$B$39,0),MATCH($X115,'Data manipulation'!$C$22:$O$22,0))/1000,0)*SUMIFS('Regional split'!$F$4:$F$6,'Regional split'!$B$4:$B$6,Y$3)*SUMIFS('Data manipulation'!$V$39:$V$42,'Data manipulation'!$X$39:$X$42,$E115,'Data manipulation'!$Y$39:$Y$42,$D115)</f>
        <v>4.3196595000000004E-2</v>
      </c>
      <c r="Z115" s="270">
        <f>_xlfn.IFNA(INDEX('Data manipulation'!$C$23:$O$39,MATCH($V115,'Data manipulation'!$B$23:$B$39,0),MATCH($X115,'Data manipulation'!$C$22:$O$22,0))/1000,0)*SUMIFS('Regional split'!$F$4:$F$6,'Regional split'!$B$4:$B$6,Z$3)*SUMIFS('Data manipulation'!$V$39:$V$42,'Data manipulation'!$X$39:$X$42,$E115,'Data manipulation'!$Y$39:$Y$42,$D115)</f>
        <v>0</v>
      </c>
      <c r="AA115" s="454">
        <f>_xlfn.IFNA(INDEX('Data manipulation'!$C$23:$O$39,MATCH($V115,'Data manipulation'!$B$23:$B$39,0),MATCH($X115,'Data manipulation'!$C$22:$O$22,0))/1000,0)*SUMIFS('Regional split'!$F$4:$F$6,'Regional split'!$B$4:$B$6,AA$3)*SUMIFS('Data manipulation'!$V$39:$V$42,'Data manipulation'!$X$39:$X$42,$E115,'Data manipulation'!$Y$39:$Y$42,$D115)</f>
        <v>0</v>
      </c>
      <c r="AB115" s="443">
        <f t="shared" si="157"/>
        <v>4.3196595000000004E-2</v>
      </c>
      <c r="AC115" s="251">
        <f t="shared" si="158"/>
        <v>0</v>
      </c>
      <c r="AD115" s="444">
        <f t="shared" si="159"/>
        <v>0</v>
      </c>
      <c r="AE115" s="262"/>
      <c r="AU115" s="260"/>
      <c r="AZ115" s="252"/>
    </row>
    <row r="116" spans="2:52" ht="15" customHeight="1">
      <c r="B116" s="233" t="str">
        <f t="shared" ref="B116:G116" si="169">B76</f>
        <v>CHTUMELCHE1</v>
      </c>
      <c r="C116" s="233" t="str">
        <f t="shared" si="169"/>
        <v>Commercial Heating Technology Urban Multi - Electricity Heating - Existing 1</v>
      </c>
      <c r="D116" s="233" t="str">
        <f t="shared" si="169"/>
        <v>Urban</v>
      </c>
      <c r="E116" s="233" t="str">
        <f t="shared" si="169"/>
        <v>Multi storey</v>
      </c>
      <c r="F116" s="233" t="str">
        <f t="shared" si="169"/>
        <v>COMELCH</v>
      </c>
      <c r="G116" s="233" t="str">
        <f t="shared" si="169"/>
        <v>COMHUMB</v>
      </c>
      <c r="H116" s="230">
        <v>2018</v>
      </c>
      <c r="I116" s="250">
        <f t="shared" si="161"/>
        <v>1165.0999999999999</v>
      </c>
      <c r="J116" s="250">
        <f t="shared" si="162"/>
        <v>0</v>
      </c>
      <c r="K116" s="250">
        <f t="shared" si="163"/>
        <v>0</v>
      </c>
      <c r="L116" s="460">
        <v>1</v>
      </c>
      <c r="M116" s="460">
        <v>1</v>
      </c>
      <c r="N116" s="460">
        <v>1</v>
      </c>
      <c r="O116" s="244">
        <f t="shared" si="165"/>
        <v>3.1536000000000002E-2</v>
      </c>
      <c r="P116" s="458">
        <v>0.2</v>
      </c>
      <c r="Q116" s="245">
        <v>30</v>
      </c>
      <c r="R116" s="227">
        <v>1.05</v>
      </c>
      <c r="T116" s="268">
        <f t="shared" si="83"/>
        <v>7.3485187200000004</v>
      </c>
      <c r="U116" s="268"/>
      <c r="V116" s="589" t="str">
        <f>'Data manipulation'!$B$33</f>
        <v>Electricity</v>
      </c>
      <c r="W116" s="254" t="s">
        <v>169</v>
      </c>
      <c r="X116" s="246">
        <v>2018</v>
      </c>
      <c r="Y116" s="432">
        <f>_xlfn.IFNA(INDEX('Data manipulation'!$C$23:$O$39,MATCH($V116,'Data manipulation'!$B$23:$B$39,0),MATCH($X116,'Data manipulation'!$C$22:$O$22,0))/1000,0)*SUMIFS('Regional split'!$F$4:$F$6,'Regional split'!$B$4:$B$6,Y$3)*SUMIFS('Data manipulation'!$V$39:$V$42,'Data manipulation'!$X$39:$X$42,$E116,'Data manipulation'!$Y$39:$Y$42,$D116)</f>
        <v>6.9982903355188091</v>
      </c>
      <c r="Z116" s="270">
        <f>_xlfn.IFNA(INDEX('Data manipulation'!$C$23:$O$39,MATCH($V116,'Data manipulation'!$B$23:$B$39,0),MATCH($X116,'Data manipulation'!$C$22:$O$22,0))/1000,0)*SUMIFS('Regional split'!$F$4:$F$6,'Regional split'!$B$4:$B$6,Z$3)*SUMIFS('Data manipulation'!$V$39:$V$42,'Data manipulation'!$X$39:$X$42,$E116,'Data manipulation'!$Y$39:$Y$42,$D116)</f>
        <v>0</v>
      </c>
      <c r="AA116" s="454">
        <f>_xlfn.IFNA(INDEX('Data manipulation'!$C$23:$O$39,MATCH($V116,'Data manipulation'!$B$23:$B$39,0),MATCH($X116,'Data manipulation'!$C$22:$O$22,0))/1000,0)*SUMIFS('Regional split'!$F$4:$F$6,'Regional split'!$B$4:$B$6,AA$3)*SUMIFS('Data manipulation'!$V$39:$V$42,'Data manipulation'!$X$39:$X$42,$E116,'Data manipulation'!$Y$39:$Y$42,$D116)</f>
        <v>0</v>
      </c>
      <c r="AB116" s="443">
        <f t="shared" si="157"/>
        <v>6.9982903355188091</v>
      </c>
      <c r="AC116" s="251">
        <f t="shared" si="158"/>
        <v>0</v>
      </c>
      <c r="AD116" s="444">
        <f t="shared" si="159"/>
        <v>0</v>
      </c>
      <c r="AU116" s="260"/>
      <c r="AZ116" s="252"/>
    </row>
    <row r="117" spans="2:52" ht="15" customHeight="1">
      <c r="B117" s="233" t="str">
        <f t="shared" ref="B117:G117" si="170">B77</f>
        <v>CHTUMELCHE2</v>
      </c>
      <c r="C117" s="233" t="str">
        <f t="shared" si="170"/>
        <v>Commercial Heating Technology Urban Multi - Electricity Heating - Existing 2</v>
      </c>
      <c r="D117" s="233" t="str">
        <f t="shared" si="170"/>
        <v>Urban</v>
      </c>
      <c r="E117" s="233" t="str">
        <f t="shared" si="170"/>
        <v>Multi storey</v>
      </c>
      <c r="F117" s="233" t="str">
        <f t="shared" si="170"/>
        <v>COMELCH</v>
      </c>
      <c r="G117" s="233" t="str">
        <f t="shared" si="170"/>
        <v>COMHUMB</v>
      </c>
      <c r="H117" s="230">
        <v>2018</v>
      </c>
      <c r="I117" s="250">
        <f t="shared" si="161"/>
        <v>317.20000000000005</v>
      </c>
      <c r="J117" s="250">
        <f t="shared" si="162"/>
        <v>0</v>
      </c>
      <c r="K117" s="250">
        <f t="shared" si="163"/>
        <v>0</v>
      </c>
      <c r="L117" s="460">
        <v>2.3149999999999999</v>
      </c>
      <c r="M117" s="460">
        <v>2.3149999999999999</v>
      </c>
      <c r="N117" s="460">
        <v>2.3149999999999999</v>
      </c>
      <c r="O117" s="244">
        <f t="shared" si="165"/>
        <v>3.1536000000000002E-2</v>
      </c>
      <c r="P117" s="458">
        <v>0.2</v>
      </c>
      <c r="Q117" s="245">
        <v>30</v>
      </c>
      <c r="R117" s="227">
        <v>1.05</v>
      </c>
      <c r="T117" s="268">
        <f t="shared" si="83"/>
        <v>0.86420900215982743</v>
      </c>
      <c r="U117" s="268"/>
      <c r="V117" s="589" t="str">
        <f>'Data manipulation'!$B$30</f>
        <v>Ambient heat (heat pumps)</v>
      </c>
      <c r="W117" s="254" t="s">
        <v>170</v>
      </c>
      <c r="X117" s="246">
        <v>2018</v>
      </c>
      <c r="Y117" s="432">
        <f>_xlfn.IFNA(INDEX('Data manipulation'!$C$23:$O$39,MATCH($V117,'Data manipulation'!$B$23:$B$39,0),MATCH($X117,'Data manipulation'!$C$22:$O$22,0))/1000,0)*SUMIFS('Regional split'!$F$4:$F$6,'Regional split'!$B$4:$B$6,Y$3)*SUMIFS('Data manipulation'!$V$39:$V$42,'Data manipulation'!$X$39:$X$42,$E117,'Data manipulation'!$Y$39:$Y$42,$D117)</f>
        <v>0.82288296999999999</v>
      </c>
      <c r="Z117" s="270">
        <f>_xlfn.IFNA(INDEX('Data manipulation'!$C$23:$O$39,MATCH($V117,'Data manipulation'!$B$23:$B$39,0),MATCH($X117,'Data manipulation'!$C$22:$O$22,0))/1000,0)*SUMIFS('Regional split'!$F$4:$F$6,'Regional split'!$B$4:$B$6,Z$3)*SUMIFS('Data manipulation'!$V$39:$V$42,'Data manipulation'!$X$39:$X$42,$E117,'Data manipulation'!$Y$39:$Y$42,$D117)</f>
        <v>0</v>
      </c>
      <c r="AA117" s="454">
        <f>_xlfn.IFNA(INDEX('Data manipulation'!$C$23:$O$39,MATCH($V117,'Data manipulation'!$B$23:$B$39,0),MATCH($X117,'Data manipulation'!$C$22:$O$22,0))/1000,0)*SUMIFS('Regional split'!$F$4:$F$6,'Regional split'!$B$4:$B$6,AA$3)*SUMIFS('Data manipulation'!$V$39:$V$42,'Data manipulation'!$X$39:$X$42,$E117,'Data manipulation'!$Y$39:$Y$42,$D117)</f>
        <v>0</v>
      </c>
      <c r="AB117" s="443">
        <f t="shared" si="157"/>
        <v>1.90497407555</v>
      </c>
      <c r="AC117" s="251">
        <f t="shared" si="158"/>
        <v>0</v>
      </c>
      <c r="AD117" s="444">
        <f t="shared" si="159"/>
        <v>0</v>
      </c>
      <c r="AU117" s="260"/>
      <c r="AZ117" s="252"/>
    </row>
    <row r="118" spans="2:52" ht="15" customHeight="1">
      <c r="B118" s="233" t="str">
        <f t="shared" ref="B118:G118" si="171">B78</f>
        <v>CHTUMHCEE1</v>
      </c>
      <c r="C118" s="233" t="str">
        <f t="shared" si="171"/>
        <v>Commercial Heating Technology Urban Multi - District heating Central - Existing 1</v>
      </c>
      <c r="D118" s="233" t="str">
        <f t="shared" si="171"/>
        <v>Urban</v>
      </c>
      <c r="E118" s="233" t="str">
        <f t="shared" si="171"/>
        <v>Multi storey</v>
      </c>
      <c r="F118" s="233" t="str">
        <f t="shared" si="171"/>
        <v>COMHCE</v>
      </c>
      <c r="G118" s="233" t="str">
        <f t="shared" si="171"/>
        <v>COMHUMX</v>
      </c>
      <c r="H118" s="230">
        <v>2018</v>
      </c>
      <c r="I118" s="250">
        <f t="shared" si="161"/>
        <v>1991.6</v>
      </c>
      <c r="J118" s="565">
        <v>0</v>
      </c>
      <c r="K118" s="565">
        <v>0</v>
      </c>
      <c r="L118" s="460">
        <v>0.95</v>
      </c>
      <c r="M118" s="460">
        <v>0.95</v>
      </c>
      <c r="N118" s="460">
        <v>0.95</v>
      </c>
      <c r="O118" s="244">
        <f t="shared" si="165"/>
        <v>3.1536000000000002E-2</v>
      </c>
      <c r="P118" s="458">
        <v>0.2</v>
      </c>
      <c r="Q118" s="245">
        <v>30</v>
      </c>
      <c r="R118" s="227">
        <v>1.05</v>
      </c>
      <c r="T118" s="268">
        <f t="shared" si="83"/>
        <v>13.222546863157897</v>
      </c>
      <c r="U118" s="268"/>
      <c r="V118" s="589" t="str">
        <f>'Data manipulation'!$B$34</f>
        <v>Heat</v>
      </c>
      <c r="W118" s="254" t="s">
        <v>171</v>
      </c>
      <c r="X118" s="246">
        <v>2018</v>
      </c>
      <c r="Y118" s="432">
        <f>_xlfn.IFNA(INDEX('Data manipulation'!$C$23:$O$39,MATCH($V118,'Data manipulation'!$B$23:$B$39,0),MATCH($X118,'Data manipulation'!$C$22:$O$22,0))/1000,0)*SUMIFS('Regional split'!$F$4:$F$6,'Regional split'!$B$4:$B$6,Y$3)*SUMIFS('Data manipulation'!$V$39:$V$42,'Data manipulation'!$X$39:$X$42,$E118,'Data manipulation'!$Y$39:$Y$42,$D118)</f>
        <v>12.592500579615937</v>
      </c>
      <c r="Z118" s="270">
        <f>_xlfn.IFNA(INDEX('Data manipulation'!$C$23:$O$39,MATCH($V118,'Data manipulation'!$B$23:$B$39,0),MATCH($X118,'Data manipulation'!$C$22:$O$22,0))/1000,0)*SUMIFS('Regional split'!$F$4:$F$6,'Regional split'!$B$4:$B$6,Z$3)*SUMIFS('Data manipulation'!$V$39:$V$42,'Data manipulation'!$X$39:$X$42,$E118,'Data manipulation'!$Y$39:$Y$42,$D118)</f>
        <v>0</v>
      </c>
      <c r="AA118" s="454">
        <f>_xlfn.IFNA(INDEX('Data manipulation'!$C$23:$O$39,MATCH($V118,'Data manipulation'!$B$23:$B$39,0),MATCH($X118,'Data manipulation'!$C$22:$O$22,0))/1000,0)*SUMIFS('Regional split'!$F$4:$F$6,'Regional split'!$B$4:$B$6,AA$3)*SUMIFS('Data manipulation'!$V$39:$V$42,'Data manipulation'!$X$39:$X$42,$E118,'Data manipulation'!$Y$39:$Y$42,$D118)</f>
        <v>0</v>
      </c>
      <c r="AB118" s="443">
        <f t="shared" si="157"/>
        <v>11.96287555063514</v>
      </c>
      <c r="AC118" s="251">
        <f t="shared" si="158"/>
        <v>0</v>
      </c>
      <c r="AD118" s="444">
        <f t="shared" si="159"/>
        <v>0</v>
      </c>
      <c r="AU118" s="260"/>
      <c r="AZ118" s="252"/>
    </row>
    <row r="119" spans="2:52" ht="15" customHeight="1" thickBot="1">
      <c r="B119" s="255" t="str">
        <f t="shared" ref="B119:G119" si="172">B79</f>
        <v>CHTUMLPGE1</v>
      </c>
      <c r="C119" s="255" t="str">
        <f t="shared" si="172"/>
        <v>Commercial Heating Technology Urban Multi - LPG - Existing 1</v>
      </c>
      <c r="D119" s="528" t="str">
        <f t="shared" si="172"/>
        <v>Urban</v>
      </c>
      <c r="E119" s="528" t="str">
        <f t="shared" si="172"/>
        <v>Multi storey</v>
      </c>
      <c r="F119" s="255" t="str">
        <f t="shared" si="172"/>
        <v>COMLPG</v>
      </c>
      <c r="G119" s="255" t="str">
        <f t="shared" si="172"/>
        <v>COMHUMB</v>
      </c>
      <c r="H119" s="422">
        <v>2018</v>
      </c>
      <c r="I119" s="297">
        <f t="shared" ref="I119" si="173">ROUNDUP(AB119/($O119*$P119)*$R119,1)</f>
        <v>243.2</v>
      </c>
      <c r="J119" s="297">
        <f t="shared" ref="J119" si="174">ROUNDUP(AC119/($O119*$P119)*$R119,1)</f>
        <v>0</v>
      </c>
      <c r="K119" s="297">
        <f t="shared" ref="K119" si="175">ROUNDUP(AD119/($O119*$P119)*$R119,1)</f>
        <v>0</v>
      </c>
      <c r="L119" s="461">
        <v>0.95</v>
      </c>
      <c r="M119" s="461">
        <v>0.95</v>
      </c>
      <c r="N119" s="461">
        <v>0.95</v>
      </c>
      <c r="O119" s="257">
        <f t="shared" si="165"/>
        <v>3.1536000000000002E-2</v>
      </c>
      <c r="P119" s="458">
        <v>0.2</v>
      </c>
      <c r="Q119" s="258">
        <v>30</v>
      </c>
      <c r="R119" s="227">
        <v>1.05</v>
      </c>
      <c r="T119" s="268">
        <f t="shared" si="83"/>
        <v>1.6146432000000002</v>
      </c>
      <c r="U119" s="268"/>
      <c r="V119" s="590" t="str">
        <f>'Data manipulation'!$B$25</f>
        <v>Liquefied petroleum gas</v>
      </c>
      <c r="W119" s="427" t="s">
        <v>759</v>
      </c>
      <c r="X119" s="246">
        <v>2018</v>
      </c>
      <c r="Y119" s="433">
        <f>_xlfn.IFNA(INDEX('Data manipulation'!$C$23:$O$39,MATCH($V119,'Data manipulation'!$B$23:$B$39,0),MATCH($X119,'Data manipulation'!$C$22:$O$22,0))/1000,0)*SUMIFS('Regional split'!$F$4:$F$6,'Regional split'!$B$4:$B$6,Y$3)*SUMIFS('Data manipulation'!$V$39:$V$42,'Data manipulation'!$X$39:$X$42,$E119,'Data manipulation'!$Y$39:$Y$42,$D119)</f>
        <v>1.5372929259999999</v>
      </c>
      <c r="Z119" s="430">
        <f>_xlfn.IFNA(INDEX('Data manipulation'!$C$23:$O$39,MATCH($V119,'Data manipulation'!$B$23:$B$39,0),MATCH($X119,'Data manipulation'!$C$22:$O$22,0))/1000,0)*SUMIFS('Regional split'!$F$4:$F$6,'Regional split'!$B$4:$B$6,Z$3)*SUMIFS('Data manipulation'!$V$39:$V$42,'Data manipulation'!$X$39:$X$42,$E119,'Data manipulation'!$Y$39:$Y$42,$D119)</f>
        <v>0</v>
      </c>
      <c r="AA119" s="455">
        <f>_xlfn.IFNA(INDEX('Data manipulation'!$C$23:$O$39,MATCH($V119,'Data manipulation'!$B$23:$B$39,0),MATCH($X119,'Data manipulation'!$C$22:$O$22,0))/1000,0)*SUMIFS('Regional split'!$F$4:$F$6,'Regional split'!$B$4:$B$6,AA$3)*SUMIFS('Data manipulation'!$V$39:$V$42,'Data manipulation'!$X$39:$X$42,$E119,'Data manipulation'!$Y$39:$Y$42,$D119)</f>
        <v>0</v>
      </c>
      <c r="AB119" s="450">
        <f t="shared" si="157"/>
        <v>1.4604282796999999</v>
      </c>
      <c r="AC119" s="277">
        <f t="shared" si="158"/>
        <v>0</v>
      </c>
      <c r="AD119" s="446">
        <f t="shared" si="159"/>
        <v>0</v>
      </c>
      <c r="AU119" s="260"/>
      <c r="AZ119" s="252"/>
    </row>
    <row r="120" spans="2:52" ht="15" customHeight="1">
      <c r="B120" s="233" t="str">
        <f t="shared" ref="B120:G120" si="176">B80</f>
        <v>CHTRMNGAE1</v>
      </c>
      <c r="C120" s="233" t="str">
        <f t="shared" si="176"/>
        <v>Commercial Heating Technology Rural Multi - Natural Gas - Existing 1</v>
      </c>
      <c r="D120" s="233" t="str">
        <f t="shared" si="176"/>
        <v>Rural</v>
      </c>
      <c r="E120" s="233" t="str">
        <f t="shared" si="176"/>
        <v>Multi storey</v>
      </c>
      <c r="F120" s="233" t="str">
        <f t="shared" si="176"/>
        <v>COMNGA,COMSNG</v>
      </c>
      <c r="G120" s="233" t="str">
        <f t="shared" si="176"/>
        <v>COMHRMB</v>
      </c>
      <c r="H120" s="259">
        <v>2018</v>
      </c>
      <c r="I120" s="250">
        <f>ROUNDUP(AB120/($O120*$P120)*$R120,1)</f>
        <v>675.7</v>
      </c>
      <c r="J120" s="250">
        <f>ROUNDUP(AC120/($O120*$P120)*$R120,1)</f>
        <v>0</v>
      </c>
      <c r="K120" s="250">
        <f>ROUNDUP(AD120/($O120*$P120)*$R120,1)</f>
        <v>0</v>
      </c>
      <c r="L120" s="460">
        <v>0.79</v>
      </c>
      <c r="M120" s="460">
        <v>0.79</v>
      </c>
      <c r="N120" s="460">
        <v>0.79</v>
      </c>
      <c r="O120" s="244">
        <f t="shared" si="165"/>
        <v>3.1536000000000002E-2</v>
      </c>
      <c r="P120" s="458">
        <v>0.2</v>
      </c>
      <c r="Q120" s="245">
        <v>25</v>
      </c>
      <c r="R120" s="227">
        <v>1.05</v>
      </c>
      <c r="T120" s="268">
        <f t="shared" si="83"/>
        <v>5.3946519493670895</v>
      </c>
      <c r="U120" s="268"/>
      <c r="V120" s="589" t="str">
        <f>'Data manipulation'!$B$36</f>
        <v>Natural gas and biogas</v>
      </c>
      <c r="W120" s="246" t="s">
        <v>167</v>
      </c>
      <c r="X120" s="246">
        <v>2018</v>
      </c>
      <c r="Y120" s="432">
        <f>_xlfn.IFNA(INDEX('Data manipulation'!$C$23:$O$39,MATCH($V120,'Data manipulation'!$B$23:$B$39,0),MATCH($X120,'Data manipulation'!$C$22:$O$22,0))/1000,0)*SUMIFS('Regional split'!$F$4:$F$6,'Regional split'!$B$4:$B$6,Y$3)*SUMIFS('Data manipulation'!$V$39:$V$42,'Data manipulation'!$X$39:$X$42,$E120,'Data manipulation'!$Y$39:$Y$42,$D120)</f>
        <v>5.1370602028080903</v>
      </c>
      <c r="Z120" s="270">
        <f>_xlfn.IFNA(INDEX('Data manipulation'!$C$23:$O$39,MATCH($V120,'Data manipulation'!$B$23:$B$39,0),MATCH($X120,'Data manipulation'!$C$22:$O$22,0))/1000,0)*SUMIFS('Regional split'!$F$4:$F$6,'Regional split'!$B$4:$B$6,Z$3)*SUMIFS('Data manipulation'!$V$39:$V$42,'Data manipulation'!$X$39:$X$42,$E120,'Data manipulation'!$Y$39:$Y$42,$D120)</f>
        <v>0</v>
      </c>
      <c r="AA120" s="454">
        <f>_xlfn.IFNA(INDEX('Data manipulation'!$C$23:$O$39,MATCH($V120,'Data manipulation'!$B$23:$B$39,0),MATCH($X120,'Data manipulation'!$C$22:$O$22,0))/1000,0)*SUMIFS('Regional split'!$F$4:$F$6,'Regional split'!$B$4:$B$6,AA$3)*SUMIFS('Data manipulation'!$V$39:$V$42,'Data manipulation'!$X$39:$X$42,$E120,'Data manipulation'!$Y$39:$Y$42,$D120)</f>
        <v>0</v>
      </c>
      <c r="AB120" s="451">
        <f t="shared" si="157"/>
        <v>4.0582775602183911</v>
      </c>
      <c r="AC120" s="278">
        <f t="shared" si="158"/>
        <v>0</v>
      </c>
      <c r="AD120" s="447">
        <f t="shared" si="159"/>
        <v>0</v>
      </c>
      <c r="AU120" s="260"/>
      <c r="AZ120" s="252"/>
    </row>
    <row r="121" spans="2:52" ht="15" customHeight="1">
      <c r="B121" s="233" t="str">
        <f t="shared" ref="B121:G121" si="177">B81</f>
        <v>CHTRMDSLE1</v>
      </c>
      <c r="C121" s="233" t="str">
        <f t="shared" si="177"/>
        <v>Commercial Heating Technology Rural Multi - Diesel - Existing 1</v>
      </c>
      <c r="D121" s="233" t="str">
        <f t="shared" si="177"/>
        <v>Rural</v>
      </c>
      <c r="E121" s="233" t="str">
        <f t="shared" si="177"/>
        <v>Multi storey</v>
      </c>
      <c r="F121" s="233" t="str">
        <f t="shared" si="177"/>
        <v>COMDSL,COMDSB</v>
      </c>
      <c r="G121" s="233" t="str">
        <f t="shared" si="177"/>
        <v>COMHRMB</v>
      </c>
      <c r="H121" s="259">
        <v>2018</v>
      </c>
      <c r="I121" s="250">
        <f t="shared" ref="I121:I127" si="178">ROUNDUP(AB121/($O121*$P121)*$R121,1)</f>
        <v>202.79999999999998</v>
      </c>
      <c r="J121" s="250">
        <f t="shared" ref="J121:J127" si="179">ROUNDUP(AC121/($O121*$P121)*$R121,1)</f>
        <v>0</v>
      </c>
      <c r="K121" s="250">
        <f t="shared" ref="K121:K127" si="180">ROUNDUP(AD121/($O121*$P121)*$R121,1)</f>
        <v>0</v>
      </c>
      <c r="L121" s="460">
        <v>0.79</v>
      </c>
      <c r="M121" s="460">
        <v>0.79</v>
      </c>
      <c r="N121" s="460">
        <v>0.79</v>
      </c>
      <c r="O121" s="244">
        <f t="shared" si="165"/>
        <v>3.1536000000000002E-2</v>
      </c>
      <c r="P121" s="458">
        <v>0.2</v>
      </c>
      <c r="Q121" s="245">
        <v>20</v>
      </c>
      <c r="R121" s="227">
        <v>1.05</v>
      </c>
      <c r="T121" s="268">
        <f t="shared" si="83"/>
        <v>1.6191141265822784</v>
      </c>
      <c r="V121" s="589" t="str">
        <f>'Data manipulation'!$B$28</f>
        <v>Gas oil and diesel oil and biodiesel</v>
      </c>
      <c r="W121" s="254" t="s">
        <v>718</v>
      </c>
      <c r="X121" s="246">
        <v>2018</v>
      </c>
      <c r="Y121" s="432">
        <f>_xlfn.IFNA(INDEX('Data manipulation'!$C$23:$O$39,MATCH($V121,'Data manipulation'!$B$23:$B$39,0),MATCH($X121,'Data manipulation'!$C$22:$O$22,0))/1000,0)*SUMIFS('Regional split'!$F$4:$F$6,'Regional split'!$B$4:$B$6,Y$3)*SUMIFS('Data manipulation'!$V$39:$V$42,'Data manipulation'!$X$39:$X$42,$E121,'Data manipulation'!$Y$39:$Y$42,$D121)</f>
        <v>1.5415257113721836</v>
      </c>
      <c r="Z121" s="270">
        <f>_xlfn.IFNA(INDEX('Data manipulation'!$C$23:$O$39,MATCH($V121,'Data manipulation'!$B$23:$B$39,0),MATCH($X121,'Data manipulation'!$C$22:$O$22,0))/1000,0)*SUMIFS('Regional split'!$F$4:$F$6,'Regional split'!$B$4:$B$6,Z$3)*SUMIFS('Data manipulation'!$V$39:$V$42,'Data manipulation'!$X$39:$X$42,$E121,'Data manipulation'!$Y$39:$Y$42,$D121)</f>
        <v>0</v>
      </c>
      <c r="AA121" s="454">
        <f>_xlfn.IFNA(INDEX('Data manipulation'!$C$23:$O$39,MATCH($V121,'Data manipulation'!$B$23:$B$39,0),MATCH($X121,'Data manipulation'!$C$22:$O$22,0))/1000,0)*SUMIFS('Regional split'!$F$4:$F$6,'Regional split'!$B$4:$B$6,AA$3)*SUMIFS('Data manipulation'!$V$39:$V$42,'Data manipulation'!$X$39:$X$42,$E121,'Data manipulation'!$Y$39:$Y$42,$D121)</f>
        <v>0</v>
      </c>
      <c r="AB121" s="443">
        <f t="shared" si="157"/>
        <v>1.2178053119840251</v>
      </c>
      <c r="AC121" s="251">
        <f t="shared" si="158"/>
        <v>0</v>
      </c>
      <c r="AD121" s="444">
        <f t="shared" si="159"/>
        <v>0</v>
      </c>
      <c r="AU121" s="260"/>
      <c r="AZ121" s="252"/>
    </row>
    <row r="122" spans="2:52" ht="15" customHeight="1">
      <c r="B122" s="233" t="str">
        <f t="shared" ref="B122:G122" si="181">B82</f>
        <v>CHTRMWPEE1</v>
      </c>
      <c r="C122" s="233" t="str">
        <f t="shared" si="181"/>
        <v>Commercial Heating Technology Rural Multi - Wood pellets - Existing 1</v>
      </c>
      <c r="D122" s="233" t="str">
        <f t="shared" si="181"/>
        <v>Rural</v>
      </c>
      <c r="E122" s="233" t="str">
        <f t="shared" si="181"/>
        <v>Multi storey</v>
      </c>
      <c r="F122" s="233" t="str">
        <f t="shared" si="181"/>
        <v>COMWPE</v>
      </c>
      <c r="G122" s="233" t="str">
        <f t="shared" si="181"/>
        <v>COMHRMB</v>
      </c>
      <c r="H122" s="259">
        <v>2018</v>
      </c>
      <c r="I122" s="250">
        <f t="shared" si="178"/>
        <v>0</v>
      </c>
      <c r="J122" s="250">
        <f t="shared" si="179"/>
        <v>0</v>
      </c>
      <c r="K122" s="250">
        <f t="shared" si="180"/>
        <v>0</v>
      </c>
      <c r="L122" s="460">
        <v>0.67</v>
      </c>
      <c r="M122" s="460">
        <v>0.67</v>
      </c>
      <c r="N122" s="460">
        <v>0.67</v>
      </c>
      <c r="O122" s="244">
        <f>31.536/1000</f>
        <v>3.1536000000000002E-2</v>
      </c>
      <c r="P122" s="458">
        <v>0.2</v>
      </c>
      <c r="Q122" s="245">
        <v>20</v>
      </c>
      <c r="R122" s="227">
        <v>1.05</v>
      </c>
      <c r="T122" s="268">
        <f t="shared" si="83"/>
        <v>0</v>
      </c>
      <c r="U122" s="268"/>
      <c r="W122" s="254" t="s">
        <v>849</v>
      </c>
      <c r="X122" s="246">
        <v>2018</v>
      </c>
      <c r="Y122" s="432">
        <f>_xlfn.IFNA(INDEX('Data manipulation'!$C$23:$O$39,MATCH($V122,'Data manipulation'!$B$23:$B$39,0),MATCH($X122,'Data manipulation'!$C$22:$O$22,0))/1000,0)*SUMIFS('Regional split'!$F$4:$F$6,'Regional split'!$B$4:$B$6,Y$3)*SUMIFS('Data manipulation'!$V$39:$V$42,'Data manipulation'!$X$39:$X$42,$E122,'Data manipulation'!$Y$39:$Y$42,$D122)</f>
        <v>0</v>
      </c>
      <c r="Z122" s="270">
        <f>_xlfn.IFNA(INDEX('Data manipulation'!$C$23:$O$39,MATCH($V122,'Data manipulation'!$B$23:$B$39,0),MATCH($X122,'Data manipulation'!$C$22:$O$22,0))/1000,0)*SUMIFS('Regional split'!$F$4:$F$6,'Regional split'!$B$4:$B$6,Z$3)*SUMIFS('Data manipulation'!$V$39:$V$42,'Data manipulation'!$X$39:$X$42,$E122,'Data manipulation'!$Y$39:$Y$42,$D122)</f>
        <v>0</v>
      </c>
      <c r="AA122" s="454">
        <f>_xlfn.IFNA(INDEX('Data manipulation'!$C$23:$O$39,MATCH($V122,'Data manipulation'!$B$23:$B$39,0),MATCH($X122,'Data manipulation'!$C$22:$O$22,0))/1000,0)*SUMIFS('Regional split'!$F$4:$F$6,'Regional split'!$B$4:$B$6,AA$3)*SUMIFS('Data manipulation'!$V$39:$V$42,'Data manipulation'!$X$39:$X$42,$E122,'Data manipulation'!$Y$39:$Y$42,$D122)</f>
        <v>0</v>
      </c>
      <c r="AB122" s="443">
        <f t="shared" si="157"/>
        <v>0</v>
      </c>
      <c r="AC122" s="251">
        <f t="shared" si="158"/>
        <v>0</v>
      </c>
      <c r="AD122" s="444">
        <f t="shared" si="159"/>
        <v>0</v>
      </c>
      <c r="AU122" s="260"/>
      <c r="AZ122" s="252"/>
    </row>
    <row r="123" spans="2:52" ht="15" customHeight="1">
      <c r="B123" s="233" t="str">
        <f t="shared" ref="B123:G123" si="182">B83</f>
        <v>CHTRMFIWE1</v>
      </c>
      <c r="C123" s="233" t="str">
        <f t="shared" si="182"/>
        <v>Commercial Heating Technology Rural Multi - Fire wood - Existing 1</v>
      </c>
      <c r="D123" s="233" t="str">
        <f t="shared" si="182"/>
        <v>Rural</v>
      </c>
      <c r="E123" s="233" t="str">
        <f t="shared" si="182"/>
        <v>Multi storey</v>
      </c>
      <c r="F123" s="233" t="str">
        <f t="shared" si="182"/>
        <v>COMFIW</v>
      </c>
      <c r="G123" s="233" t="str">
        <f t="shared" si="182"/>
        <v>COMHRMB</v>
      </c>
      <c r="H123" s="259">
        <v>2018</v>
      </c>
      <c r="I123" s="250">
        <f t="shared" si="178"/>
        <v>84.199999999999989</v>
      </c>
      <c r="J123" s="250">
        <f t="shared" si="179"/>
        <v>0</v>
      </c>
      <c r="K123" s="250">
        <f t="shared" si="180"/>
        <v>0</v>
      </c>
      <c r="L123" s="460">
        <v>0.67</v>
      </c>
      <c r="M123" s="460">
        <v>0.67</v>
      </c>
      <c r="N123" s="460">
        <v>0.67</v>
      </c>
      <c r="O123" s="244">
        <f>31.536/1000</f>
        <v>3.1536000000000002E-2</v>
      </c>
      <c r="P123" s="458">
        <v>0.2</v>
      </c>
      <c r="Q123" s="245">
        <v>20</v>
      </c>
      <c r="R123" s="227">
        <v>1.05</v>
      </c>
      <c r="T123" s="268">
        <f t="shared" si="83"/>
        <v>0.79263617910447748</v>
      </c>
      <c r="U123" s="268"/>
      <c r="V123" s="589" t="str">
        <f>'Data manipulation'!$B$31</f>
        <v>Primary solid biofuels</v>
      </c>
      <c r="W123" s="254" t="s">
        <v>176</v>
      </c>
      <c r="X123" s="246">
        <v>2018</v>
      </c>
      <c r="Y123" s="432">
        <f>_xlfn.IFNA(INDEX('Data manipulation'!$C$23:$O$39,MATCH($V123,'Data manipulation'!$B$23:$B$39,0),MATCH($X123,'Data manipulation'!$C$22:$O$22,0))/1000,0)*SUMIFS('Regional split'!$F$4:$F$6,'Regional split'!$B$4:$B$6,Y$3)*SUMIFS('Data manipulation'!$V$39:$V$42,'Data manipulation'!$X$39:$X$42,$E123,'Data manipulation'!$Y$39:$Y$42,$D123)</f>
        <v>0.75437707594295178</v>
      </c>
      <c r="Z123" s="270">
        <f>_xlfn.IFNA(INDEX('Data manipulation'!$C$23:$O$39,MATCH($V123,'Data manipulation'!$B$23:$B$39,0),MATCH($X123,'Data manipulation'!$C$22:$O$22,0))/1000,0)*SUMIFS('Regional split'!$F$4:$F$6,'Regional split'!$B$4:$B$6,Z$3)*SUMIFS('Data manipulation'!$V$39:$V$42,'Data manipulation'!$X$39:$X$42,$E123,'Data manipulation'!$Y$39:$Y$42,$D123)</f>
        <v>0</v>
      </c>
      <c r="AA123" s="454">
        <f>_xlfn.IFNA(INDEX('Data manipulation'!$C$23:$O$39,MATCH($V123,'Data manipulation'!$B$23:$B$39,0),MATCH($X123,'Data manipulation'!$C$22:$O$22,0))/1000,0)*SUMIFS('Regional split'!$F$4:$F$6,'Regional split'!$B$4:$B$6,AA$3)*SUMIFS('Data manipulation'!$V$39:$V$42,'Data manipulation'!$X$39:$X$42,$E123,'Data manipulation'!$Y$39:$Y$42,$D123)</f>
        <v>0</v>
      </c>
      <c r="AB123" s="443">
        <f t="shared" si="157"/>
        <v>0.50543264088177775</v>
      </c>
      <c r="AC123" s="251">
        <f t="shared" si="158"/>
        <v>0</v>
      </c>
      <c r="AD123" s="444">
        <f t="shared" si="159"/>
        <v>0</v>
      </c>
      <c r="AU123" s="260"/>
      <c r="AZ123" s="252"/>
    </row>
    <row r="124" spans="2:52" ht="15" customHeight="1">
      <c r="B124" s="233" t="str">
        <f t="shared" ref="B124:G124" si="183">B84</f>
        <v>CHTRMCOAE1</v>
      </c>
      <c r="C124" s="233" t="str">
        <f t="shared" si="183"/>
        <v>Commercial Heating Technology Rural Multi - Coal - Existing 1</v>
      </c>
      <c r="D124" s="233" t="str">
        <f t="shared" si="183"/>
        <v>Rural</v>
      </c>
      <c r="E124" s="233" t="str">
        <f t="shared" si="183"/>
        <v>Multi storey</v>
      </c>
      <c r="F124" s="233" t="str">
        <f t="shared" si="183"/>
        <v>COMCOA</v>
      </c>
      <c r="G124" s="233" t="str">
        <f t="shared" si="183"/>
        <v>COMHRMB</v>
      </c>
      <c r="H124" s="259">
        <v>2018</v>
      </c>
      <c r="I124" s="250">
        <f t="shared" si="178"/>
        <v>1.5</v>
      </c>
      <c r="J124" s="250">
        <f t="shared" si="179"/>
        <v>0</v>
      </c>
      <c r="K124" s="250">
        <f t="shared" si="180"/>
        <v>0</v>
      </c>
      <c r="L124" s="460">
        <v>0.72</v>
      </c>
      <c r="M124" s="460">
        <v>0.72</v>
      </c>
      <c r="N124" s="460">
        <v>0.72</v>
      </c>
      <c r="O124" s="244">
        <f t="shared" si="165"/>
        <v>3.1536000000000002E-2</v>
      </c>
      <c r="P124" s="458">
        <v>0.2</v>
      </c>
      <c r="Q124" s="245">
        <v>20</v>
      </c>
      <c r="R124" s="227">
        <v>1.05</v>
      </c>
      <c r="T124" s="268">
        <f t="shared" si="83"/>
        <v>1.3140000000000001E-2</v>
      </c>
      <c r="U124" s="268"/>
      <c r="V124" s="589" t="str">
        <f>'Data manipulation'!$B$23</f>
        <v>Solid fossil fuels, peat, peat products, oil shale and oil sands</v>
      </c>
      <c r="W124" s="254" t="s">
        <v>846</v>
      </c>
      <c r="X124" s="246">
        <v>2018</v>
      </c>
      <c r="Y124" s="432">
        <f>_xlfn.IFNA(INDEX('Data manipulation'!$C$23:$O$39,MATCH($V124,'Data manipulation'!$B$23:$B$39,0),MATCH($X124,'Data manipulation'!$C$22:$O$22,0))/1000,0)*SUMIFS('Regional split'!$F$4:$F$6,'Regional split'!$B$4:$B$6,Y$3)*SUMIFS('Data manipulation'!$V$39:$V$42,'Data manipulation'!$X$39:$X$42,$E124,'Data manipulation'!$Y$39:$Y$42,$D124)</f>
        <v>1.2257433999999999E-2</v>
      </c>
      <c r="Z124" s="270">
        <f>_xlfn.IFNA(INDEX('Data manipulation'!$C$23:$O$39,MATCH($V124,'Data manipulation'!$B$23:$B$39,0),MATCH($X124,'Data manipulation'!$C$22:$O$22,0))/1000,0)*SUMIFS('Regional split'!$F$4:$F$6,'Regional split'!$B$4:$B$6,Z$3)*SUMIFS('Data manipulation'!$V$39:$V$42,'Data manipulation'!$X$39:$X$42,$E124,'Data manipulation'!$Y$39:$Y$42,$D124)</f>
        <v>0</v>
      </c>
      <c r="AA124" s="454">
        <f>_xlfn.IFNA(INDEX('Data manipulation'!$C$23:$O$39,MATCH($V124,'Data manipulation'!$B$23:$B$39,0),MATCH($X124,'Data manipulation'!$C$22:$O$22,0))/1000,0)*SUMIFS('Regional split'!$F$4:$F$6,'Regional split'!$B$4:$B$6,AA$3)*SUMIFS('Data manipulation'!$V$39:$V$42,'Data manipulation'!$X$39:$X$42,$E124,'Data manipulation'!$Y$39:$Y$42,$D124)</f>
        <v>0</v>
      </c>
      <c r="AB124" s="443">
        <f t="shared" si="157"/>
        <v>8.8253524799999997E-3</v>
      </c>
      <c r="AC124" s="251">
        <f t="shared" si="158"/>
        <v>0</v>
      </c>
      <c r="AD124" s="444">
        <f t="shared" si="159"/>
        <v>0</v>
      </c>
      <c r="AU124" s="260"/>
      <c r="AZ124" s="252"/>
    </row>
    <row r="125" spans="2:52" ht="15" customHeight="1">
      <c r="B125" s="233" t="str">
        <f t="shared" ref="B125:G125" si="184">B85</f>
        <v>CHTRMSOLE1</v>
      </c>
      <c r="C125" s="233" t="str">
        <f t="shared" si="184"/>
        <v>Commercial Heating Technology Rural Multi - Solar - Existing 1</v>
      </c>
      <c r="D125" s="233" t="str">
        <f t="shared" si="184"/>
        <v>Rural</v>
      </c>
      <c r="E125" s="233" t="str">
        <f t="shared" si="184"/>
        <v>Multi storey</v>
      </c>
      <c r="F125" s="233" t="str">
        <f t="shared" si="184"/>
        <v>COMSOL</v>
      </c>
      <c r="G125" s="233" t="str">
        <f t="shared" si="184"/>
        <v>COMHRMB</v>
      </c>
      <c r="H125" s="259">
        <v>2018</v>
      </c>
      <c r="I125" s="250">
        <f t="shared" si="178"/>
        <v>0.5</v>
      </c>
      <c r="J125" s="250">
        <f t="shared" si="179"/>
        <v>0</v>
      </c>
      <c r="K125" s="250">
        <f t="shared" si="180"/>
        <v>0</v>
      </c>
      <c r="L125" s="460">
        <v>1</v>
      </c>
      <c r="M125" s="460">
        <v>1</v>
      </c>
      <c r="N125" s="460">
        <v>1</v>
      </c>
      <c r="O125" s="244">
        <f t="shared" si="165"/>
        <v>3.1536000000000002E-2</v>
      </c>
      <c r="P125" s="458">
        <v>0.2</v>
      </c>
      <c r="Q125" s="245">
        <v>20</v>
      </c>
      <c r="R125" s="227">
        <v>1.05</v>
      </c>
      <c r="T125" s="268">
        <f t="shared" si="83"/>
        <v>3.1536000000000003E-3</v>
      </c>
      <c r="U125" s="268"/>
      <c r="V125" s="589" t="str">
        <f>'Data manipulation'!$B$29</f>
        <v>Solar thermal</v>
      </c>
      <c r="W125" s="254" t="s">
        <v>168</v>
      </c>
      <c r="X125" s="246">
        <v>2018</v>
      </c>
      <c r="Y125" s="432">
        <f>_xlfn.IFNA(INDEX('Data manipulation'!$C$23:$O$39,MATCH($V125,'Data manipulation'!$B$23:$B$39,0),MATCH($X125,'Data manipulation'!$C$22:$O$22,0))/1000,0)*SUMIFS('Regional split'!$F$4:$F$6,'Regional split'!$B$4:$B$6,Y$3)*SUMIFS('Data manipulation'!$V$39:$V$42,'Data manipulation'!$X$39:$X$42,$E125,'Data manipulation'!$Y$39:$Y$42,$D125)</f>
        <v>2.4483900000000004E-3</v>
      </c>
      <c r="Z125" s="270">
        <f>_xlfn.IFNA(INDEX('Data manipulation'!$C$23:$O$39,MATCH($V125,'Data manipulation'!$B$23:$B$39,0),MATCH($X125,'Data manipulation'!$C$22:$O$22,0))/1000,0)*SUMIFS('Regional split'!$F$4:$F$6,'Regional split'!$B$4:$B$6,Z$3)*SUMIFS('Data manipulation'!$V$39:$V$42,'Data manipulation'!$X$39:$X$42,$E125,'Data manipulation'!$Y$39:$Y$42,$D125)</f>
        <v>0</v>
      </c>
      <c r="AA125" s="454">
        <f>_xlfn.IFNA(INDEX('Data manipulation'!$C$23:$O$39,MATCH($V125,'Data manipulation'!$B$23:$B$39,0),MATCH($X125,'Data manipulation'!$C$22:$O$22,0))/1000,0)*SUMIFS('Regional split'!$F$4:$F$6,'Regional split'!$B$4:$B$6,AA$3)*SUMIFS('Data manipulation'!$V$39:$V$42,'Data manipulation'!$X$39:$X$42,$E125,'Data manipulation'!$Y$39:$Y$42,$D125)</f>
        <v>0</v>
      </c>
      <c r="AB125" s="443">
        <f t="shared" si="157"/>
        <v>2.4483900000000004E-3</v>
      </c>
      <c r="AC125" s="251">
        <f t="shared" si="158"/>
        <v>0</v>
      </c>
      <c r="AD125" s="444">
        <f t="shared" si="159"/>
        <v>0</v>
      </c>
      <c r="AU125" s="260"/>
      <c r="AZ125" s="252"/>
    </row>
    <row r="126" spans="2:52" ht="15" customHeight="1">
      <c r="B126" s="233" t="str">
        <f t="shared" ref="B126:G126" si="185">B86</f>
        <v>CHTRMELCHE1</v>
      </c>
      <c r="C126" s="233" t="str">
        <f t="shared" si="185"/>
        <v>Commercial Heating Technology Rural Multi - Electricity Heating - Existing 1</v>
      </c>
      <c r="D126" s="233" t="str">
        <f t="shared" si="185"/>
        <v>Rural</v>
      </c>
      <c r="E126" s="233" t="str">
        <f t="shared" si="185"/>
        <v>Multi storey</v>
      </c>
      <c r="F126" s="233" t="str">
        <f t="shared" si="185"/>
        <v>COMELCH</v>
      </c>
      <c r="G126" s="233" t="str">
        <f t="shared" si="185"/>
        <v>COMHRMB</v>
      </c>
      <c r="H126" s="259">
        <v>2018</v>
      </c>
      <c r="I126" s="250">
        <f t="shared" si="178"/>
        <v>66.099999999999994</v>
      </c>
      <c r="J126" s="250">
        <f t="shared" si="179"/>
        <v>0</v>
      </c>
      <c r="K126" s="250">
        <f t="shared" si="180"/>
        <v>0</v>
      </c>
      <c r="L126" s="460">
        <v>1</v>
      </c>
      <c r="M126" s="460">
        <v>1</v>
      </c>
      <c r="N126" s="460">
        <v>1</v>
      </c>
      <c r="O126" s="244">
        <f t="shared" si="165"/>
        <v>3.1536000000000002E-2</v>
      </c>
      <c r="P126" s="458">
        <v>0.2</v>
      </c>
      <c r="Q126" s="245">
        <v>30</v>
      </c>
      <c r="R126" s="227">
        <v>1.05</v>
      </c>
      <c r="T126" s="268">
        <f t="shared" si="83"/>
        <v>0.41690591999999999</v>
      </c>
      <c r="U126" s="268"/>
      <c r="V126" s="589" t="str">
        <f>'Data manipulation'!$B$33</f>
        <v>Electricity</v>
      </c>
      <c r="W126" s="254" t="s">
        <v>169</v>
      </c>
      <c r="X126" s="246">
        <v>2018</v>
      </c>
      <c r="Y126" s="432">
        <f>_xlfn.IFNA(INDEX('Data manipulation'!$C$23:$O$39,MATCH($V126,'Data manipulation'!$B$23:$B$39,0),MATCH($X126,'Data manipulation'!$C$22:$O$22,0))/1000,0)*SUMIFS('Regional split'!$F$4:$F$6,'Regional split'!$B$4:$B$6,Y$3)*SUMIFS('Data manipulation'!$V$39:$V$42,'Data manipulation'!$X$39:$X$42,$E126,'Data manipulation'!$Y$39:$Y$42,$D126)</f>
        <v>0.39666422954357622</v>
      </c>
      <c r="Z126" s="270">
        <f>_xlfn.IFNA(INDEX('Data manipulation'!$C$23:$O$39,MATCH($V126,'Data manipulation'!$B$23:$B$39,0),MATCH($X126,'Data manipulation'!$C$22:$O$22,0))/1000,0)*SUMIFS('Regional split'!$F$4:$F$6,'Regional split'!$B$4:$B$6,Z$3)*SUMIFS('Data manipulation'!$V$39:$V$42,'Data manipulation'!$X$39:$X$42,$E126,'Data manipulation'!$Y$39:$Y$42,$D126)</f>
        <v>0</v>
      </c>
      <c r="AA126" s="454">
        <f>_xlfn.IFNA(INDEX('Data manipulation'!$C$23:$O$39,MATCH($V126,'Data manipulation'!$B$23:$B$39,0),MATCH($X126,'Data manipulation'!$C$22:$O$22,0))/1000,0)*SUMIFS('Regional split'!$F$4:$F$6,'Regional split'!$B$4:$B$6,AA$3)*SUMIFS('Data manipulation'!$V$39:$V$42,'Data manipulation'!$X$39:$X$42,$E126,'Data manipulation'!$Y$39:$Y$42,$D126)</f>
        <v>0</v>
      </c>
      <c r="AB126" s="443">
        <f t="shared" si="157"/>
        <v>0.39666422954357622</v>
      </c>
      <c r="AC126" s="251">
        <f t="shared" si="158"/>
        <v>0</v>
      </c>
      <c r="AD126" s="444">
        <f t="shared" si="159"/>
        <v>0</v>
      </c>
      <c r="AU126" s="260"/>
      <c r="AZ126" s="252"/>
    </row>
    <row r="127" spans="2:52" ht="15" customHeight="1">
      <c r="B127" s="233" t="str">
        <f t="shared" ref="B127:G127" si="186">B87</f>
        <v>CHTRMELCHE2</v>
      </c>
      <c r="C127" s="233" t="str">
        <f t="shared" si="186"/>
        <v>Commercial Heating Technology Rural Multi - Electricity Heating - Existing 2</v>
      </c>
      <c r="D127" s="233" t="str">
        <f t="shared" si="186"/>
        <v>Rural</v>
      </c>
      <c r="E127" s="233" t="str">
        <f t="shared" si="186"/>
        <v>Multi storey</v>
      </c>
      <c r="F127" s="233" t="str">
        <f t="shared" si="186"/>
        <v>COMELCH</v>
      </c>
      <c r="G127" s="233" t="str">
        <f t="shared" si="186"/>
        <v>COMHRMB</v>
      </c>
      <c r="H127" s="259">
        <v>2018</v>
      </c>
      <c r="I127" s="250">
        <f t="shared" si="178"/>
        <v>18</v>
      </c>
      <c r="J127" s="250">
        <f t="shared" si="179"/>
        <v>0</v>
      </c>
      <c r="K127" s="250">
        <f t="shared" si="180"/>
        <v>0</v>
      </c>
      <c r="L127" s="460">
        <v>2.3149999999999999</v>
      </c>
      <c r="M127" s="460">
        <v>2.3149999999999999</v>
      </c>
      <c r="N127" s="460">
        <v>2.3149999999999999</v>
      </c>
      <c r="O127" s="244">
        <f t="shared" si="165"/>
        <v>3.1536000000000002E-2</v>
      </c>
      <c r="P127" s="458">
        <v>0.2</v>
      </c>
      <c r="Q127" s="245">
        <v>30</v>
      </c>
      <c r="R127" s="227">
        <v>1.05</v>
      </c>
      <c r="T127" s="268">
        <f t="shared" si="83"/>
        <v>4.9040863930885532E-2</v>
      </c>
      <c r="U127" s="268"/>
      <c r="V127" s="589" t="str">
        <f>'Data manipulation'!$B$30</f>
        <v>Ambient heat (heat pumps)</v>
      </c>
      <c r="W127" s="254" t="s">
        <v>170</v>
      </c>
      <c r="X127" s="246">
        <v>2018</v>
      </c>
      <c r="Y127" s="432">
        <f>_xlfn.IFNA(INDEX('Data manipulation'!$C$23:$O$39,MATCH($V127,'Data manipulation'!$B$23:$B$39,0),MATCH($X127,'Data manipulation'!$C$22:$O$22,0))/1000,0)*SUMIFS('Regional split'!$F$4:$F$6,'Regional split'!$B$4:$B$6,Y$3)*SUMIFS('Data manipulation'!$V$39:$V$42,'Data manipulation'!$X$39:$X$42,$E127,'Data manipulation'!$Y$39:$Y$42,$D127)</f>
        <v>4.6641140000000005E-2</v>
      </c>
      <c r="Z127" s="270">
        <f>_xlfn.IFNA(INDEX('Data manipulation'!$C$23:$O$39,MATCH($V127,'Data manipulation'!$B$23:$B$39,0),MATCH($X127,'Data manipulation'!$C$22:$O$22,0))/1000,0)*SUMIFS('Regional split'!$F$4:$F$6,'Regional split'!$B$4:$B$6,Z$3)*SUMIFS('Data manipulation'!$V$39:$V$42,'Data manipulation'!$X$39:$X$42,$E127,'Data manipulation'!$Y$39:$Y$42,$D127)</f>
        <v>0</v>
      </c>
      <c r="AA127" s="454">
        <f>_xlfn.IFNA(INDEX('Data manipulation'!$C$23:$O$39,MATCH($V127,'Data manipulation'!$B$23:$B$39,0),MATCH($X127,'Data manipulation'!$C$22:$O$22,0))/1000,0)*SUMIFS('Regional split'!$F$4:$F$6,'Regional split'!$B$4:$B$6,AA$3)*SUMIFS('Data manipulation'!$V$39:$V$42,'Data manipulation'!$X$39:$X$42,$E127,'Data manipulation'!$Y$39:$Y$42,$D127)</f>
        <v>0</v>
      </c>
      <c r="AB127" s="443">
        <f t="shared" si="157"/>
        <v>0.10797423910000001</v>
      </c>
      <c r="AC127" s="251">
        <f t="shared" si="158"/>
        <v>0</v>
      </c>
      <c r="AD127" s="444">
        <f t="shared" si="159"/>
        <v>0</v>
      </c>
      <c r="AU127" s="260"/>
      <c r="AZ127" s="252"/>
    </row>
    <row r="128" spans="2:52" ht="15" customHeight="1">
      <c r="B128" s="233" t="str">
        <f t="shared" ref="B128:G128" si="187">B88</f>
        <v>CHTRMHCEE1</v>
      </c>
      <c r="C128" s="233" t="str">
        <f t="shared" si="187"/>
        <v>Commercial Heating Technology Rural Multi - District heating Central - Existing 1</v>
      </c>
      <c r="D128" s="233" t="str">
        <f t="shared" si="187"/>
        <v>Rural</v>
      </c>
      <c r="E128" s="233" t="str">
        <f t="shared" si="187"/>
        <v>Multi storey</v>
      </c>
      <c r="F128" s="233" t="str">
        <f t="shared" si="187"/>
        <v>COMHDE</v>
      </c>
      <c r="G128" s="233" t="str">
        <f t="shared" si="187"/>
        <v>COMHRMX</v>
      </c>
      <c r="H128" s="261">
        <v>2018</v>
      </c>
      <c r="I128" s="565">
        <v>0</v>
      </c>
      <c r="J128" s="565">
        <v>0</v>
      </c>
      <c r="K128" s="565">
        <v>0</v>
      </c>
      <c r="L128" s="460">
        <v>0.98</v>
      </c>
      <c r="M128" s="460">
        <v>0.98</v>
      </c>
      <c r="N128" s="460">
        <v>0.98</v>
      </c>
      <c r="O128" s="244">
        <f t="shared" si="165"/>
        <v>3.1536000000000002E-2</v>
      </c>
      <c r="P128" s="458">
        <v>0.2</v>
      </c>
      <c r="Q128" s="245">
        <v>30</v>
      </c>
      <c r="R128" s="227">
        <v>1.05</v>
      </c>
      <c r="T128" s="268">
        <f t="shared" si="83"/>
        <v>0</v>
      </c>
      <c r="U128" s="268"/>
      <c r="V128" s="589" t="str">
        <f>'Data manipulation'!$B$34</f>
        <v>Heat</v>
      </c>
      <c r="W128" s="254" t="s">
        <v>171</v>
      </c>
      <c r="X128" s="246">
        <v>2018</v>
      </c>
      <c r="Y128" s="432">
        <f>_xlfn.IFNA(INDEX('Data manipulation'!$C$23:$O$39,MATCH($V128,'Data manipulation'!$B$23:$B$39,0),MATCH($X128,'Data manipulation'!$C$22:$O$22,0))/1000,0)*SUMIFS('Regional split'!$F$4:$F$6,'Regional split'!$B$4:$B$6,Y$3)*SUMIFS('Data manipulation'!$V$39:$V$42,'Data manipulation'!$X$39:$X$42,$E128,'Data manipulation'!$Y$39:$Y$42,$D128)</f>
        <v>0.71374497212398025</v>
      </c>
      <c r="Z128" s="270">
        <f>_xlfn.IFNA(INDEX('Data manipulation'!$C$23:$O$39,MATCH($V128,'Data manipulation'!$B$23:$B$39,0),MATCH($X128,'Data manipulation'!$C$22:$O$22,0))/1000,0)*SUMIFS('Regional split'!$F$4:$F$6,'Regional split'!$B$4:$B$6,Z$3)*SUMIFS('Data manipulation'!$V$39:$V$42,'Data manipulation'!$X$39:$X$42,$E128,'Data manipulation'!$Y$39:$Y$42,$D128)</f>
        <v>0</v>
      </c>
      <c r="AA128" s="454">
        <f>_xlfn.IFNA(INDEX('Data manipulation'!$C$23:$O$39,MATCH($V128,'Data manipulation'!$B$23:$B$39,0),MATCH($X128,'Data manipulation'!$C$22:$O$22,0))/1000,0)*SUMIFS('Regional split'!$F$4:$F$6,'Regional split'!$B$4:$B$6,AA$3)*SUMIFS('Data manipulation'!$V$39:$V$42,'Data manipulation'!$X$39:$X$42,$E128,'Data manipulation'!$Y$39:$Y$42,$D128)</f>
        <v>0</v>
      </c>
      <c r="AB128" s="443">
        <f t="shared" si="157"/>
        <v>0.69947007268150063</v>
      </c>
      <c r="AC128" s="251">
        <f t="shared" si="158"/>
        <v>0</v>
      </c>
      <c r="AD128" s="444">
        <f t="shared" si="159"/>
        <v>0</v>
      </c>
      <c r="AU128" s="260"/>
      <c r="AZ128" s="252"/>
    </row>
    <row r="129" spans="2:52" ht="15" customHeight="1" thickBot="1">
      <c r="B129" s="233" t="str">
        <f t="shared" ref="B129:G129" si="188">B89</f>
        <v>CHTRMLPGE1</v>
      </c>
      <c r="C129" s="233" t="str">
        <f t="shared" si="188"/>
        <v>Commercial Heating Technology Rural Multi - LPG - Existing 1</v>
      </c>
      <c r="D129" s="233" t="str">
        <f t="shared" si="188"/>
        <v>Rural</v>
      </c>
      <c r="E129" s="233" t="str">
        <f t="shared" si="188"/>
        <v>Multi storey</v>
      </c>
      <c r="F129" s="233" t="str">
        <f t="shared" si="188"/>
        <v>COMLPG</v>
      </c>
      <c r="G129" s="233" t="str">
        <f t="shared" si="188"/>
        <v>COMHRMB</v>
      </c>
      <c r="H129" s="261">
        <v>2018</v>
      </c>
      <c r="I129" s="297">
        <f t="shared" ref="I129" si="189">ROUNDUP(AB129/($O129*$P129)*$R129,1)</f>
        <v>14.299999999999999</v>
      </c>
      <c r="J129" s="297">
        <f t="shared" ref="J129" si="190">ROUNDUP(AC129/($O129*$P129)*$R129,1)</f>
        <v>0</v>
      </c>
      <c r="K129" s="297">
        <f t="shared" ref="K129" si="191">ROUNDUP(AD129/($O129*$P129)*$R129,1)</f>
        <v>0</v>
      </c>
      <c r="L129" s="460">
        <v>0.98</v>
      </c>
      <c r="M129" s="460">
        <v>0.98</v>
      </c>
      <c r="N129" s="460">
        <v>0.98</v>
      </c>
      <c r="O129" s="244">
        <f t="shared" si="165"/>
        <v>3.1536000000000002E-2</v>
      </c>
      <c r="P129" s="458">
        <v>0.2</v>
      </c>
      <c r="Q129" s="245">
        <v>30</v>
      </c>
      <c r="R129" s="227">
        <v>1.05</v>
      </c>
      <c r="T129" s="268">
        <f t="shared" si="83"/>
        <v>9.2033632653061234E-2</v>
      </c>
      <c r="U129" s="268"/>
      <c r="V129" s="590" t="str">
        <f>'Data manipulation'!$B$25</f>
        <v>Liquefied petroleum gas</v>
      </c>
      <c r="W129" s="427" t="s">
        <v>759</v>
      </c>
      <c r="X129" s="246">
        <v>2018</v>
      </c>
      <c r="Y129" s="433">
        <f>_xlfn.IFNA(INDEX('Data manipulation'!$C$23:$O$39,MATCH($V129,'Data manipulation'!$B$23:$B$39,0),MATCH($X129,'Data manipulation'!$C$22:$O$22,0))/1000,0)*SUMIFS('Regional split'!$F$4:$F$6,'Regional split'!$B$4:$B$6,Y$3)*SUMIFS('Data manipulation'!$V$39:$V$42,'Data manipulation'!$X$39:$X$42,$E129,'Data manipulation'!$Y$39:$Y$42,$D129)</f>
        <v>8.7134011999999997E-2</v>
      </c>
      <c r="Z129" s="430">
        <f>_xlfn.IFNA(INDEX('Data manipulation'!$C$23:$O$39,MATCH($V129,'Data manipulation'!$B$23:$B$39,0),MATCH($X129,'Data manipulation'!$C$22:$O$22,0))/1000,0)*SUMIFS('Regional split'!$F$4:$F$6,'Regional split'!$B$4:$B$6,Z$3)*SUMIFS('Data manipulation'!$V$39:$V$42,'Data manipulation'!$X$39:$X$42,$E129,'Data manipulation'!$Y$39:$Y$42,$D129)</f>
        <v>0</v>
      </c>
      <c r="AA129" s="455">
        <f>_xlfn.IFNA(INDEX('Data manipulation'!$C$23:$O$39,MATCH($V129,'Data manipulation'!$B$23:$B$39,0),MATCH($X129,'Data manipulation'!$C$22:$O$22,0))/1000,0)*SUMIFS('Regional split'!$F$4:$F$6,'Regional split'!$B$4:$B$6,AA$3)*SUMIFS('Data manipulation'!$V$39:$V$42,'Data manipulation'!$X$39:$X$42,$E129,'Data manipulation'!$Y$39:$Y$42,$D129)</f>
        <v>0</v>
      </c>
      <c r="AB129" s="445">
        <f t="shared" si="157"/>
        <v>8.5391331759999994E-2</v>
      </c>
      <c r="AC129" s="431">
        <f t="shared" si="158"/>
        <v>0</v>
      </c>
      <c r="AD129" s="452">
        <f t="shared" si="159"/>
        <v>0</v>
      </c>
      <c r="AU129" s="260"/>
      <c r="AZ129" s="252"/>
    </row>
    <row r="130" spans="2:52" ht="15" customHeight="1">
      <c r="B130" s="227" t="str">
        <f>B90</f>
        <v>CHTUDNGAE1</v>
      </c>
      <c r="C130" s="227" t="str">
        <f t="shared" ref="C130:G130" si="192">C90</f>
        <v>Commercial Heating Technology Urban Detached - Natural Gas - Existing 1</v>
      </c>
      <c r="D130" s="227" t="str">
        <f t="shared" si="192"/>
        <v>Urban</v>
      </c>
      <c r="E130" s="227" t="str">
        <f t="shared" si="192"/>
        <v>Detached</v>
      </c>
      <c r="F130" s="227" t="str">
        <f t="shared" si="192"/>
        <v>COMNGA,COMSNG,COMBGA</v>
      </c>
      <c r="G130" s="227" t="str">
        <f t="shared" si="192"/>
        <v>COMHUDB</v>
      </c>
      <c r="H130" s="230">
        <v>2019</v>
      </c>
      <c r="I130" s="250">
        <f>ROUNDUP(AB130/($O130*$P130)*$R130,1)</f>
        <v>16389.3</v>
      </c>
      <c r="J130" s="250">
        <f>ROUNDUP(AC130/($O130*$P130)*$R130,1)</f>
        <v>0</v>
      </c>
      <c r="K130" s="250">
        <f>ROUNDUP(AD130/($O130*$P130)*$R130,1)</f>
        <v>0</v>
      </c>
      <c r="L130" s="460">
        <v>0.72</v>
      </c>
      <c r="M130" s="460">
        <v>0.72</v>
      </c>
      <c r="N130" s="460">
        <v>0.72</v>
      </c>
      <c r="O130" s="244">
        <f>31.536/1000</f>
        <v>3.1536000000000002E-2</v>
      </c>
      <c r="P130" s="458">
        <v>0.2</v>
      </c>
      <c r="Q130" s="245">
        <v>22</v>
      </c>
      <c r="R130" s="227">
        <v>1.05</v>
      </c>
      <c r="T130" s="268">
        <f t="shared" ref="T130:T169" si="193">SUM(I130:K130)*O130*P130/L130</f>
        <v>143.57026800000003</v>
      </c>
      <c r="U130" s="268"/>
      <c r="V130" s="589" t="str">
        <f>'Data manipulation'!$B$36</f>
        <v>Natural gas and biogas</v>
      </c>
      <c r="W130" s="246" t="s">
        <v>167</v>
      </c>
      <c r="X130" s="246">
        <v>2019</v>
      </c>
      <c r="Y130" s="432">
        <f>_xlfn.IFNA(INDEX('Data manipulation'!$C$23:$O$39,MATCH($V130,'Data manipulation'!$B$23:$B$39,0),MATCH($X130,'Data manipulation'!$C$22:$O$22,0))/1000,0)*SUMIFS('Regional split'!$F$4:$F$6,'Regional split'!$B$4:$B$6,Y$3)*SUMIFS('Data manipulation'!$V$39:$V$42,'Data manipulation'!$X$39:$X$42,$E130,'Data manipulation'!$Y$39:$Y$42,$D130)</f>
        <v>136.73284091176598</v>
      </c>
      <c r="Z130" s="270">
        <f>_xlfn.IFNA(INDEX('Data manipulation'!$C$23:$O$39,MATCH($V130,'Data manipulation'!$B$23:$B$39,0),MATCH($X130,'Data manipulation'!$C$22:$O$22,0))/1000,0)*SUMIFS('Regional split'!$F$4:$F$6,'Regional split'!$B$4:$B$6,Z$3)*SUMIFS('Data manipulation'!$V$39:$V$42,'Data manipulation'!$X$39:$X$42,$E130,'Data manipulation'!$Y$39:$Y$42,$D130)</f>
        <v>0</v>
      </c>
      <c r="AA130" s="454">
        <f>_xlfn.IFNA(INDEX('Data manipulation'!$C$23:$O$39,MATCH($V130,'Data manipulation'!$B$23:$B$39,0),MATCH($X130,'Data manipulation'!$C$22:$O$22,0))/1000,0)*SUMIFS('Regional split'!$F$4:$F$6,'Regional split'!$B$4:$B$6,AA$3)*SUMIFS('Data manipulation'!$V$39:$V$42,'Data manipulation'!$X$39:$X$42,$E130,'Data manipulation'!$Y$39:$Y$42,$D130)</f>
        <v>0</v>
      </c>
      <c r="AB130" s="443">
        <f t="shared" si="157"/>
        <v>98.447645456471506</v>
      </c>
      <c r="AC130" s="251">
        <f t="shared" si="158"/>
        <v>0</v>
      </c>
      <c r="AD130" s="444">
        <f t="shared" si="159"/>
        <v>0</v>
      </c>
      <c r="AE130" s="262"/>
      <c r="AU130" s="260"/>
      <c r="AZ130" s="252"/>
    </row>
    <row r="131" spans="2:52" ht="15" customHeight="1">
      <c r="B131" s="227" t="str">
        <f t="shared" ref="B131:G131" si="194">B91</f>
        <v>CHTUDDSLE1</v>
      </c>
      <c r="C131" s="227" t="str">
        <f t="shared" si="194"/>
        <v>Commercial Heating Technology Urban Detached - Diesel - Existing 1</v>
      </c>
      <c r="D131" s="227" t="str">
        <f t="shared" si="194"/>
        <v>Urban</v>
      </c>
      <c r="E131" s="227" t="str">
        <f t="shared" si="194"/>
        <v>Detached</v>
      </c>
      <c r="F131" s="227" t="str">
        <f t="shared" si="194"/>
        <v>COMDSL,COMDSB</v>
      </c>
      <c r="G131" s="227" t="str">
        <f t="shared" si="194"/>
        <v>COMHUDB</v>
      </c>
      <c r="H131" s="230">
        <v>2019</v>
      </c>
      <c r="I131" s="250">
        <f t="shared" ref="I131:I138" si="195">ROUNDUP(AB131/($O131*$P131)*$R131,1)</f>
        <v>5630.4000000000005</v>
      </c>
      <c r="J131" s="250">
        <f t="shared" ref="J131:J137" si="196">ROUNDUP(AC131/($O131*$P131)*$R131,1)</f>
        <v>0</v>
      </c>
      <c r="K131" s="250">
        <f t="shared" ref="K131:K137" si="197">ROUNDUP(AD131/($O131*$P131)*$R131,1)</f>
        <v>0</v>
      </c>
      <c r="L131" s="460">
        <v>0.71</v>
      </c>
      <c r="M131" s="460">
        <v>0.71</v>
      </c>
      <c r="N131" s="460">
        <v>0.71</v>
      </c>
      <c r="O131" s="244">
        <f>31.536/1000</f>
        <v>3.1536000000000002E-2</v>
      </c>
      <c r="P131" s="458">
        <v>0.2</v>
      </c>
      <c r="Q131" s="245">
        <v>20</v>
      </c>
      <c r="R131" s="227">
        <v>1.05</v>
      </c>
      <c r="T131" s="268">
        <f t="shared" si="193"/>
        <v>50.01698433802818</v>
      </c>
      <c r="V131" s="589" t="str">
        <f>'Data manipulation'!$B$28</f>
        <v>Gas oil and diesel oil and biodiesel</v>
      </c>
      <c r="W131" s="254" t="s">
        <v>718</v>
      </c>
      <c r="X131" s="246">
        <v>2019</v>
      </c>
      <c r="Y131" s="432">
        <f>_xlfn.IFNA(INDEX('Data manipulation'!$C$23:$O$39,MATCH($V131,'Data manipulation'!$B$23:$B$39,0),MATCH($X131,'Data manipulation'!$C$22:$O$22,0))/1000,0)*SUMIFS('Regional split'!$F$4:$F$6,'Regional split'!$B$4:$B$6,Y$3)*SUMIFS('Data manipulation'!$V$39:$V$42,'Data manipulation'!$X$39:$X$42,$E131,'Data manipulation'!$Y$39:$Y$42,$D131)</f>
        <v>47.634978460853134</v>
      </c>
      <c r="Z131" s="270">
        <f>_xlfn.IFNA(INDEX('Data manipulation'!$C$23:$O$39,MATCH($V131,'Data manipulation'!$B$23:$B$39,0),MATCH($X131,'Data manipulation'!$C$22:$O$22,0))/1000,0)*SUMIFS('Regional split'!$F$4:$F$6,'Regional split'!$B$4:$B$6,Z$3)*SUMIFS('Data manipulation'!$V$39:$V$42,'Data manipulation'!$X$39:$X$42,$E131,'Data manipulation'!$Y$39:$Y$42,$D131)</f>
        <v>0</v>
      </c>
      <c r="AA131" s="454">
        <f>_xlfn.IFNA(INDEX('Data manipulation'!$C$23:$O$39,MATCH($V131,'Data manipulation'!$B$23:$B$39,0),MATCH($X131,'Data manipulation'!$C$22:$O$22,0))/1000,0)*SUMIFS('Regional split'!$F$4:$F$6,'Regional split'!$B$4:$B$6,AA$3)*SUMIFS('Data manipulation'!$V$39:$V$42,'Data manipulation'!$X$39:$X$42,$E131,'Data manipulation'!$Y$39:$Y$42,$D131)</f>
        <v>0</v>
      </c>
      <c r="AB131" s="443">
        <f t="shared" si="157"/>
        <v>33.820834707205726</v>
      </c>
      <c r="AC131" s="251">
        <f t="shared" si="158"/>
        <v>0</v>
      </c>
      <c r="AD131" s="444">
        <f t="shared" si="159"/>
        <v>0</v>
      </c>
      <c r="AE131" s="262"/>
      <c r="AU131" s="260"/>
      <c r="AZ131" s="252"/>
    </row>
    <row r="132" spans="2:52" ht="15" customHeight="1">
      <c r="B132" s="227" t="str">
        <f t="shared" ref="B132:G132" si="198">B92</f>
        <v>CHTUDWPEE1</v>
      </c>
      <c r="C132" s="227" t="str">
        <f t="shared" si="198"/>
        <v>Commercial Heating Technology Urban Detached - Wood pellets - Existing 1</v>
      </c>
      <c r="D132" s="227" t="str">
        <f t="shared" si="198"/>
        <v>Urban</v>
      </c>
      <c r="E132" s="227" t="str">
        <f t="shared" si="198"/>
        <v>Detached</v>
      </c>
      <c r="F132" s="227" t="str">
        <f t="shared" si="198"/>
        <v>COMWPE</v>
      </c>
      <c r="G132" s="227" t="str">
        <f t="shared" si="198"/>
        <v>COMHUDB</v>
      </c>
      <c r="H132" s="230">
        <v>2019</v>
      </c>
      <c r="I132" s="250">
        <f t="shared" si="195"/>
        <v>0</v>
      </c>
      <c r="J132" s="250">
        <f t="shared" si="196"/>
        <v>0</v>
      </c>
      <c r="K132" s="250">
        <f t="shared" si="197"/>
        <v>0</v>
      </c>
      <c r="L132" s="460">
        <v>0.61</v>
      </c>
      <c r="M132" s="460">
        <v>0.61</v>
      </c>
      <c r="N132" s="460">
        <v>0.61</v>
      </c>
      <c r="O132" s="244">
        <f t="shared" ref="O132:O149" si="199">31.536/1000</f>
        <v>3.1536000000000002E-2</v>
      </c>
      <c r="P132" s="458">
        <v>0.2</v>
      </c>
      <c r="Q132" s="245">
        <v>20</v>
      </c>
      <c r="R132" s="227">
        <v>1.05</v>
      </c>
      <c r="T132" s="268">
        <f t="shared" si="193"/>
        <v>0</v>
      </c>
      <c r="U132" s="268"/>
      <c r="W132" s="254" t="s">
        <v>849</v>
      </c>
      <c r="X132" s="246">
        <v>2019</v>
      </c>
      <c r="Y132" s="432">
        <f>_xlfn.IFNA(INDEX('Data manipulation'!$C$23:$O$39,MATCH($V132,'Data manipulation'!$B$23:$B$39,0),MATCH($X132,'Data manipulation'!$C$22:$O$22,0))/1000,0)*SUMIFS('Regional split'!$F$4:$F$6,'Regional split'!$B$4:$B$6,Y$3)*SUMIFS('Data manipulation'!$V$39:$V$42,'Data manipulation'!$X$39:$X$42,$E132,'Data manipulation'!$Y$39:$Y$42,$D132)</f>
        <v>0</v>
      </c>
      <c r="Z132" s="270">
        <f>_xlfn.IFNA(INDEX('Data manipulation'!$C$23:$O$39,MATCH($V132,'Data manipulation'!$B$23:$B$39,0),MATCH($X132,'Data manipulation'!$C$22:$O$22,0))/1000,0)*SUMIFS('Regional split'!$F$4:$F$6,'Regional split'!$B$4:$B$6,Z$3)*SUMIFS('Data manipulation'!$V$39:$V$42,'Data manipulation'!$X$39:$X$42,$E132,'Data manipulation'!$Y$39:$Y$42,$D132)</f>
        <v>0</v>
      </c>
      <c r="AA132" s="454">
        <f>_xlfn.IFNA(INDEX('Data manipulation'!$C$23:$O$39,MATCH($V132,'Data manipulation'!$B$23:$B$39,0),MATCH($X132,'Data manipulation'!$C$22:$O$22,0))/1000,0)*SUMIFS('Regional split'!$F$4:$F$6,'Regional split'!$B$4:$B$6,AA$3)*SUMIFS('Data manipulation'!$V$39:$V$42,'Data manipulation'!$X$39:$X$42,$E132,'Data manipulation'!$Y$39:$Y$42,$D132)</f>
        <v>0</v>
      </c>
      <c r="AB132" s="443">
        <f t="shared" si="157"/>
        <v>0</v>
      </c>
      <c r="AC132" s="251">
        <f t="shared" si="158"/>
        <v>0</v>
      </c>
      <c r="AD132" s="444">
        <f t="shared" si="159"/>
        <v>0</v>
      </c>
      <c r="AE132" s="262"/>
      <c r="AU132" s="260"/>
      <c r="AZ132" s="252"/>
    </row>
    <row r="133" spans="2:52" ht="15" customHeight="1">
      <c r="B133" s="227" t="str">
        <f t="shared" ref="B133:G133" si="200">B93</f>
        <v>CHTUDFIWE1</v>
      </c>
      <c r="C133" s="227" t="str">
        <f t="shared" si="200"/>
        <v>Commercial Heating Technology Urban Detached - Fire wood - Existing 1</v>
      </c>
      <c r="D133" s="227" t="str">
        <f t="shared" si="200"/>
        <v>Urban</v>
      </c>
      <c r="E133" s="227" t="str">
        <f t="shared" si="200"/>
        <v>Detached</v>
      </c>
      <c r="F133" s="227" t="str">
        <f t="shared" si="200"/>
        <v>COMFIW</v>
      </c>
      <c r="G133" s="227" t="str">
        <f t="shared" si="200"/>
        <v>COMHUDB</v>
      </c>
      <c r="H133" s="230">
        <v>2019</v>
      </c>
      <c r="I133" s="250">
        <f t="shared" si="195"/>
        <v>2539.6</v>
      </c>
      <c r="J133" s="250">
        <f t="shared" si="196"/>
        <v>0</v>
      </c>
      <c r="K133" s="250">
        <f t="shared" si="197"/>
        <v>0</v>
      </c>
      <c r="L133" s="460">
        <v>0.65000022993955098</v>
      </c>
      <c r="M133" s="460">
        <v>0.65000022993955098</v>
      </c>
      <c r="N133" s="460">
        <v>0.65000022993955098</v>
      </c>
      <c r="O133" s="244">
        <f t="shared" si="199"/>
        <v>3.1536000000000002E-2</v>
      </c>
      <c r="P133" s="458">
        <v>0.2</v>
      </c>
      <c r="Q133" s="245">
        <v>20</v>
      </c>
      <c r="R133" s="227">
        <v>1.05</v>
      </c>
      <c r="T133" s="268">
        <f t="shared" si="193"/>
        <v>24.64270685179547</v>
      </c>
      <c r="U133" s="268"/>
      <c r="V133" s="589" t="str">
        <f>'Data manipulation'!$B$31</f>
        <v>Primary solid biofuels</v>
      </c>
      <c r="W133" s="254" t="s">
        <v>176</v>
      </c>
      <c r="X133" s="246">
        <v>2019</v>
      </c>
      <c r="Y133" s="432">
        <f>_xlfn.IFNA(INDEX('Data manipulation'!$C$23:$O$39,MATCH($V133,'Data manipulation'!$B$23:$B$39,0),MATCH($X133,'Data manipulation'!$C$22:$O$22,0))/1000,0)*SUMIFS('Regional split'!$F$4:$F$6,'Regional split'!$B$4:$B$6,Y$3)*SUMIFS('Data manipulation'!$V$39:$V$42,'Data manipulation'!$X$39:$X$42,$E133,'Data manipulation'!$Y$39:$Y$42,$D133)</f>
        <v>23.468495735391581</v>
      </c>
      <c r="Z133" s="270">
        <f>_xlfn.IFNA(INDEX('Data manipulation'!$C$23:$O$39,MATCH($V133,'Data manipulation'!$B$23:$B$39,0),MATCH($X133,'Data manipulation'!$C$22:$O$22,0))/1000,0)*SUMIFS('Regional split'!$F$4:$F$6,'Regional split'!$B$4:$B$6,Z$3)*SUMIFS('Data manipulation'!$V$39:$V$42,'Data manipulation'!$X$39:$X$42,$E133,'Data manipulation'!$Y$39:$Y$42,$D133)</f>
        <v>0</v>
      </c>
      <c r="AA133" s="454">
        <f>_xlfn.IFNA(INDEX('Data manipulation'!$C$23:$O$39,MATCH($V133,'Data manipulation'!$B$23:$B$39,0),MATCH($X133,'Data manipulation'!$C$22:$O$22,0))/1000,0)*SUMIFS('Regional split'!$F$4:$F$6,'Regional split'!$B$4:$B$6,AA$3)*SUMIFS('Data manipulation'!$V$39:$V$42,'Data manipulation'!$X$39:$X$42,$E133,'Data manipulation'!$Y$39:$Y$42,$D133)</f>
        <v>0</v>
      </c>
      <c r="AB133" s="443">
        <f t="shared" si="157"/>
        <v>15.2545276243399</v>
      </c>
      <c r="AC133" s="251">
        <f t="shared" si="158"/>
        <v>0</v>
      </c>
      <c r="AD133" s="444">
        <f t="shared" si="159"/>
        <v>0</v>
      </c>
      <c r="AE133" s="262"/>
      <c r="AU133" s="260"/>
      <c r="AZ133" s="252"/>
    </row>
    <row r="134" spans="2:52" ht="15" customHeight="1">
      <c r="B134" s="233" t="str">
        <f t="shared" ref="B134:G134" si="201">B94</f>
        <v>CHTUDCOAE1</v>
      </c>
      <c r="C134" s="233" t="str">
        <f t="shared" si="201"/>
        <v>Commercial Heating Technology Urban Detached - Coal - Existing 1</v>
      </c>
      <c r="D134" s="233" t="str">
        <f t="shared" si="201"/>
        <v>Urban</v>
      </c>
      <c r="E134" s="233" t="str">
        <f t="shared" si="201"/>
        <v>Detached</v>
      </c>
      <c r="F134" s="233" t="str">
        <f t="shared" si="201"/>
        <v>COMCOA</v>
      </c>
      <c r="G134" s="233" t="str">
        <f t="shared" si="201"/>
        <v>COMHUDB</v>
      </c>
      <c r="H134" s="230">
        <v>2019</v>
      </c>
      <c r="I134" s="250">
        <f t="shared" si="195"/>
        <v>3.8000000000000003</v>
      </c>
      <c r="J134" s="250">
        <f t="shared" si="196"/>
        <v>0</v>
      </c>
      <c r="K134" s="250">
        <f t="shared" si="197"/>
        <v>0</v>
      </c>
      <c r="L134" s="460">
        <v>0.7</v>
      </c>
      <c r="M134" s="460">
        <v>0.7</v>
      </c>
      <c r="N134" s="460">
        <v>0.7</v>
      </c>
      <c r="O134" s="244">
        <f t="shared" si="199"/>
        <v>3.1536000000000002E-2</v>
      </c>
      <c r="P134" s="458">
        <v>0.2</v>
      </c>
      <c r="Q134" s="245">
        <v>20</v>
      </c>
      <c r="R134" s="227">
        <v>1.05</v>
      </c>
      <c r="T134" s="268">
        <f t="shared" si="193"/>
        <v>3.4239085714285723E-2</v>
      </c>
      <c r="U134" s="268"/>
      <c r="V134" s="589" t="str">
        <f>'Data manipulation'!$B$23</f>
        <v>Solid fossil fuels, peat, peat products, oil shale and oil sands</v>
      </c>
      <c r="W134" s="254" t="s">
        <v>846</v>
      </c>
      <c r="X134" s="246">
        <v>2019</v>
      </c>
      <c r="Y134" s="432">
        <f>_xlfn.IFNA(INDEX('Data manipulation'!$C$23:$O$39,MATCH($V134,'Data manipulation'!$B$23:$B$39,0),MATCH($X134,'Data manipulation'!$C$22:$O$22,0))/1000,0)*SUMIFS('Regional split'!$F$4:$F$6,'Regional split'!$B$4:$B$6,Y$3)*SUMIFS('Data manipulation'!$V$39:$V$42,'Data manipulation'!$X$39:$X$42,$E134,'Data manipulation'!$Y$39:$Y$42,$D134)</f>
        <v>3.2334959999999996E-2</v>
      </c>
      <c r="Z134" s="270">
        <f>_xlfn.IFNA(INDEX('Data manipulation'!$C$23:$O$39,MATCH($V134,'Data manipulation'!$B$23:$B$39,0),MATCH($X134,'Data manipulation'!$C$22:$O$22,0))/1000,0)*SUMIFS('Regional split'!$F$4:$F$6,'Regional split'!$B$4:$B$6,Z$3)*SUMIFS('Data manipulation'!$V$39:$V$42,'Data manipulation'!$X$39:$X$42,$E134,'Data manipulation'!$Y$39:$Y$42,$D134)</f>
        <v>0</v>
      </c>
      <c r="AA134" s="454">
        <f>_xlfn.IFNA(INDEX('Data manipulation'!$C$23:$O$39,MATCH($V134,'Data manipulation'!$B$23:$B$39,0),MATCH($X134,'Data manipulation'!$C$22:$O$22,0))/1000,0)*SUMIFS('Regional split'!$F$4:$F$6,'Regional split'!$B$4:$B$6,AA$3)*SUMIFS('Data manipulation'!$V$39:$V$42,'Data manipulation'!$X$39:$X$42,$E134,'Data manipulation'!$Y$39:$Y$42,$D134)</f>
        <v>0</v>
      </c>
      <c r="AB134" s="443">
        <f t="shared" si="157"/>
        <v>2.2634471999999996E-2</v>
      </c>
      <c r="AC134" s="251">
        <f t="shared" si="158"/>
        <v>0</v>
      </c>
      <c r="AD134" s="444">
        <f t="shared" si="159"/>
        <v>0</v>
      </c>
      <c r="AE134" s="262"/>
      <c r="AU134" s="260"/>
      <c r="AZ134" s="252"/>
    </row>
    <row r="135" spans="2:52" ht="15" customHeight="1">
      <c r="B135" s="233" t="str">
        <f t="shared" ref="B135:G135" si="202">B95</f>
        <v>CHTUDSOLE1</v>
      </c>
      <c r="C135" s="233" t="str">
        <f t="shared" si="202"/>
        <v>Commercial Heating Technology Urban Detached - Solar - Existing 1</v>
      </c>
      <c r="D135" s="233" t="str">
        <f t="shared" si="202"/>
        <v>Urban</v>
      </c>
      <c r="E135" s="233" t="str">
        <f t="shared" si="202"/>
        <v>Detached</v>
      </c>
      <c r="F135" s="233" t="str">
        <f t="shared" si="202"/>
        <v>COMSOL</v>
      </c>
      <c r="G135" s="233" t="str">
        <f t="shared" si="202"/>
        <v>COMHUDB</v>
      </c>
      <c r="H135" s="230">
        <v>2019</v>
      </c>
      <c r="I135" s="250">
        <f t="shared" si="195"/>
        <v>11.6</v>
      </c>
      <c r="J135" s="250">
        <f t="shared" si="196"/>
        <v>0</v>
      </c>
      <c r="K135" s="250">
        <f t="shared" si="197"/>
        <v>0</v>
      </c>
      <c r="L135" s="460">
        <v>1</v>
      </c>
      <c r="M135" s="460">
        <v>1</v>
      </c>
      <c r="N135" s="460">
        <v>1</v>
      </c>
      <c r="O135" s="244">
        <f t="shared" si="199"/>
        <v>3.1536000000000002E-2</v>
      </c>
      <c r="P135" s="458">
        <v>0.2</v>
      </c>
      <c r="Q135" s="245">
        <v>20</v>
      </c>
      <c r="R135" s="227">
        <v>1.05</v>
      </c>
      <c r="T135" s="268">
        <f t="shared" si="193"/>
        <v>7.316352000000001E-2</v>
      </c>
      <c r="U135" s="268"/>
      <c r="V135" s="589" t="str">
        <f>'Data manipulation'!$B$29</f>
        <v>Solar thermal</v>
      </c>
      <c r="W135" s="254" t="s">
        <v>168</v>
      </c>
      <c r="X135" s="246">
        <v>2019</v>
      </c>
      <c r="Y135" s="432">
        <f>_xlfn.IFNA(INDEX('Data manipulation'!$C$23:$O$39,MATCH($V135,'Data manipulation'!$B$23:$B$39,0),MATCH($X135,'Data manipulation'!$C$22:$O$22,0))/1000,0)*SUMIFS('Regional split'!$F$4:$F$6,'Regional split'!$B$4:$B$6,Y$3)*SUMIFS('Data manipulation'!$V$39:$V$42,'Data manipulation'!$X$39:$X$42,$E135,'Data manipulation'!$Y$39:$Y$42,$D135)</f>
        <v>6.9545280000000001E-2</v>
      </c>
      <c r="Z135" s="270">
        <f>_xlfn.IFNA(INDEX('Data manipulation'!$C$23:$O$39,MATCH($V135,'Data manipulation'!$B$23:$B$39,0),MATCH($X135,'Data manipulation'!$C$22:$O$22,0))/1000,0)*SUMIFS('Regional split'!$F$4:$F$6,'Regional split'!$B$4:$B$6,Z$3)*SUMIFS('Data manipulation'!$V$39:$V$42,'Data manipulation'!$X$39:$X$42,$E135,'Data manipulation'!$Y$39:$Y$42,$D135)</f>
        <v>0</v>
      </c>
      <c r="AA135" s="454">
        <f>_xlfn.IFNA(INDEX('Data manipulation'!$C$23:$O$39,MATCH($V135,'Data manipulation'!$B$23:$B$39,0),MATCH($X135,'Data manipulation'!$C$22:$O$22,0))/1000,0)*SUMIFS('Regional split'!$F$4:$F$6,'Regional split'!$B$4:$B$6,AA$3)*SUMIFS('Data manipulation'!$V$39:$V$42,'Data manipulation'!$X$39:$X$42,$E135,'Data manipulation'!$Y$39:$Y$42,$D135)</f>
        <v>0</v>
      </c>
      <c r="AB135" s="443">
        <f t="shared" si="157"/>
        <v>6.9545280000000001E-2</v>
      </c>
      <c r="AC135" s="251">
        <f t="shared" si="158"/>
        <v>0</v>
      </c>
      <c r="AD135" s="444">
        <f t="shared" si="159"/>
        <v>0</v>
      </c>
      <c r="AE135" s="262"/>
      <c r="AU135" s="260"/>
      <c r="AZ135" s="252"/>
    </row>
    <row r="136" spans="2:52" ht="15" customHeight="1">
      <c r="B136" s="233" t="str">
        <f t="shared" ref="B136:G136" si="203">B96</f>
        <v>CHTUDELCHE1</v>
      </c>
      <c r="C136" s="233" t="str">
        <f t="shared" si="203"/>
        <v>Commercial Heating Technology Urban Detached - Electricity Heating - Existing 1</v>
      </c>
      <c r="D136" s="233" t="str">
        <f t="shared" si="203"/>
        <v>Urban</v>
      </c>
      <c r="E136" s="233" t="str">
        <f t="shared" si="203"/>
        <v>Detached</v>
      </c>
      <c r="F136" s="233" t="str">
        <f t="shared" si="203"/>
        <v>COMELCH</v>
      </c>
      <c r="G136" s="233" t="str">
        <f t="shared" si="203"/>
        <v>COMHUDB</v>
      </c>
      <c r="H136" s="230">
        <v>2019</v>
      </c>
      <c r="I136" s="250">
        <f t="shared" si="195"/>
        <v>1929.1999999999998</v>
      </c>
      <c r="J136" s="250">
        <f t="shared" si="196"/>
        <v>0</v>
      </c>
      <c r="K136" s="250">
        <f t="shared" si="197"/>
        <v>0</v>
      </c>
      <c r="L136" s="460">
        <v>1</v>
      </c>
      <c r="M136" s="460">
        <v>1</v>
      </c>
      <c r="N136" s="460">
        <v>1</v>
      </c>
      <c r="O136" s="244">
        <f t="shared" si="199"/>
        <v>3.1536000000000002E-2</v>
      </c>
      <c r="P136" s="458">
        <v>0.2</v>
      </c>
      <c r="Q136" s="245">
        <v>30</v>
      </c>
      <c r="R136" s="227">
        <v>1.05</v>
      </c>
      <c r="T136" s="268">
        <f t="shared" si="193"/>
        <v>12.16785024</v>
      </c>
      <c r="U136" s="268"/>
      <c r="V136" s="589" t="str">
        <f>'Data manipulation'!$B$33</f>
        <v>Electricity</v>
      </c>
      <c r="W136" s="254" t="s">
        <v>169</v>
      </c>
      <c r="X136" s="246">
        <v>2019</v>
      </c>
      <c r="Y136" s="432">
        <f>_xlfn.IFNA(INDEX('Data manipulation'!$C$23:$O$39,MATCH($V136,'Data manipulation'!$B$23:$B$39,0),MATCH($X136,'Data manipulation'!$C$22:$O$22,0))/1000,0)*SUMIFS('Regional split'!$F$4:$F$6,'Regional split'!$B$4:$B$6,Y$3)*SUMIFS('Data manipulation'!$V$39:$V$42,'Data manipulation'!$X$39:$X$42,$E136,'Data manipulation'!$Y$39:$Y$42,$D136)</f>
        <v>11.588230292357109</v>
      </c>
      <c r="Z136" s="270">
        <f>_xlfn.IFNA(INDEX('Data manipulation'!$C$23:$O$39,MATCH($V136,'Data manipulation'!$B$23:$B$39,0),MATCH($X136,'Data manipulation'!$C$22:$O$22,0))/1000,0)*SUMIFS('Regional split'!$F$4:$F$6,'Regional split'!$B$4:$B$6,Z$3)*SUMIFS('Data manipulation'!$V$39:$V$42,'Data manipulation'!$X$39:$X$42,$E136,'Data manipulation'!$Y$39:$Y$42,$D136)</f>
        <v>0</v>
      </c>
      <c r="AA136" s="454">
        <f>_xlfn.IFNA(INDEX('Data manipulation'!$C$23:$O$39,MATCH($V136,'Data manipulation'!$B$23:$B$39,0),MATCH($X136,'Data manipulation'!$C$22:$O$22,0))/1000,0)*SUMIFS('Regional split'!$F$4:$F$6,'Regional split'!$B$4:$B$6,AA$3)*SUMIFS('Data manipulation'!$V$39:$V$42,'Data manipulation'!$X$39:$X$42,$E136,'Data manipulation'!$Y$39:$Y$42,$D136)</f>
        <v>0</v>
      </c>
      <c r="AB136" s="443">
        <f t="shared" si="157"/>
        <v>11.588230292357109</v>
      </c>
      <c r="AC136" s="251">
        <f t="shared" si="158"/>
        <v>0</v>
      </c>
      <c r="AD136" s="444">
        <f t="shared" si="159"/>
        <v>0</v>
      </c>
      <c r="AU136" s="260"/>
      <c r="AZ136" s="252"/>
    </row>
    <row r="137" spans="2:52" ht="15" customHeight="1">
      <c r="B137" s="233" t="str">
        <f t="shared" ref="B137:G137" si="204">B97</f>
        <v>CHTUDELCHE2</v>
      </c>
      <c r="C137" s="233" t="str">
        <f t="shared" si="204"/>
        <v>Commercial Heating Technology Urban Detached - Electricity Heating - Existing 2</v>
      </c>
      <c r="D137" s="233" t="str">
        <f t="shared" si="204"/>
        <v>Urban</v>
      </c>
      <c r="E137" s="233" t="str">
        <f t="shared" si="204"/>
        <v>Detached</v>
      </c>
      <c r="F137" s="233" t="str">
        <f t="shared" si="204"/>
        <v>COMELCH</v>
      </c>
      <c r="G137" s="233" t="str">
        <f t="shared" si="204"/>
        <v>COMHUDB</v>
      </c>
      <c r="H137" s="230">
        <v>2019</v>
      </c>
      <c r="I137" s="250">
        <f t="shared" si="195"/>
        <v>616.30000000000007</v>
      </c>
      <c r="J137" s="250">
        <f t="shared" si="196"/>
        <v>0</v>
      </c>
      <c r="K137" s="250">
        <f t="shared" si="197"/>
        <v>0</v>
      </c>
      <c r="L137" s="460">
        <v>2.3149999999999999</v>
      </c>
      <c r="M137" s="460">
        <v>2.3149999999999999</v>
      </c>
      <c r="N137" s="460">
        <v>2.3149999999999999</v>
      </c>
      <c r="O137" s="244">
        <f t="shared" si="199"/>
        <v>3.1536000000000002E-2</v>
      </c>
      <c r="P137" s="458">
        <v>0.2</v>
      </c>
      <c r="Q137" s="245">
        <v>30</v>
      </c>
      <c r="R137" s="227">
        <v>1.05</v>
      </c>
      <c r="T137" s="268">
        <f t="shared" si="193"/>
        <v>1.6791046911447089</v>
      </c>
      <c r="U137" s="268"/>
      <c r="V137" s="589" t="str">
        <f>'Data manipulation'!$B$30</f>
        <v>Ambient heat (heat pumps)</v>
      </c>
      <c r="W137" s="254" t="s">
        <v>170</v>
      </c>
      <c r="X137" s="246">
        <v>2019</v>
      </c>
      <c r="Y137" s="432">
        <f>_xlfn.IFNA(INDEX('Data manipulation'!$C$23:$O$39,MATCH($V137,'Data manipulation'!$B$23:$B$39,0),MATCH($X137,'Data manipulation'!$C$22:$O$22,0))/1000,0)*SUMIFS('Regional split'!$F$4:$F$6,'Regional split'!$B$4:$B$6,Y$3)*SUMIFS('Data manipulation'!$V$39:$V$42,'Data manipulation'!$X$39:$X$42,$E137,'Data manipulation'!$Y$39:$Y$42,$D137)</f>
        <v>1.5991248</v>
      </c>
      <c r="Z137" s="270">
        <f>_xlfn.IFNA(INDEX('Data manipulation'!$C$23:$O$39,MATCH($V137,'Data manipulation'!$B$23:$B$39,0),MATCH($X137,'Data manipulation'!$C$22:$O$22,0))/1000,0)*SUMIFS('Regional split'!$F$4:$F$6,'Regional split'!$B$4:$B$6,Z$3)*SUMIFS('Data manipulation'!$V$39:$V$42,'Data manipulation'!$X$39:$X$42,$E137,'Data manipulation'!$Y$39:$Y$42,$D137)</f>
        <v>0</v>
      </c>
      <c r="AA137" s="454">
        <f>_xlfn.IFNA(INDEX('Data manipulation'!$C$23:$O$39,MATCH($V137,'Data manipulation'!$B$23:$B$39,0),MATCH($X137,'Data manipulation'!$C$22:$O$22,0))/1000,0)*SUMIFS('Regional split'!$F$4:$F$6,'Regional split'!$B$4:$B$6,AA$3)*SUMIFS('Data manipulation'!$V$39:$V$42,'Data manipulation'!$X$39:$X$42,$E137,'Data manipulation'!$Y$39:$Y$42,$D137)</f>
        <v>0</v>
      </c>
      <c r="AB137" s="443">
        <f t="shared" si="157"/>
        <v>3.7019739120000001</v>
      </c>
      <c r="AC137" s="251">
        <f t="shared" si="158"/>
        <v>0</v>
      </c>
      <c r="AD137" s="444">
        <f t="shared" si="159"/>
        <v>0</v>
      </c>
      <c r="AU137" s="260"/>
      <c r="AZ137" s="252"/>
    </row>
    <row r="138" spans="2:52" ht="15" customHeight="1">
      <c r="B138" s="233" t="str">
        <f t="shared" ref="B138:G138" si="205">B98</f>
        <v>CHTUDHCEE1</v>
      </c>
      <c r="C138" s="233" t="str">
        <f t="shared" si="205"/>
        <v>Commercial Heating Technology Urban Detached - District heating Central - Existing 1</v>
      </c>
      <c r="D138" s="233" t="str">
        <f t="shared" si="205"/>
        <v>Urban</v>
      </c>
      <c r="E138" s="233" t="str">
        <f t="shared" si="205"/>
        <v>Detached</v>
      </c>
      <c r="F138" s="233" t="str">
        <f t="shared" si="205"/>
        <v>COMHCE</v>
      </c>
      <c r="G138" s="233" t="str">
        <f t="shared" si="205"/>
        <v>COMHUDX</v>
      </c>
      <c r="H138" s="230">
        <v>2019</v>
      </c>
      <c r="I138" s="250">
        <f t="shared" si="195"/>
        <v>3517.2</v>
      </c>
      <c r="J138" s="565">
        <v>0</v>
      </c>
      <c r="K138" s="565">
        <v>0</v>
      </c>
      <c r="L138" s="460">
        <v>0.95</v>
      </c>
      <c r="M138" s="460">
        <v>0.95</v>
      </c>
      <c r="N138" s="460">
        <v>0.95</v>
      </c>
      <c r="O138" s="244">
        <f t="shared" si="199"/>
        <v>3.1536000000000002E-2</v>
      </c>
      <c r="P138" s="458">
        <v>0.2</v>
      </c>
      <c r="Q138" s="245">
        <v>30</v>
      </c>
      <c r="R138" s="227">
        <v>1.05</v>
      </c>
      <c r="T138" s="268">
        <f t="shared" si="193"/>
        <v>23.351246147368421</v>
      </c>
      <c r="U138" s="268"/>
      <c r="V138" s="589" t="str">
        <f>'Data manipulation'!$B$34</f>
        <v>Heat</v>
      </c>
      <c r="W138" s="254" t="s">
        <v>171</v>
      </c>
      <c r="X138" s="246">
        <v>2019</v>
      </c>
      <c r="Y138" s="432">
        <f>_xlfn.IFNA(INDEX('Data manipulation'!$C$23:$O$39,MATCH($V138,'Data manipulation'!$B$23:$B$39,0),MATCH($X138,'Data manipulation'!$C$22:$O$22,0))/1000,0)*SUMIFS('Regional split'!$F$4:$F$6,'Regional split'!$B$4:$B$6,Y$3)*SUMIFS('Data manipulation'!$V$39:$V$42,'Data manipulation'!$X$39:$X$42,$E138,'Data manipulation'!$Y$39:$Y$42,$D138)</f>
        <v>22.238943571121116</v>
      </c>
      <c r="Z138" s="270">
        <f>_xlfn.IFNA(INDEX('Data manipulation'!$C$23:$O$39,MATCH($V138,'Data manipulation'!$B$23:$B$39,0),MATCH($X138,'Data manipulation'!$C$22:$O$22,0))/1000,0)*SUMIFS('Regional split'!$F$4:$F$6,'Regional split'!$B$4:$B$6,Z$3)*SUMIFS('Data manipulation'!$V$39:$V$42,'Data manipulation'!$X$39:$X$42,$E138,'Data manipulation'!$Y$39:$Y$42,$D138)</f>
        <v>0</v>
      </c>
      <c r="AA138" s="454">
        <f>_xlfn.IFNA(INDEX('Data manipulation'!$C$23:$O$39,MATCH($V138,'Data manipulation'!$B$23:$B$39,0),MATCH($X138,'Data manipulation'!$C$22:$O$22,0))/1000,0)*SUMIFS('Regional split'!$F$4:$F$6,'Regional split'!$B$4:$B$6,AA$3)*SUMIFS('Data manipulation'!$V$39:$V$42,'Data manipulation'!$X$39:$X$42,$E138,'Data manipulation'!$Y$39:$Y$42,$D138)</f>
        <v>0</v>
      </c>
      <c r="AB138" s="443">
        <f t="shared" si="157"/>
        <v>21.126996392565058</v>
      </c>
      <c r="AC138" s="251">
        <f t="shared" si="158"/>
        <v>0</v>
      </c>
      <c r="AD138" s="444">
        <f t="shared" si="159"/>
        <v>0</v>
      </c>
      <c r="AU138" s="260"/>
      <c r="AZ138" s="252"/>
    </row>
    <row r="139" spans="2:52" ht="15" customHeight="1" thickBot="1">
      <c r="B139" s="255" t="str">
        <f t="shared" ref="B139:G139" si="206">B99</f>
        <v>CHTUDLPGE1</v>
      </c>
      <c r="C139" s="255" t="str">
        <f t="shared" si="206"/>
        <v>Commercial Heating Technology Urban Detached - LPG - Existing 1</v>
      </c>
      <c r="D139" s="528" t="str">
        <f t="shared" si="206"/>
        <v>Urban</v>
      </c>
      <c r="E139" s="528" t="str">
        <f t="shared" si="206"/>
        <v>Detached</v>
      </c>
      <c r="F139" s="255" t="str">
        <f t="shared" si="206"/>
        <v>COMLPG</v>
      </c>
      <c r="G139" s="255" t="str">
        <f t="shared" si="206"/>
        <v>COMHUDB</v>
      </c>
      <c r="H139" s="422">
        <v>2019</v>
      </c>
      <c r="I139" s="297">
        <f t="shared" ref="I139" si="207">ROUNDUP(AB139/($O139*$P139)*$R139,1)</f>
        <v>440.20000000000005</v>
      </c>
      <c r="J139" s="297">
        <f t="shared" ref="J139" si="208">ROUNDUP(AC139/($O139*$P139)*$R139,1)</f>
        <v>0</v>
      </c>
      <c r="K139" s="297">
        <f t="shared" ref="K139" si="209">ROUNDUP(AD139/($O139*$P139)*$R139,1)</f>
        <v>0</v>
      </c>
      <c r="L139" s="461">
        <v>0.95</v>
      </c>
      <c r="M139" s="461">
        <v>0.95</v>
      </c>
      <c r="N139" s="461">
        <v>0.95</v>
      </c>
      <c r="O139" s="257">
        <f t="shared" si="199"/>
        <v>3.1536000000000002E-2</v>
      </c>
      <c r="P139" s="458">
        <v>0.2</v>
      </c>
      <c r="Q139" s="258">
        <v>30</v>
      </c>
      <c r="R139" s="227">
        <v>1.05</v>
      </c>
      <c r="T139" s="268">
        <f t="shared" si="193"/>
        <v>2.9225573052631586</v>
      </c>
      <c r="U139" s="268"/>
      <c r="V139" s="590" t="str">
        <f>'Data manipulation'!$B$25</f>
        <v>Liquefied petroleum gas</v>
      </c>
      <c r="W139" s="427" t="s">
        <v>759</v>
      </c>
      <c r="X139" s="246">
        <v>2019</v>
      </c>
      <c r="Y139" s="433">
        <f>_xlfn.IFNA(INDEX('Data manipulation'!$C$23:$O$39,MATCH($V139,'Data manipulation'!$B$23:$B$39,0),MATCH($X139,'Data manipulation'!$C$22:$O$22,0))/1000,0)*SUMIFS('Regional split'!$F$4:$F$6,'Regional split'!$B$4:$B$6,Y$3)*SUMIFS('Data manipulation'!$V$39:$V$42,'Data manipulation'!$X$39:$X$42,$E139,'Data manipulation'!$Y$39:$Y$42,$D139)</f>
        <v>2.7831628538823532</v>
      </c>
      <c r="Z139" s="430">
        <f>_xlfn.IFNA(INDEX('Data manipulation'!$C$23:$O$39,MATCH($V139,'Data manipulation'!$B$23:$B$39,0),MATCH($X139,'Data manipulation'!$C$22:$O$22,0))/1000,0)*SUMIFS('Regional split'!$F$4:$F$6,'Regional split'!$B$4:$B$6,Z$3)*SUMIFS('Data manipulation'!$V$39:$V$42,'Data manipulation'!$X$39:$X$42,$E139,'Data manipulation'!$Y$39:$Y$42,$D139)</f>
        <v>0</v>
      </c>
      <c r="AA139" s="455">
        <f>_xlfn.IFNA(INDEX('Data manipulation'!$C$23:$O$39,MATCH($V139,'Data manipulation'!$B$23:$B$39,0),MATCH($X139,'Data manipulation'!$C$22:$O$22,0))/1000,0)*SUMIFS('Regional split'!$F$4:$F$6,'Regional split'!$B$4:$B$6,AA$3)*SUMIFS('Data manipulation'!$V$39:$V$42,'Data manipulation'!$X$39:$X$42,$E139,'Data manipulation'!$Y$39:$Y$42,$D139)</f>
        <v>0</v>
      </c>
      <c r="AB139" s="450">
        <f t="shared" si="157"/>
        <v>2.6440047111882352</v>
      </c>
      <c r="AC139" s="277">
        <f t="shared" si="158"/>
        <v>0</v>
      </c>
      <c r="AD139" s="446">
        <f t="shared" si="159"/>
        <v>0</v>
      </c>
      <c r="AU139" s="260"/>
      <c r="AZ139" s="252"/>
    </row>
    <row r="140" spans="2:52" ht="15" customHeight="1">
      <c r="B140" s="233" t="str">
        <f t="shared" ref="B140:G140" si="210">B100</f>
        <v>CHTRDNGAE1</v>
      </c>
      <c r="C140" s="233" t="str">
        <f t="shared" si="210"/>
        <v>Commercial Heating Technology Rural Detached - Natural Gas - Existing 1</v>
      </c>
      <c r="D140" s="233" t="str">
        <f t="shared" si="210"/>
        <v>Rural</v>
      </c>
      <c r="E140" s="233" t="str">
        <f t="shared" si="210"/>
        <v>Detached</v>
      </c>
      <c r="F140" s="233" t="str">
        <f t="shared" si="210"/>
        <v>COMNGA,COMSNG</v>
      </c>
      <c r="G140" s="233" t="str">
        <f t="shared" si="210"/>
        <v>COMHRDB</v>
      </c>
      <c r="H140" s="259">
        <v>2019</v>
      </c>
      <c r="I140" s="250">
        <f>ROUNDUP(AB140/($O140*$P140)*$R140,1)</f>
        <v>13658.300000000001</v>
      </c>
      <c r="J140" s="250">
        <f>ROUNDUP(AC140/($O140*$P140)*$R140,1)</f>
        <v>0</v>
      </c>
      <c r="K140" s="250">
        <f>ROUNDUP(AD140/($O140*$P140)*$R140,1)</f>
        <v>0</v>
      </c>
      <c r="L140" s="460">
        <v>0.79</v>
      </c>
      <c r="M140" s="460">
        <v>0.79</v>
      </c>
      <c r="N140" s="460">
        <v>0.79</v>
      </c>
      <c r="O140" s="244">
        <f t="shared" si="199"/>
        <v>3.1536000000000002E-2</v>
      </c>
      <c r="P140" s="458">
        <v>0.2</v>
      </c>
      <c r="Q140" s="245">
        <v>25</v>
      </c>
      <c r="R140" s="227">
        <v>1.05</v>
      </c>
      <c r="T140" s="268">
        <f t="shared" si="193"/>
        <v>109.04510096202533</v>
      </c>
      <c r="U140" s="268"/>
      <c r="V140" s="589" t="str">
        <f>'Data manipulation'!$B$36</f>
        <v>Natural gas and biogas</v>
      </c>
      <c r="W140" s="246" t="s">
        <v>167</v>
      </c>
      <c r="X140" s="246">
        <v>2019</v>
      </c>
      <c r="Y140" s="432">
        <f>_xlfn.IFNA(INDEX('Data manipulation'!$C$23:$O$39,MATCH($V140,'Data manipulation'!$B$23:$B$39,0),MATCH($X140,'Data manipulation'!$C$22:$O$22,0))/1000,0)*SUMIFS('Regional split'!$F$4:$F$6,'Regional split'!$B$4:$B$6,Y$3)*SUMIFS('Data manipulation'!$V$39:$V$42,'Data manipulation'!$X$39:$X$42,$E140,'Data manipulation'!$Y$39:$Y$42,$D140)</f>
        <v>103.85184821631751</v>
      </c>
      <c r="Z140" s="270">
        <f>_xlfn.IFNA(INDEX('Data manipulation'!$C$23:$O$39,MATCH($V140,'Data manipulation'!$B$23:$B$39,0),MATCH($X140,'Data manipulation'!$C$22:$O$22,0))/1000,0)*SUMIFS('Regional split'!$F$4:$F$6,'Regional split'!$B$4:$B$6,Z$3)*SUMIFS('Data manipulation'!$V$39:$V$42,'Data manipulation'!$X$39:$X$42,$E140,'Data manipulation'!$Y$39:$Y$42,$D140)</f>
        <v>0</v>
      </c>
      <c r="AA140" s="454">
        <f>_xlfn.IFNA(INDEX('Data manipulation'!$C$23:$O$39,MATCH($V140,'Data manipulation'!$B$23:$B$39,0),MATCH($X140,'Data manipulation'!$C$22:$O$22,0))/1000,0)*SUMIFS('Regional split'!$F$4:$F$6,'Regional split'!$B$4:$B$6,AA$3)*SUMIFS('Data manipulation'!$V$39:$V$42,'Data manipulation'!$X$39:$X$42,$E140,'Data manipulation'!$Y$39:$Y$42,$D140)</f>
        <v>0</v>
      </c>
      <c r="AB140" s="451">
        <f t="shared" si="157"/>
        <v>82.04296009089083</v>
      </c>
      <c r="AC140" s="278">
        <f t="shared" si="158"/>
        <v>0</v>
      </c>
      <c r="AD140" s="447">
        <f t="shared" si="159"/>
        <v>0</v>
      </c>
      <c r="AU140" s="260"/>
      <c r="AZ140" s="252"/>
    </row>
    <row r="141" spans="2:52" ht="15" customHeight="1">
      <c r="B141" s="233" t="str">
        <f t="shared" ref="B141:G141" si="211">B101</f>
        <v>CHTRDDSLE1</v>
      </c>
      <c r="C141" s="233" t="str">
        <f t="shared" si="211"/>
        <v>Commercial Heating Technology Rural Detached - Diesel - Existing 1</v>
      </c>
      <c r="D141" s="233" t="str">
        <f t="shared" si="211"/>
        <v>Rural</v>
      </c>
      <c r="E141" s="233" t="str">
        <f t="shared" si="211"/>
        <v>Detached</v>
      </c>
      <c r="F141" s="233" t="str">
        <f t="shared" si="211"/>
        <v>COMDSL,COMDSB</v>
      </c>
      <c r="G141" s="233" t="str">
        <f t="shared" si="211"/>
        <v>COMHRDB</v>
      </c>
      <c r="H141" s="259">
        <v>2019</v>
      </c>
      <c r="I141" s="250">
        <f t="shared" ref="I141:I147" si="212">ROUNDUP(AB141/($O141*$P141)*$R141,1)</f>
        <v>4758.3</v>
      </c>
      <c r="J141" s="250">
        <f t="shared" ref="J141:J147" si="213">ROUNDUP(AC141/($O141*$P141)*$R141,1)</f>
        <v>0</v>
      </c>
      <c r="K141" s="250">
        <f t="shared" ref="K141:K147" si="214">ROUNDUP(AD141/($O141*$P141)*$R141,1)</f>
        <v>0</v>
      </c>
      <c r="L141" s="460">
        <v>0.79</v>
      </c>
      <c r="M141" s="460">
        <v>0.79</v>
      </c>
      <c r="N141" s="460">
        <v>0.79</v>
      </c>
      <c r="O141" s="244">
        <f t="shared" si="199"/>
        <v>3.1536000000000002E-2</v>
      </c>
      <c r="P141" s="458">
        <v>0.2</v>
      </c>
      <c r="Q141" s="245">
        <v>20</v>
      </c>
      <c r="R141" s="227">
        <v>1.05</v>
      </c>
      <c r="T141" s="268">
        <f t="shared" si="193"/>
        <v>37.989303493670889</v>
      </c>
      <c r="V141" s="589" t="str">
        <f>'Data manipulation'!$B$28</f>
        <v>Gas oil and diesel oil and biodiesel</v>
      </c>
      <c r="W141" s="254" t="s">
        <v>718</v>
      </c>
      <c r="X141" s="246">
        <v>2019</v>
      </c>
      <c r="Y141" s="432">
        <f>_xlfn.IFNA(INDEX('Data manipulation'!$C$23:$O$39,MATCH($V141,'Data manipulation'!$B$23:$B$39,0),MATCH($X141,'Data manipulation'!$C$22:$O$22,0))/1000,0)*SUMIFS('Regional split'!$F$4:$F$6,'Regional split'!$B$4:$B$6,Y$3)*SUMIFS('Data manipulation'!$V$39:$V$42,'Data manipulation'!$X$39:$X$42,$E141,'Data manipulation'!$Y$39:$Y$42,$D141)</f>
        <v>36.179900307171785</v>
      </c>
      <c r="Z141" s="270">
        <f>_xlfn.IFNA(INDEX('Data manipulation'!$C$23:$O$39,MATCH($V141,'Data manipulation'!$B$23:$B$39,0),MATCH($X141,'Data manipulation'!$C$22:$O$22,0))/1000,0)*SUMIFS('Regional split'!$F$4:$F$6,'Regional split'!$B$4:$B$6,Z$3)*SUMIFS('Data manipulation'!$V$39:$V$42,'Data manipulation'!$X$39:$X$42,$E141,'Data manipulation'!$Y$39:$Y$42,$D141)</f>
        <v>0</v>
      </c>
      <c r="AA141" s="454">
        <f>_xlfn.IFNA(INDEX('Data manipulation'!$C$23:$O$39,MATCH($V141,'Data manipulation'!$B$23:$B$39,0),MATCH($X141,'Data manipulation'!$C$22:$O$22,0))/1000,0)*SUMIFS('Regional split'!$F$4:$F$6,'Regional split'!$B$4:$B$6,AA$3)*SUMIFS('Data manipulation'!$V$39:$V$42,'Data manipulation'!$X$39:$X$42,$E141,'Data manipulation'!$Y$39:$Y$42,$D141)</f>
        <v>0</v>
      </c>
      <c r="AB141" s="443">
        <f t="shared" si="157"/>
        <v>28.582121242665711</v>
      </c>
      <c r="AC141" s="251">
        <f t="shared" si="158"/>
        <v>0</v>
      </c>
      <c r="AD141" s="444">
        <f t="shared" si="159"/>
        <v>0</v>
      </c>
      <c r="AU141" s="260"/>
      <c r="AZ141" s="252"/>
    </row>
    <row r="142" spans="2:52" ht="15" customHeight="1">
      <c r="B142" s="233" t="str">
        <f t="shared" ref="B142:G142" si="215">B102</f>
        <v>CHTRDWPEE1</v>
      </c>
      <c r="C142" s="233" t="str">
        <f t="shared" si="215"/>
        <v>Commercial Heating Technology Rural Detached - Wood pellets - Existing 1</v>
      </c>
      <c r="D142" s="233" t="str">
        <f t="shared" si="215"/>
        <v>Rural</v>
      </c>
      <c r="E142" s="233" t="str">
        <f t="shared" si="215"/>
        <v>Detached</v>
      </c>
      <c r="F142" s="233" t="str">
        <f t="shared" si="215"/>
        <v>COMWPE</v>
      </c>
      <c r="G142" s="233" t="str">
        <f t="shared" si="215"/>
        <v>COMHRDB</v>
      </c>
      <c r="H142" s="259">
        <v>2019</v>
      </c>
      <c r="I142" s="250">
        <f t="shared" si="212"/>
        <v>0</v>
      </c>
      <c r="J142" s="250">
        <f t="shared" si="213"/>
        <v>0</v>
      </c>
      <c r="K142" s="250">
        <f t="shared" si="214"/>
        <v>0</v>
      </c>
      <c r="L142" s="460">
        <v>0.67</v>
      </c>
      <c r="M142" s="460">
        <v>0.67</v>
      </c>
      <c r="N142" s="460">
        <v>0.67</v>
      </c>
      <c r="O142" s="244">
        <f>31.536/1000</f>
        <v>3.1536000000000002E-2</v>
      </c>
      <c r="P142" s="458">
        <v>0.2</v>
      </c>
      <c r="Q142" s="245">
        <v>20</v>
      </c>
      <c r="R142" s="227">
        <v>1.05</v>
      </c>
      <c r="T142" s="268">
        <f t="shared" si="193"/>
        <v>0</v>
      </c>
      <c r="U142" s="268"/>
      <c r="W142" s="254" t="s">
        <v>849</v>
      </c>
      <c r="X142" s="246">
        <v>2019</v>
      </c>
      <c r="Y142" s="432">
        <f>_xlfn.IFNA(INDEX('Data manipulation'!$C$23:$O$39,MATCH($V142,'Data manipulation'!$B$23:$B$39,0),MATCH($X142,'Data manipulation'!$C$22:$O$22,0))/1000,0)*SUMIFS('Regional split'!$F$4:$F$6,'Regional split'!$B$4:$B$6,Y$3)*SUMIFS('Data manipulation'!$V$39:$V$42,'Data manipulation'!$X$39:$X$42,$E142,'Data manipulation'!$Y$39:$Y$42,$D142)</f>
        <v>0</v>
      </c>
      <c r="Z142" s="270">
        <f>_xlfn.IFNA(INDEX('Data manipulation'!$C$23:$O$39,MATCH($V142,'Data manipulation'!$B$23:$B$39,0),MATCH($X142,'Data manipulation'!$C$22:$O$22,0))/1000,0)*SUMIFS('Regional split'!$F$4:$F$6,'Regional split'!$B$4:$B$6,Z$3)*SUMIFS('Data manipulation'!$V$39:$V$42,'Data manipulation'!$X$39:$X$42,$E142,'Data manipulation'!$Y$39:$Y$42,$D142)</f>
        <v>0</v>
      </c>
      <c r="AA142" s="454">
        <f>_xlfn.IFNA(INDEX('Data manipulation'!$C$23:$O$39,MATCH($V142,'Data manipulation'!$B$23:$B$39,0),MATCH($X142,'Data manipulation'!$C$22:$O$22,0))/1000,0)*SUMIFS('Regional split'!$F$4:$F$6,'Regional split'!$B$4:$B$6,AA$3)*SUMIFS('Data manipulation'!$V$39:$V$42,'Data manipulation'!$X$39:$X$42,$E142,'Data manipulation'!$Y$39:$Y$42,$D142)</f>
        <v>0</v>
      </c>
      <c r="AB142" s="443">
        <f t="shared" si="157"/>
        <v>0</v>
      </c>
      <c r="AC142" s="251">
        <f t="shared" si="158"/>
        <v>0</v>
      </c>
      <c r="AD142" s="444">
        <f t="shared" si="159"/>
        <v>0</v>
      </c>
      <c r="AU142" s="260"/>
      <c r="AZ142" s="252"/>
    </row>
    <row r="143" spans="2:52" ht="15" customHeight="1">
      <c r="B143" s="233" t="str">
        <f t="shared" ref="B143:G143" si="216">B103</f>
        <v>CHTRDFIWE1</v>
      </c>
      <c r="C143" s="233" t="str">
        <f t="shared" si="216"/>
        <v>Commercial Heating Technology Rural Detached - Fire wood - Existing 1</v>
      </c>
      <c r="D143" s="233" t="str">
        <f t="shared" si="216"/>
        <v>Rural</v>
      </c>
      <c r="E143" s="233" t="str">
        <f t="shared" si="216"/>
        <v>Detached</v>
      </c>
      <c r="F143" s="233" t="str">
        <f t="shared" si="216"/>
        <v>COMFIW</v>
      </c>
      <c r="G143" s="233" t="str">
        <f t="shared" si="216"/>
        <v>COMHRDB</v>
      </c>
      <c r="H143" s="259">
        <v>2019</v>
      </c>
      <c r="I143" s="250">
        <f t="shared" si="212"/>
        <v>1988.1999999999998</v>
      </c>
      <c r="J143" s="250">
        <f t="shared" si="213"/>
        <v>0</v>
      </c>
      <c r="K143" s="250">
        <f t="shared" si="214"/>
        <v>0</v>
      </c>
      <c r="L143" s="460">
        <v>0.67</v>
      </c>
      <c r="M143" s="460">
        <v>0.67</v>
      </c>
      <c r="N143" s="460">
        <v>0.67</v>
      </c>
      <c r="O143" s="244">
        <f>31.536/1000</f>
        <v>3.1536000000000002E-2</v>
      </c>
      <c r="P143" s="458">
        <v>0.2</v>
      </c>
      <c r="Q143" s="245">
        <v>20</v>
      </c>
      <c r="R143" s="227">
        <v>1.05</v>
      </c>
      <c r="T143" s="268">
        <f t="shared" si="193"/>
        <v>18.716380656716417</v>
      </c>
      <c r="U143" s="268"/>
      <c r="V143" s="589" t="str">
        <f>'Data manipulation'!$B$31</f>
        <v>Primary solid biofuels</v>
      </c>
      <c r="W143" s="254" t="s">
        <v>176</v>
      </c>
      <c r="X143" s="246">
        <v>2019</v>
      </c>
      <c r="Y143" s="432">
        <f>_xlfn.IFNA(INDEX('Data manipulation'!$C$23:$O$39,MATCH($V143,'Data manipulation'!$B$23:$B$39,0),MATCH($X143,'Data manipulation'!$C$22:$O$22,0))/1000,0)*SUMIFS('Regional split'!$F$4:$F$6,'Regional split'!$B$4:$B$6,Y$3)*SUMIFS('Data manipulation'!$V$39:$V$42,'Data manipulation'!$X$39:$X$42,$E143,'Data manipulation'!$Y$39:$Y$42,$D143)</f>
        <v>17.824881284737895</v>
      </c>
      <c r="Z143" s="270">
        <f>_xlfn.IFNA(INDEX('Data manipulation'!$C$23:$O$39,MATCH($V143,'Data manipulation'!$B$23:$B$39,0),MATCH($X143,'Data manipulation'!$C$22:$O$22,0))/1000,0)*SUMIFS('Regional split'!$F$4:$F$6,'Regional split'!$B$4:$B$6,Z$3)*SUMIFS('Data manipulation'!$V$39:$V$42,'Data manipulation'!$X$39:$X$42,$E143,'Data manipulation'!$Y$39:$Y$42,$D143)</f>
        <v>0</v>
      </c>
      <c r="AA143" s="454">
        <f>_xlfn.IFNA(INDEX('Data manipulation'!$C$23:$O$39,MATCH($V143,'Data manipulation'!$B$23:$B$39,0),MATCH($X143,'Data manipulation'!$C$22:$O$22,0))/1000,0)*SUMIFS('Regional split'!$F$4:$F$6,'Regional split'!$B$4:$B$6,AA$3)*SUMIFS('Data manipulation'!$V$39:$V$42,'Data manipulation'!$X$39:$X$42,$E143,'Data manipulation'!$Y$39:$Y$42,$D143)</f>
        <v>0</v>
      </c>
      <c r="AB143" s="443">
        <f t="shared" si="157"/>
        <v>11.942670460774391</v>
      </c>
      <c r="AC143" s="251">
        <f t="shared" si="158"/>
        <v>0</v>
      </c>
      <c r="AD143" s="444">
        <f t="shared" si="159"/>
        <v>0</v>
      </c>
      <c r="AU143" s="260"/>
      <c r="AZ143" s="252"/>
    </row>
    <row r="144" spans="2:52" ht="15" customHeight="1">
      <c r="B144" s="233" t="str">
        <f t="shared" ref="B144:G144" si="217">B104</f>
        <v>CHTRDCOAE1</v>
      </c>
      <c r="C144" s="233" t="str">
        <f t="shared" si="217"/>
        <v>Commercial Heating Technology Rural Detached - Coal - Existing 1</v>
      </c>
      <c r="D144" s="233" t="str">
        <f t="shared" si="217"/>
        <v>Rural</v>
      </c>
      <c r="E144" s="233" t="str">
        <f t="shared" si="217"/>
        <v>Detached</v>
      </c>
      <c r="F144" s="233" t="str">
        <f t="shared" si="217"/>
        <v>COMCOA</v>
      </c>
      <c r="G144" s="233" t="str">
        <f t="shared" si="217"/>
        <v>COMHRDB</v>
      </c>
      <c r="H144" s="259">
        <v>2019</v>
      </c>
      <c r="I144" s="250">
        <f t="shared" si="212"/>
        <v>3</v>
      </c>
      <c r="J144" s="250">
        <f t="shared" si="213"/>
        <v>0</v>
      </c>
      <c r="K144" s="250">
        <f t="shared" si="214"/>
        <v>0</v>
      </c>
      <c r="L144" s="460">
        <v>0.72</v>
      </c>
      <c r="M144" s="460">
        <v>0.72</v>
      </c>
      <c r="N144" s="460">
        <v>0.72</v>
      </c>
      <c r="O144" s="244">
        <f t="shared" si="199"/>
        <v>3.1536000000000002E-2</v>
      </c>
      <c r="P144" s="458">
        <v>0.2</v>
      </c>
      <c r="Q144" s="245">
        <v>20</v>
      </c>
      <c r="R144" s="227">
        <v>1.05</v>
      </c>
      <c r="T144" s="268">
        <f t="shared" si="193"/>
        <v>2.6280000000000001E-2</v>
      </c>
      <c r="U144" s="268"/>
      <c r="V144" s="589" t="str">
        <f>'Data manipulation'!$B$23</f>
        <v>Solid fossil fuels, peat, peat products, oil shale and oil sands</v>
      </c>
      <c r="W144" s="254" t="s">
        <v>846</v>
      </c>
      <c r="X144" s="246">
        <v>2019</v>
      </c>
      <c r="Y144" s="432">
        <f>_xlfn.IFNA(INDEX('Data manipulation'!$C$23:$O$39,MATCH($V144,'Data manipulation'!$B$23:$B$39,0),MATCH($X144,'Data manipulation'!$C$22:$O$22,0))/1000,0)*SUMIFS('Regional split'!$F$4:$F$6,'Regional split'!$B$4:$B$6,Y$3)*SUMIFS('Data manipulation'!$V$39:$V$42,'Data manipulation'!$X$39:$X$42,$E144,'Data manipulation'!$Y$39:$Y$42,$D144)</f>
        <v>2.4559172000000001E-2</v>
      </c>
      <c r="Z144" s="270">
        <f>_xlfn.IFNA(INDEX('Data manipulation'!$C$23:$O$39,MATCH($V144,'Data manipulation'!$B$23:$B$39,0),MATCH($X144,'Data manipulation'!$C$22:$O$22,0))/1000,0)*SUMIFS('Regional split'!$F$4:$F$6,'Regional split'!$B$4:$B$6,Z$3)*SUMIFS('Data manipulation'!$V$39:$V$42,'Data manipulation'!$X$39:$X$42,$E144,'Data manipulation'!$Y$39:$Y$42,$D144)</f>
        <v>0</v>
      </c>
      <c r="AA144" s="454">
        <f>_xlfn.IFNA(INDEX('Data manipulation'!$C$23:$O$39,MATCH($V144,'Data manipulation'!$B$23:$B$39,0),MATCH($X144,'Data manipulation'!$C$22:$O$22,0))/1000,0)*SUMIFS('Regional split'!$F$4:$F$6,'Regional split'!$B$4:$B$6,AA$3)*SUMIFS('Data manipulation'!$V$39:$V$42,'Data manipulation'!$X$39:$X$42,$E144,'Data manipulation'!$Y$39:$Y$42,$D144)</f>
        <v>0</v>
      </c>
      <c r="AB144" s="443">
        <f t="shared" si="157"/>
        <v>1.7682603839999998E-2</v>
      </c>
      <c r="AC144" s="251">
        <f t="shared" si="158"/>
        <v>0</v>
      </c>
      <c r="AD144" s="444">
        <f t="shared" si="159"/>
        <v>0</v>
      </c>
      <c r="AU144" s="260"/>
      <c r="AZ144" s="252"/>
    </row>
    <row r="145" spans="2:52" ht="15" customHeight="1">
      <c r="B145" s="233" t="str">
        <f t="shared" ref="B145:G145" si="218">B105</f>
        <v>CHTRDSOLE1</v>
      </c>
      <c r="C145" s="233" t="str">
        <f t="shared" si="218"/>
        <v>Commercial Heating Technology Rural Detached - Solar - Existing 1</v>
      </c>
      <c r="D145" s="233" t="str">
        <f t="shared" si="218"/>
        <v>Rural</v>
      </c>
      <c r="E145" s="233" t="str">
        <f t="shared" si="218"/>
        <v>Detached</v>
      </c>
      <c r="F145" s="233" t="str">
        <f t="shared" si="218"/>
        <v>COMSOL</v>
      </c>
      <c r="G145" s="233" t="str">
        <f t="shared" si="218"/>
        <v>COMHRDB</v>
      </c>
      <c r="H145" s="259">
        <v>2019</v>
      </c>
      <c r="I145" s="250">
        <f t="shared" si="212"/>
        <v>8.7999999999999989</v>
      </c>
      <c r="J145" s="250">
        <f t="shared" si="213"/>
        <v>0</v>
      </c>
      <c r="K145" s="250">
        <f t="shared" si="214"/>
        <v>0</v>
      </c>
      <c r="L145" s="460">
        <v>1</v>
      </c>
      <c r="M145" s="460">
        <v>1</v>
      </c>
      <c r="N145" s="460">
        <v>1</v>
      </c>
      <c r="O145" s="244">
        <f t="shared" si="199"/>
        <v>3.1536000000000002E-2</v>
      </c>
      <c r="P145" s="458">
        <v>0.2</v>
      </c>
      <c r="Q145" s="245">
        <v>20</v>
      </c>
      <c r="R145" s="227">
        <v>1.05</v>
      </c>
      <c r="T145" s="268">
        <f t="shared" si="193"/>
        <v>5.5503359999999995E-2</v>
      </c>
      <c r="U145" s="268"/>
      <c r="V145" s="589" t="str">
        <f>'Data manipulation'!$B$29</f>
        <v>Solar thermal</v>
      </c>
      <c r="W145" s="254" t="s">
        <v>168</v>
      </c>
      <c r="X145" s="246">
        <v>2019</v>
      </c>
      <c r="Y145" s="432">
        <f>_xlfn.IFNA(INDEX('Data manipulation'!$C$23:$O$39,MATCH($V145,'Data manipulation'!$B$23:$B$39,0),MATCH($X145,'Data manipulation'!$C$22:$O$22,0))/1000,0)*SUMIFS('Regional split'!$F$4:$F$6,'Regional split'!$B$4:$B$6,Y$3)*SUMIFS('Data manipulation'!$V$39:$V$42,'Data manipulation'!$X$39:$X$42,$E145,'Data manipulation'!$Y$39:$Y$42,$D145)</f>
        <v>5.2821296000000004E-2</v>
      </c>
      <c r="Z145" s="270">
        <f>_xlfn.IFNA(INDEX('Data manipulation'!$C$23:$O$39,MATCH($V145,'Data manipulation'!$B$23:$B$39,0),MATCH($X145,'Data manipulation'!$C$22:$O$22,0))/1000,0)*SUMIFS('Regional split'!$F$4:$F$6,'Regional split'!$B$4:$B$6,Z$3)*SUMIFS('Data manipulation'!$V$39:$V$42,'Data manipulation'!$X$39:$X$42,$E145,'Data manipulation'!$Y$39:$Y$42,$D145)</f>
        <v>0</v>
      </c>
      <c r="AA145" s="454">
        <f>_xlfn.IFNA(INDEX('Data manipulation'!$C$23:$O$39,MATCH($V145,'Data manipulation'!$B$23:$B$39,0),MATCH($X145,'Data manipulation'!$C$22:$O$22,0))/1000,0)*SUMIFS('Regional split'!$F$4:$F$6,'Regional split'!$B$4:$B$6,AA$3)*SUMIFS('Data manipulation'!$V$39:$V$42,'Data manipulation'!$X$39:$X$42,$E145,'Data manipulation'!$Y$39:$Y$42,$D145)</f>
        <v>0</v>
      </c>
      <c r="AB145" s="443">
        <f t="shared" si="157"/>
        <v>5.2821296000000004E-2</v>
      </c>
      <c r="AC145" s="251">
        <f t="shared" si="158"/>
        <v>0</v>
      </c>
      <c r="AD145" s="444">
        <f t="shared" si="159"/>
        <v>0</v>
      </c>
      <c r="AU145" s="260"/>
      <c r="AZ145" s="252"/>
    </row>
    <row r="146" spans="2:52" ht="15" customHeight="1">
      <c r="B146" s="233" t="str">
        <f t="shared" ref="B146:G146" si="219">B106</f>
        <v>CHTRDELCHE1</v>
      </c>
      <c r="C146" s="233" t="str">
        <f t="shared" si="219"/>
        <v>Commercial Heating Technology Rural Detached - Electricity Heating - Existing 1</v>
      </c>
      <c r="D146" s="233" t="str">
        <f t="shared" si="219"/>
        <v>Rural</v>
      </c>
      <c r="E146" s="233" t="str">
        <f t="shared" si="219"/>
        <v>Detached</v>
      </c>
      <c r="F146" s="233" t="str">
        <f t="shared" si="219"/>
        <v>COMELCH</v>
      </c>
      <c r="G146" s="233" t="str">
        <f t="shared" si="219"/>
        <v>COMHRDB</v>
      </c>
      <c r="H146" s="259">
        <v>2019</v>
      </c>
      <c r="I146" s="250">
        <f t="shared" si="212"/>
        <v>1465.3</v>
      </c>
      <c r="J146" s="250">
        <f t="shared" si="213"/>
        <v>0</v>
      </c>
      <c r="K146" s="250">
        <f t="shared" si="214"/>
        <v>0</v>
      </c>
      <c r="L146" s="460">
        <v>1</v>
      </c>
      <c r="M146" s="460">
        <v>1</v>
      </c>
      <c r="N146" s="460">
        <v>1</v>
      </c>
      <c r="O146" s="244">
        <f t="shared" si="199"/>
        <v>3.1536000000000002E-2</v>
      </c>
      <c r="P146" s="458">
        <v>0.2</v>
      </c>
      <c r="Q146" s="245">
        <v>30</v>
      </c>
      <c r="R146" s="227">
        <v>1.05</v>
      </c>
      <c r="T146" s="268">
        <f t="shared" si="193"/>
        <v>9.2419401600000004</v>
      </c>
      <c r="U146" s="268"/>
      <c r="V146" s="589" t="str">
        <f>'Data manipulation'!$B$33</f>
        <v>Electricity</v>
      </c>
      <c r="W146" s="254" t="s">
        <v>169</v>
      </c>
      <c r="X146" s="246">
        <v>2019</v>
      </c>
      <c r="Y146" s="432">
        <f>_xlfn.IFNA(INDEX('Data manipulation'!$C$23:$O$39,MATCH($V146,'Data manipulation'!$B$23:$B$39,0),MATCH($X146,'Data manipulation'!$C$22:$O$22,0))/1000,0)*SUMIFS('Regional split'!$F$4:$F$6,'Regional split'!$B$4:$B$6,Y$3)*SUMIFS('Data manipulation'!$V$39:$V$42,'Data manipulation'!$X$39:$X$42,$E146,'Data manipulation'!$Y$39:$Y$42,$D146)</f>
        <v>8.8015368172902804</v>
      </c>
      <c r="Z146" s="270">
        <f>_xlfn.IFNA(INDEX('Data manipulation'!$C$23:$O$39,MATCH($V146,'Data manipulation'!$B$23:$B$39,0),MATCH($X146,'Data manipulation'!$C$22:$O$22,0))/1000,0)*SUMIFS('Regional split'!$F$4:$F$6,'Regional split'!$B$4:$B$6,Z$3)*SUMIFS('Data manipulation'!$V$39:$V$42,'Data manipulation'!$X$39:$X$42,$E146,'Data manipulation'!$Y$39:$Y$42,$D146)</f>
        <v>0</v>
      </c>
      <c r="AA146" s="454">
        <f>_xlfn.IFNA(INDEX('Data manipulation'!$C$23:$O$39,MATCH($V146,'Data manipulation'!$B$23:$B$39,0),MATCH($X146,'Data manipulation'!$C$22:$O$22,0))/1000,0)*SUMIFS('Regional split'!$F$4:$F$6,'Regional split'!$B$4:$B$6,AA$3)*SUMIFS('Data manipulation'!$V$39:$V$42,'Data manipulation'!$X$39:$X$42,$E146,'Data manipulation'!$Y$39:$Y$42,$D146)</f>
        <v>0</v>
      </c>
      <c r="AB146" s="443">
        <f t="shared" si="157"/>
        <v>8.8015368172902804</v>
      </c>
      <c r="AC146" s="251">
        <f t="shared" si="158"/>
        <v>0</v>
      </c>
      <c r="AD146" s="444">
        <f t="shared" si="159"/>
        <v>0</v>
      </c>
      <c r="AU146" s="260"/>
      <c r="AZ146" s="252"/>
    </row>
    <row r="147" spans="2:52" ht="15" customHeight="1">
      <c r="B147" s="233" t="str">
        <f t="shared" ref="B147:G147" si="220">B107</f>
        <v>CHTRDELCHE2</v>
      </c>
      <c r="C147" s="233" t="str">
        <f t="shared" si="220"/>
        <v>Commercial Heating Technology Rural Detached - Electricity Heating - Existing 2</v>
      </c>
      <c r="D147" s="233" t="str">
        <f t="shared" si="220"/>
        <v>Rural</v>
      </c>
      <c r="E147" s="233" t="str">
        <f t="shared" si="220"/>
        <v>Detached</v>
      </c>
      <c r="F147" s="233" t="str">
        <f t="shared" si="220"/>
        <v>COMELCH</v>
      </c>
      <c r="G147" s="233" t="str">
        <f t="shared" si="220"/>
        <v>COMHRDB</v>
      </c>
      <c r="H147" s="259">
        <v>2019</v>
      </c>
      <c r="I147" s="250">
        <f t="shared" si="212"/>
        <v>468.1</v>
      </c>
      <c r="J147" s="250">
        <f t="shared" si="213"/>
        <v>0</v>
      </c>
      <c r="K147" s="250">
        <f t="shared" si="214"/>
        <v>0</v>
      </c>
      <c r="L147" s="460">
        <v>2.3149999999999999</v>
      </c>
      <c r="M147" s="460">
        <v>2.3149999999999999</v>
      </c>
      <c r="N147" s="460">
        <v>2.3149999999999999</v>
      </c>
      <c r="O147" s="244">
        <f t="shared" si="199"/>
        <v>3.1536000000000002E-2</v>
      </c>
      <c r="P147" s="458">
        <v>0.2</v>
      </c>
      <c r="Q147" s="245">
        <v>30</v>
      </c>
      <c r="R147" s="227">
        <v>1.05</v>
      </c>
      <c r="T147" s="268">
        <f t="shared" si="193"/>
        <v>1.2753349114470844</v>
      </c>
      <c r="U147" s="268"/>
      <c r="V147" s="589" t="str">
        <f>'Data manipulation'!$B$30</f>
        <v>Ambient heat (heat pumps)</v>
      </c>
      <c r="W147" s="254" t="s">
        <v>170</v>
      </c>
      <c r="X147" s="246">
        <v>2019</v>
      </c>
      <c r="Y147" s="432">
        <f>_xlfn.IFNA(INDEX('Data manipulation'!$C$23:$O$39,MATCH($V147,'Data manipulation'!$B$23:$B$39,0),MATCH($X147,'Data manipulation'!$C$22:$O$22,0))/1000,0)*SUMIFS('Regional split'!$F$4:$F$6,'Regional split'!$B$4:$B$6,Y$3)*SUMIFS('Data manipulation'!$V$39:$V$42,'Data manipulation'!$X$39:$X$42,$E147,'Data manipulation'!$Y$39:$Y$42,$D147)</f>
        <v>1.2145733600000002</v>
      </c>
      <c r="Z147" s="270">
        <f>_xlfn.IFNA(INDEX('Data manipulation'!$C$23:$O$39,MATCH($V147,'Data manipulation'!$B$23:$B$39,0),MATCH($X147,'Data manipulation'!$C$22:$O$22,0))/1000,0)*SUMIFS('Regional split'!$F$4:$F$6,'Regional split'!$B$4:$B$6,Z$3)*SUMIFS('Data manipulation'!$V$39:$V$42,'Data manipulation'!$X$39:$X$42,$E147,'Data manipulation'!$Y$39:$Y$42,$D147)</f>
        <v>0</v>
      </c>
      <c r="AA147" s="454">
        <f>_xlfn.IFNA(INDEX('Data manipulation'!$C$23:$O$39,MATCH($V147,'Data manipulation'!$B$23:$B$39,0),MATCH($X147,'Data manipulation'!$C$22:$O$22,0))/1000,0)*SUMIFS('Regional split'!$F$4:$F$6,'Regional split'!$B$4:$B$6,AA$3)*SUMIFS('Data manipulation'!$V$39:$V$42,'Data manipulation'!$X$39:$X$42,$E147,'Data manipulation'!$Y$39:$Y$42,$D147)</f>
        <v>0</v>
      </c>
      <c r="AB147" s="443">
        <f t="shared" si="157"/>
        <v>2.8117373284000005</v>
      </c>
      <c r="AC147" s="251">
        <f t="shared" si="158"/>
        <v>0</v>
      </c>
      <c r="AD147" s="444">
        <f t="shared" si="159"/>
        <v>0</v>
      </c>
      <c r="AU147" s="260"/>
      <c r="AZ147" s="252"/>
    </row>
    <row r="148" spans="2:52" ht="15" customHeight="1">
      <c r="B148" s="233" t="str">
        <f t="shared" ref="B148:G148" si="221">B108</f>
        <v>CHTRDHCEE1</v>
      </c>
      <c r="C148" s="233" t="str">
        <f t="shared" si="221"/>
        <v>Commercial Heating Technology Rural Detached - District heating Central - Existing 1</v>
      </c>
      <c r="D148" s="233" t="str">
        <f t="shared" si="221"/>
        <v>Rural</v>
      </c>
      <c r="E148" s="233" t="str">
        <f t="shared" si="221"/>
        <v>Detached</v>
      </c>
      <c r="F148" s="233" t="str">
        <f t="shared" si="221"/>
        <v>COMHDE</v>
      </c>
      <c r="G148" s="233" t="str">
        <f t="shared" si="221"/>
        <v>COMHRDB</v>
      </c>
      <c r="H148" s="261">
        <v>2019</v>
      </c>
      <c r="I148" s="565">
        <v>0</v>
      </c>
      <c r="J148" s="565">
        <v>0</v>
      </c>
      <c r="K148" s="565">
        <v>0</v>
      </c>
      <c r="L148" s="460">
        <v>0.98</v>
      </c>
      <c r="M148" s="460">
        <v>0.98</v>
      </c>
      <c r="N148" s="460">
        <v>0.98</v>
      </c>
      <c r="O148" s="244">
        <f t="shared" si="199"/>
        <v>3.1536000000000002E-2</v>
      </c>
      <c r="P148" s="458">
        <v>0.2</v>
      </c>
      <c r="Q148" s="245">
        <v>30</v>
      </c>
      <c r="R148" s="227">
        <v>1.05</v>
      </c>
      <c r="T148" s="268">
        <f t="shared" si="193"/>
        <v>0</v>
      </c>
      <c r="U148" s="268"/>
      <c r="V148" s="589" t="str">
        <f>'Data manipulation'!$B$34</f>
        <v>Heat</v>
      </c>
      <c r="W148" s="254" t="s">
        <v>171</v>
      </c>
      <c r="X148" s="246">
        <v>2019</v>
      </c>
      <c r="Y148" s="432">
        <f>_xlfn.IFNA(INDEX('Data manipulation'!$C$23:$O$39,MATCH($V148,'Data manipulation'!$B$23:$B$39,0),MATCH($X148,'Data manipulation'!$C$22:$O$22,0))/1000,0)*SUMIFS('Regional split'!$F$4:$F$6,'Regional split'!$B$4:$B$6,Y$3)*SUMIFS('Data manipulation'!$V$39:$V$42,'Data manipulation'!$X$39:$X$42,$E148,'Data manipulation'!$Y$39:$Y$42,$D148)</f>
        <v>16.891007140922941</v>
      </c>
      <c r="Z148" s="270">
        <f>_xlfn.IFNA(INDEX('Data manipulation'!$C$23:$O$39,MATCH($V148,'Data manipulation'!$B$23:$B$39,0),MATCH($X148,'Data manipulation'!$C$22:$O$22,0))/1000,0)*SUMIFS('Regional split'!$F$4:$F$6,'Regional split'!$B$4:$B$6,Z$3)*SUMIFS('Data manipulation'!$V$39:$V$42,'Data manipulation'!$X$39:$X$42,$E148,'Data manipulation'!$Y$39:$Y$42,$D148)</f>
        <v>0</v>
      </c>
      <c r="AA148" s="454">
        <f>_xlfn.IFNA(INDEX('Data manipulation'!$C$23:$O$39,MATCH($V148,'Data manipulation'!$B$23:$B$39,0),MATCH($X148,'Data manipulation'!$C$22:$O$22,0))/1000,0)*SUMIFS('Regional split'!$F$4:$F$6,'Regional split'!$B$4:$B$6,AA$3)*SUMIFS('Data manipulation'!$V$39:$V$42,'Data manipulation'!$X$39:$X$42,$E148,'Data manipulation'!$Y$39:$Y$42,$D148)</f>
        <v>0</v>
      </c>
      <c r="AB148" s="443">
        <f t="shared" si="157"/>
        <v>16.553186998104483</v>
      </c>
      <c r="AC148" s="251">
        <f t="shared" si="158"/>
        <v>0</v>
      </c>
      <c r="AD148" s="444">
        <f t="shared" si="159"/>
        <v>0</v>
      </c>
      <c r="AU148" s="260"/>
      <c r="AZ148" s="252"/>
    </row>
    <row r="149" spans="2:52" ht="15" customHeight="1" thickBot="1">
      <c r="B149" s="233" t="str">
        <f t="shared" ref="B149:G149" si="222">B109</f>
        <v>CHTRDLPGE1</v>
      </c>
      <c r="C149" s="233" t="str">
        <f t="shared" si="222"/>
        <v>Commercial Heating Technology Rural Detached - LPG - Existing 1</v>
      </c>
      <c r="D149" s="233" t="str">
        <f t="shared" si="222"/>
        <v>Rural</v>
      </c>
      <c r="E149" s="233" t="str">
        <f t="shared" si="222"/>
        <v>Detached</v>
      </c>
      <c r="F149" s="233" t="str">
        <f t="shared" si="222"/>
        <v>COMLPG</v>
      </c>
      <c r="G149" s="233" t="str">
        <f t="shared" si="222"/>
        <v>COMHRDB</v>
      </c>
      <c r="H149" s="261">
        <v>2019</v>
      </c>
      <c r="I149" s="297">
        <f t="shared" ref="I149" si="223">ROUNDUP(AB149/($O149*$P149)*$R149,1)</f>
        <v>344.90000000000003</v>
      </c>
      <c r="J149" s="297">
        <f t="shared" ref="J149" si="224">ROUNDUP(AC149/($O149*$P149)*$R149,1)</f>
        <v>0</v>
      </c>
      <c r="K149" s="297">
        <f t="shared" ref="K149" si="225">ROUNDUP(AD149/($O149*$P149)*$R149,1)</f>
        <v>0</v>
      </c>
      <c r="L149" s="460">
        <v>0.98</v>
      </c>
      <c r="M149" s="460">
        <v>0.98</v>
      </c>
      <c r="N149" s="460">
        <v>0.98</v>
      </c>
      <c r="O149" s="244">
        <f t="shared" si="199"/>
        <v>3.1536000000000002E-2</v>
      </c>
      <c r="P149" s="458">
        <v>0.2</v>
      </c>
      <c r="Q149" s="245">
        <v>30</v>
      </c>
      <c r="R149" s="227">
        <v>1.05</v>
      </c>
      <c r="T149" s="268">
        <f t="shared" si="193"/>
        <v>2.2197482448979597</v>
      </c>
      <c r="U149" s="268"/>
      <c r="V149" s="590" t="str">
        <f>'Data manipulation'!$B$25</f>
        <v>Liquefied petroleum gas</v>
      </c>
      <c r="W149" s="427" t="s">
        <v>759</v>
      </c>
      <c r="X149" s="246">
        <v>2019</v>
      </c>
      <c r="Y149" s="433">
        <f>_xlfn.IFNA(INDEX('Data manipulation'!$C$23:$O$39,MATCH($V149,'Data manipulation'!$B$23:$B$39,0),MATCH($X149,'Data manipulation'!$C$22:$O$22,0))/1000,0)*SUMIFS('Regional split'!$F$4:$F$6,'Regional split'!$B$4:$B$6,Y$3)*SUMIFS('Data manipulation'!$V$39:$V$42,'Data manipulation'!$X$39:$X$42,$E149,'Data manipulation'!$Y$39:$Y$42,$D149)</f>
        <v>2.1138784533058823</v>
      </c>
      <c r="Z149" s="430">
        <f>_xlfn.IFNA(INDEX('Data manipulation'!$C$23:$O$39,MATCH($V149,'Data manipulation'!$B$23:$B$39,0),MATCH($X149,'Data manipulation'!$C$22:$O$22,0))/1000,0)*SUMIFS('Regional split'!$F$4:$F$6,'Regional split'!$B$4:$B$6,Z$3)*SUMIFS('Data manipulation'!$V$39:$V$42,'Data manipulation'!$X$39:$X$42,$E149,'Data manipulation'!$Y$39:$Y$42,$D149)</f>
        <v>0</v>
      </c>
      <c r="AA149" s="455">
        <f>_xlfn.IFNA(INDEX('Data manipulation'!$C$23:$O$39,MATCH($V149,'Data manipulation'!$B$23:$B$39,0),MATCH($X149,'Data manipulation'!$C$22:$O$22,0))/1000,0)*SUMIFS('Regional split'!$F$4:$F$6,'Regional split'!$B$4:$B$6,AA$3)*SUMIFS('Data manipulation'!$V$39:$V$42,'Data manipulation'!$X$39:$X$42,$E149,'Data manipulation'!$Y$39:$Y$42,$D149)</f>
        <v>0</v>
      </c>
      <c r="AB149" s="445">
        <f t="shared" si="157"/>
        <v>2.0716008842397646</v>
      </c>
      <c r="AC149" s="431">
        <f t="shared" si="158"/>
        <v>0</v>
      </c>
      <c r="AD149" s="452">
        <f t="shared" si="159"/>
        <v>0</v>
      </c>
      <c r="AU149" s="260"/>
      <c r="AZ149" s="252"/>
    </row>
    <row r="150" spans="2:52" ht="15" customHeight="1">
      <c r="B150" s="227" t="str">
        <f t="shared" ref="B150:E150" si="226">B110</f>
        <v>CHTUMNGAE1</v>
      </c>
      <c r="C150" s="227" t="str">
        <f t="shared" si="226"/>
        <v>Commercial Heating Technology Urban Multi - Natural Gas - Existing 1</v>
      </c>
      <c r="D150" s="227" t="str">
        <f t="shared" si="226"/>
        <v>Urban</v>
      </c>
      <c r="E150" s="227" t="str">
        <f t="shared" si="226"/>
        <v>Multi storey</v>
      </c>
      <c r="F150" s="227" t="str">
        <f>F110</f>
        <v>COMNGA,COMSNG</v>
      </c>
      <c r="G150" s="227" t="str">
        <f>G110</f>
        <v>COMHUMB</v>
      </c>
      <c r="H150" s="230">
        <v>2019</v>
      </c>
      <c r="I150" s="250">
        <f>ROUNDUP(AB150/($O150*$P150)*$R150,1)</f>
        <v>9638.5</v>
      </c>
      <c r="J150" s="250">
        <f>ROUNDUP(AC150/($O150*$P150)*$R150,1)</f>
        <v>0</v>
      </c>
      <c r="K150" s="250">
        <f>ROUNDUP(AD150/($O150*$P150)*$R150,1)</f>
        <v>0</v>
      </c>
      <c r="L150" s="460">
        <v>0.72</v>
      </c>
      <c r="M150" s="460">
        <v>0.72</v>
      </c>
      <c r="N150" s="460">
        <v>0.72</v>
      </c>
      <c r="O150" s="244">
        <f>31.536/1000</f>
        <v>3.1536000000000002E-2</v>
      </c>
      <c r="P150" s="458">
        <v>0.2</v>
      </c>
      <c r="Q150" s="245">
        <v>22</v>
      </c>
      <c r="R150" s="227">
        <v>1.05</v>
      </c>
      <c r="T150" s="268">
        <f t="shared" si="193"/>
        <v>84.433260000000018</v>
      </c>
      <c r="U150" s="268"/>
      <c r="V150" s="589" t="str">
        <f>'Data manipulation'!$B$36</f>
        <v>Natural gas and biogas</v>
      </c>
      <c r="W150" s="246" t="s">
        <v>167</v>
      </c>
      <c r="X150" s="246">
        <v>2019</v>
      </c>
      <c r="Y150" s="432">
        <f>_xlfn.IFNA(INDEX('Data manipulation'!$C$23:$O$39,MATCH($V150,'Data manipulation'!$B$23:$B$39,0),MATCH($X150,'Data manipulation'!$C$22:$O$22,0))/1000,0)*SUMIFS('Regional split'!$F$4:$F$6,'Regional split'!$B$4:$B$6,Y$3)*SUMIFS('Data manipulation'!$V$39:$V$42,'Data manipulation'!$X$39:$X$42,$E150,'Data manipulation'!$Y$39:$Y$42,$D150)</f>
        <v>80.411932631443335</v>
      </c>
      <c r="Z150" s="270">
        <f>_xlfn.IFNA(INDEX('Data manipulation'!$C$23:$O$39,MATCH($V150,'Data manipulation'!$B$23:$B$39,0),MATCH($X150,'Data manipulation'!$C$22:$O$22,0))/1000,0)*SUMIFS('Regional split'!$F$4:$F$6,'Regional split'!$B$4:$B$6,Z$3)*SUMIFS('Data manipulation'!$V$39:$V$42,'Data manipulation'!$X$39:$X$42,$E150,'Data manipulation'!$Y$39:$Y$42,$D150)</f>
        <v>0</v>
      </c>
      <c r="AA150" s="454">
        <f>_xlfn.IFNA(INDEX('Data manipulation'!$C$23:$O$39,MATCH($V150,'Data manipulation'!$B$23:$B$39,0),MATCH($X150,'Data manipulation'!$C$22:$O$22,0))/1000,0)*SUMIFS('Regional split'!$F$4:$F$6,'Regional split'!$B$4:$B$6,AA$3)*SUMIFS('Data manipulation'!$V$39:$V$42,'Data manipulation'!$X$39:$X$42,$E150,'Data manipulation'!$Y$39:$Y$42,$D150)</f>
        <v>0</v>
      </c>
      <c r="AB150" s="443">
        <f t="shared" ref="AB150:AB169" si="227">Y150*L150</f>
        <v>57.896591494639196</v>
      </c>
      <c r="AC150" s="251">
        <f t="shared" ref="AC150:AC169" si="228">Z150*M150</f>
        <v>0</v>
      </c>
      <c r="AD150" s="444">
        <f t="shared" ref="AD150:AD169" si="229">AA150*N150</f>
        <v>0</v>
      </c>
      <c r="AE150" s="262"/>
      <c r="AU150" s="260"/>
      <c r="AZ150" s="252"/>
    </row>
    <row r="151" spans="2:52" ht="15" customHeight="1">
      <c r="B151" s="227" t="str">
        <f t="shared" ref="B151:G151" si="230">B111</f>
        <v>CHTUMDSLE1</v>
      </c>
      <c r="C151" s="227" t="str">
        <f t="shared" si="230"/>
        <v>Commercial Heating Technology Urban Multi - Diesel - Existing 1</v>
      </c>
      <c r="D151" s="227" t="str">
        <f t="shared" si="230"/>
        <v>Urban</v>
      </c>
      <c r="E151" s="227" t="str">
        <f t="shared" si="230"/>
        <v>Multi storey</v>
      </c>
      <c r="F151" s="227" t="str">
        <f t="shared" si="230"/>
        <v>COMDSL,COMDSB</v>
      </c>
      <c r="G151" s="227" t="str">
        <f t="shared" si="230"/>
        <v>COMHUMB</v>
      </c>
      <c r="H151" s="230">
        <v>2019</v>
      </c>
      <c r="I151" s="250">
        <f t="shared" ref="I151:I158" si="231">ROUNDUP(AB151/($O151*$P151)*$R151,1)</f>
        <v>3311.2</v>
      </c>
      <c r="J151" s="250">
        <f t="shared" ref="J151:J157" si="232">ROUNDUP(AC151/($O151*$P151)*$R151,1)</f>
        <v>0</v>
      </c>
      <c r="K151" s="250">
        <f t="shared" ref="K151:K157" si="233">ROUNDUP(AD151/($O151*$P151)*$R151,1)</f>
        <v>0</v>
      </c>
      <c r="L151" s="460">
        <v>0.71</v>
      </c>
      <c r="M151" s="460">
        <v>0.71</v>
      </c>
      <c r="N151" s="460">
        <v>0.71</v>
      </c>
      <c r="O151" s="244">
        <f>31.536/1000</f>
        <v>3.1536000000000002E-2</v>
      </c>
      <c r="P151" s="458">
        <v>0.2</v>
      </c>
      <c r="Q151" s="245">
        <v>20</v>
      </c>
      <c r="R151" s="227">
        <v>1.05</v>
      </c>
      <c r="T151" s="268">
        <f t="shared" si="193"/>
        <v>29.4146487887324</v>
      </c>
      <c r="V151" s="589" t="str">
        <f>'Data manipulation'!$B$28</f>
        <v>Gas oil and diesel oil and biodiesel</v>
      </c>
      <c r="W151" s="254" t="s">
        <v>718</v>
      </c>
      <c r="X151" s="246">
        <v>2019</v>
      </c>
      <c r="Y151" s="432">
        <f>_xlfn.IFNA(INDEX('Data manipulation'!$C$23:$O$39,MATCH($V151,'Data manipulation'!$B$23:$B$39,0),MATCH($X151,'Data manipulation'!$C$22:$O$22,0))/1000,0)*SUMIFS('Regional split'!$F$4:$F$6,'Regional split'!$B$4:$B$6,Y$3)*SUMIFS('Data manipulation'!$V$39:$V$42,'Data manipulation'!$X$39:$X$42,$E151,'Data manipulation'!$Y$39:$Y$42,$D151)</f>
        <v>28.013903999596963</v>
      </c>
      <c r="Z151" s="270">
        <f>_xlfn.IFNA(INDEX('Data manipulation'!$C$23:$O$39,MATCH($V151,'Data manipulation'!$B$23:$B$39,0),MATCH($X151,'Data manipulation'!$C$22:$O$22,0))/1000,0)*SUMIFS('Regional split'!$F$4:$F$6,'Regional split'!$B$4:$B$6,Z$3)*SUMIFS('Data manipulation'!$V$39:$V$42,'Data manipulation'!$X$39:$X$42,$E151,'Data manipulation'!$Y$39:$Y$42,$D151)</f>
        <v>0</v>
      </c>
      <c r="AA151" s="454">
        <f>_xlfn.IFNA(INDEX('Data manipulation'!$C$23:$O$39,MATCH($V151,'Data manipulation'!$B$23:$B$39,0),MATCH($X151,'Data manipulation'!$C$22:$O$22,0))/1000,0)*SUMIFS('Regional split'!$F$4:$F$6,'Regional split'!$B$4:$B$6,AA$3)*SUMIFS('Data manipulation'!$V$39:$V$42,'Data manipulation'!$X$39:$X$42,$E151,'Data manipulation'!$Y$39:$Y$42,$D151)</f>
        <v>0</v>
      </c>
      <c r="AB151" s="443">
        <f t="shared" si="227"/>
        <v>19.889871839713841</v>
      </c>
      <c r="AC151" s="251">
        <f t="shared" si="228"/>
        <v>0</v>
      </c>
      <c r="AD151" s="444">
        <f t="shared" si="229"/>
        <v>0</v>
      </c>
      <c r="AE151" s="262"/>
      <c r="AU151" s="260"/>
      <c r="AZ151" s="252"/>
    </row>
    <row r="152" spans="2:52" ht="15" customHeight="1">
      <c r="B152" s="227" t="str">
        <f t="shared" ref="B152:G152" si="234">B112</f>
        <v>CHTUMWPEE1</v>
      </c>
      <c r="C152" s="227" t="str">
        <f t="shared" si="234"/>
        <v>Commercial Heating Technology Urban Multi - Wood pellets - Existing 1</v>
      </c>
      <c r="D152" s="227" t="str">
        <f t="shared" si="234"/>
        <v>Urban</v>
      </c>
      <c r="E152" s="227" t="str">
        <f t="shared" si="234"/>
        <v>Multi storey</v>
      </c>
      <c r="F152" s="227" t="str">
        <f t="shared" si="234"/>
        <v>COMWPE</v>
      </c>
      <c r="G152" s="227" t="str">
        <f t="shared" si="234"/>
        <v>COMHUMB</v>
      </c>
      <c r="H152" s="230">
        <v>2019</v>
      </c>
      <c r="I152" s="250">
        <f t="shared" si="231"/>
        <v>0</v>
      </c>
      <c r="J152" s="250">
        <f t="shared" si="232"/>
        <v>0</v>
      </c>
      <c r="K152" s="250">
        <f t="shared" si="233"/>
        <v>0</v>
      </c>
      <c r="L152" s="460">
        <v>0.61</v>
      </c>
      <c r="M152" s="460">
        <v>0.61</v>
      </c>
      <c r="N152" s="460">
        <v>0.61</v>
      </c>
      <c r="O152" s="244">
        <f t="shared" ref="O152:O169" si="235">31.536/1000</f>
        <v>3.1536000000000002E-2</v>
      </c>
      <c r="P152" s="458">
        <v>0.2</v>
      </c>
      <c r="Q152" s="245">
        <v>20</v>
      </c>
      <c r="R152" s="227">
        <v>1.05</v>
      </c>
      <c r="T152" s="268">
        <f t="shared" si="193"/>
        <v>0</v>
      </c>
      <c r="U152" s="268"/>
      <c r="W152" s="254" t="s">
        <v>849</v>
      </c>
      <c r="X152" s="246">
        <v>2019</v>
      </c>
      <c r="Y152" s="432">
        <f>_xlfn.IFNA(INDEX('Data manipulation'!$C$23:$O$39,MATCH($V152,'Data manipulation'!$B$23:$B$39,0),MATCH($X152,'Data manipulation'!$C$22:$O$22,0))/1000,0)*SUMIFS('Regional split'!$F$4:$F$6,'Regional split'!$B$4:$B$6,Y$3)*SUMIFS('Data manipulation'!$V$39:$V$42,'Data manipulation'!$X$39:$X$42,$E152,'Data manipulation'!$Y$39:$Y$42,$D152)</f>
        <v>0</v>
      </c>
      <c r="Z152" s="270">
        <f>_xlfn.IFNA(INDEX('Data manipulation'!$C$23:$O$39,MATCH($V152,'Data manipulation'!$B$23:$B$39,0),MATCH($X152,'Data manipulation'!$C$22:$O$22,0))/1000,0)*SUMIFS('Regional split'!$F$4:$F$6,'Regional split'!$B$4:$B$6,Z$3)*SUMIFS('Data manipulation'!$V$39:$V$42,'Data manipulation'!$X$39:$X$42,$E152,'Data manipulation'!$Y$39:$Y$42,$D152)</f>
        <v>0</v>
      </c>
      <c r="AA152" s="454">
        <f>_xlfn.IFNA(INDEX('Data manipulation'!$C$23:$O$39,MATCH($V152,'Data manipulation'!$B$23:$B$39,0),MATCH($X152,'Data manipulation'!$C$22:$O$22,0))/1000,0)*SUMIFS('Regional split'!$F$4:$F$6,'Regional split'!$B$4:$B$6,AA$3)*SUMIFS('Data manipulation'!$V$39:$V$42,'Data manipulation'!$X$39:$X$42,$E152,'Data manipulation'!$Y$39:$Y$42,$D152)</f>
        <v>0</v>
      </c>
      <c r="AB152" s="443">
        <f t="shared" si="227"/>
        <v>0</v>
      </c>
      <c r="AC152" s="251">
        <f t="shared" si="228"/>
        <v>0</v>
      </c>
      <c r="AD152" s="444">
        <f t="shared" si="229"/>
        <v>0</v>
      </c>
      <c r="AE152" s="262"/>
      <c r="AU152" s="260"/>
      <c r="AZ152" s="252"/>
    </row>
    <row r="153" spans="2:52" ht="15" customHeight="1">
      <c r="B153" s="227" t="str">
        <f t="shared" ref="B153:G153" si="236">B113</f>
        <v>CHTUMFIWE1</v>
      </c>
      <c r="C153" s="227" t="str">
        <f t="shared" si="236"/>
        <v>Commercial Heating Technology Urban Multi - Fire wood - Existing 1</v>
      </c>
      <c r="D153" s="227" t="str">
        <f t="shared" si="236"/>
        <v>Urban</v>
      </c>
      <c r="E153" s="227" t="str">
        <f t="shared" si="236"/>
        <v>Multi storey</v>
      </c>
      <c r="F153" s="227" t="str">
        <f t="shared" si="236"/>
        <v>COMFIW</v>
      </c>
      <c r="G153" s="227" t="str">
        <f t="shared" si="236"/>
        <v>COMHUMB</v>
      </c>
      <c r="H153" s="230">
        <v>2019</v>
      </c>
      <c r="I153" s="250">
        <f t="shared" si="231"/>
        <v>1493.5</v>
      </c>
      <c r="J153" s="250">
        <f t="shared" si="232"/>
        <v>0</v>
      </c>
      <c r="K153" s="250">
        <f t="shared" si="233"/>
        <v>0</v>
      </c>
      <c r="L153" s="460">
        <v>0.65000022993955098</v>
      </c>
      <c r="M153" s="460">
        <v>0.65000022993955098</v>
      </c>
      <c r="N153" s="460">
        <v>0.65000022993955098</v>
      </c>
      <c r="O153" s="244">
        <f t="shared" si="235"/>
        <v>3.1536000000000002E-2</v>
      </c>
      <c r="P153" s="458">
        <v>0.2</v>
      </c>
      <c r="Q153" s="245">
        <v>20</v>
      </c>
      <c r="R153" s="227">
        <v>1.05</v>
      </c>
      <c r="T153" s="268">
        <f t="shared" si="193"/>
        <v>14.491999796486269</v>
      </c>
      <c r="U153" s="268"/>
      <c r="V153" s="589" t="str">
        <f>'Data manipulation'!$B$31</f>
        <v>Primary solid biofuels</v>
      </c>
      <c r="W153" s="254" t="s">
        <v>176</v>
      </c>
      <c r="X153" s="246">
        <v>2019</v>
      </c>
      <c r="Y153" s="432">
        <f>_xlfn.IFNA(INDEX('Data manipulation'!$C$23:$O$39,MATCH($V153,'Data manipulation'!$B$23:$B$39,0),MATCH($X153,'Data manipulation'!$C$22:$O$22,0))/1000,0)*SUMIFS('Regional split'!$F$4:$F$6,'Regional split'!$B$4:$B$6,Y$3)*SUMIFS('Data manipulation'!$V$39:$V$42,'Data manipulation'!$X$39:$X$42,$E153,'Data manipulation'!$Y$39:$Y$42,$D153)</f>
        <v>13.801710587242193</v>
      </c>
      <c r="Z153" s="270">
        <f>_xlfn.IFNA(INDEX('Data manipulation'!$C$23:$O$39,MATCH($V153,'Data manipulation'!$B$23:$B$39,0),MATCH($X153,'Data manipulation'!$C$22:$O$22,0))/1000,0)*SUMIFS('Regional split'!$F$4:$F$6,'Regional split'!$B$4:$B$6,Z$3)*SUMIFS('Data manipulation'!$V$39:$V$42,'Data manipulation'!$X$39:$X$42,$E153,'Data manipulation'!$Y$39:$Y$42,$D153)</f>
        <v>0</v>
      </c>
      <c r="AA153" s="454">
        <f>_xlfn.IFNA(INDEX('Data manipulation'!$C$23:$O$39,MATCH($V153,'Data manipulation'!$B$23:$B$39,0),MATCH($X153,'Data manipulation'!$C$22:$O$22,0))/1000,0)*SUMIFS('Regional split'!$F$4:$F$6,'Regional split'!$B$4:$B$6,AA$3)*SUMIFS('Data manipulation'!$V$39:$V$42,'Data manipulation'!$X$39:$X$42,$E153,'Data manipulation'!$Y$39:$Y$42,$D153)</f>
        <v>0</v>
      </c>
      <c r="AB153" s="443">
        <f t="shared" si="227"/>
        <v>8.9711150552665604</v>
      </c>
      <c r="AC153" s="251">
        <f t="shared" si="228"/>
        <v>0</v>
      </c>
      <c r="AD153" s="444">
        <f t="shared" si="229"/>
        <v>0</v>
      </c>
      <c r="AE153" s="262"/>
      <c r="AU153" s="260"/>
      <c r="AZ153" s="252"/>
    </row>
    <row r="154" spans="2:52" ht="15" customHeight="1">
      <c r="B154" s="233" t="str">
        <f t="shared" ref="B154:G154" si="237">B114</f>
        <v>CHTUMCOAE1</v>
      </c>
      <c r="C154" s="233" t="str">
        <f t="shared" si="237"/>
        <v>Commercial Heating Technology Urban Multi - Coal - Existing 1</v>
      </c>
      <c r="D154" s="233" t="str">
        <f t="shared" si="237"/>
        <v>Urban</v>
      </c>
      <c r="E154" s="233" t="str">
        <f t="shared" si="237"/>
        <v>Multi storey</v>
      </c>
      <c r="F154" s="233" t="str">
        <f t="shared" si="237"/>
        <v>COMCOA</v>
      </c>
      <c r="G154" s="233" t="str">
        <f t="shared" si="237"/>
        <v>COMHUMB</v>
      </c>
      <c r="H154" s="230">
        <v>2019</v>
      </c>
      <c r="I154" s="250">
        <f t="shared" si="231"/>
        <v>2.3000000000000003</v>
      </c>
      <c r="J154" s="250">
        <f t="shared" si="232"/>
        <v>0</v>
      </c>
      <c r="K154" s="250">
        <f t="shared" si="233"/>
        <v>0</v>
      </c>
      <c r="L154" s="460">
        <v>0.7</v>
      </c>
      <c r="M154" s="460">
        <v>0.7</v>
      </c>
      <c r="N154" s="460">
        <v>0.7</v>
      </c>
      <c r="O154" s="244">
        <f t="shared" si="235"/>
        <v>3.1536000000000002E-2</v>
      </c>
      <c r="P154" s="458">
        <v>0.2</v>
      </c>
      <c r="Q154" s="245">
        <v>20</v>
      </c>
      <c r="R154" s="227">
        <v>1.05</v>
      </c>
      <c r="T154" s="268">
        <f t="shared" si="193"/>
        <v>2.0723657142857146E-2</v>
      </c>
      <c r="U154" s="268"/>
      <c r="V154" s="589" t="str">
        <f>'Data manipulation'!$B$23</f>
        <v>Solid fossil fuels, peat, peat products, oil shale and oil sands</v>
      </c>
      <c r="W154" s="254" t="s">
        <v>846</v>
      </c>
      <c r="X154" s="246">
        <v>2019</v>
      </c>
      <c r="Y154" s="432">
        <f>_xlfn.IFNA(INDEX('Data manipulation'!$C$23:$O$39,MATCH($V154,'Data manipulation'!$B$23:$B$39,0),MATCH($X154,'Data manipulation'!$C$22:$O$22,0))/1000,0)*SUMIFS('Regional split'!$F$4:$F$6,'Regional split'!$B$4:$B$6,Y$3)*SUMIFS('Data manipulation'!$V$39:$V$42,'Data manipulation'!$X$39:$X$42,$E154,'Data manipulation'!$Y$39:$Y$42,$D154)</f>
        <v>1.9016036E-2</v>
      </c>
      <c r="Z154" s="270">
        <f>_xlfn.IFNA(INDEX('Data manipulation'!$C$23:$O$39,MATCH($V154,'Data manipulation'!$B$23:$B$39,0),MATCH($X154,'Data manipulation'!$C$22:$O$22,0))/1000,0)*SUMIFS('Regional split'!$F$4:$F$6,'Regional split'!$B$4:$B$6,Z$3)*SUMIFS('Data manipulation'!$V$39:$V$42,'Data manipulation'!$X$39:$X$42,$E154,'Data manipulation'!$Y$39:$Y$42,$D154)</f>
        <v>0</v>
      </c>
      <c r="AA154" s="454">
        <f>_xlfn.IFNA(INDEX('Data manipulation'!$C$23:$O$39,MATCH($V154,'Data manipulation'!$B$23:$B$39,0),MATCH($X154,'Data manipulation'!$C$22:$O$22,0))/1000,0)*SUMIFS('Regional split'!$F$4:$F$6,'Regional split'!$B$4:$B$6,AA$3)*SUMIFS('Data manipulation'!$V$39:$V$42,'Data manipulation'!$X$39:$X$42,$E154,'Data manipulation'!$Y$39:$Y$42,$D154)</f>
        <v>0</v>
      </c>
      <c r="AB154" s="443">
        <f t="shared" si="227"/>
        <v>1.3311225199999999E-2</v>
      </c>
      <c r="AC154" s="251">
        <f t="shared" si="228"/>
        <v>0</v>
      </c>
      <c r="AD154" s="444">
        <f t="shared" si="229"/>
        <v>0</v>
      </c>
      <c r="AE154" s="262"/>
      <c r="AU154" s="260"/>
      <c r="AZ154" s="252"/>
    </row>
    <row r="155" spans="2:52" ht="15" customHeight="1">
      <c r="B155" s="233" t="str">
        <f t="shared" ref="B155:G155" si="238">B115</f>
        <v>CHTUMSOLE1</v>
      </c>
      <c r="C155" s="233" t="str">
        <f t="shared" si="238"/>
        <v>Commercial Heating Technology Urban Multi - Solar - Existing 1</v>
      </c>
      <c r="D155" s="233" t="str">
        <f t="shared" si="238"/>
        <v>Urban</v>
      </c>
      <c r="E155" s="233" t="str">
        <f t="shared" si="238"/>
        <v>Multi storey</v>
      </c>
      <c r="F155" s="233" t="str">
        <f t="shared" si="238"/>
        <v>COMSOL</v>
      </c>
      <c r="G155" s="233" t="str">
        <f t="shared" si="238"/>
        <v>COMHUMB</v>
      </c>
      <c r="H155" s="230">
        <v>2019</v>
      </c>
      <c r="I155" s="250">
        <f t="shared" si="231"/>
        <v>6.8999999999999995</v>
      </c>
      <c r="J155" s="250">
        <f t="shared" si="232"/>
        <v>0</v>
      </c>
      <c r="K155" s="250">
        <f t="shared" si="233"/>
        <v>0</v>
      </c>
      <c r="L155" s="460">
        <v>1</v>
      </c>
      <c r="M155" s="460">
        <v>1</v>
      </c>
      <c r="N155" s="460">
        <v>1</v>
      </c>
      <c r="O155" s="244">
        <f t="shared" si="235"/>
        <v>3.1536000000000002E-2</v>
      </c>
      <c r="P155" s="458">
        <v>0.2</v>
      </c>
      <c r="Q155" s="245">
        <v>20</v>
      </c>
      <c r="R155" s="227">
        <v>1.05</v>
      </c>
      <c r="T155" s="268">
        <f t="shared" si="193"/>
        <v>4.3519680000000005E-2</v>
      </c>
      <c r="U155" s="268"/>
      <c r="V155" s="589" t="str">
        <f>'Data manipulation'!$B$29</f>
        <v>Solar thermal</v>
      </c>
      <c r="W155" s="254" t="s">
        <v>168</v>
      </c>
      <c r="X155" s="246">
        <v>2019</v>
      </c>
      <c r="Y155" s="432">
        <f>_xlfn.IFNA(INDEX('Data manipulation'!$C$23:$O$39,MATCH($V155,'Data manipulation'!$B$23:$B$39,0),MATCH($X155,'Data manipulation'!$C$22:$O$22,0))/1000,0)*SUMIFS('Regional split'!$F$4:$F$6,'Regional split'!$B$4:$B$6,Y$3)*SUMIFS('Data manipulation'!$V$39:$V$42,'Data manipulation'!$X$39:$X$42,$E155,'Data manipulation'!$Y$39:$Y$42,$D155)</f>
        <v>4.0899247999999999E-2</v>
      </c>
      <c r="Z155" s="270">
        <f>_xlfn.IFNA(INDEX('Data manipulation'!$C$23:$O$39,MATCH($V155,'Data manipulation'!$B$23:$B$39,0),MATCH($X155,'Data manipulation'!$C$22:$O$22,0))/1000,0)*SUMIFS('Regional split'!$F$4:$F$6,'Regional split'!$B$4:$B$6,Z$3)*SUMIFS('Data manipulation'!$V$39:$V$42,'Data manipulation'!$X$39:$X$42,$E155,'Data manipulation'!$Y$39:$Y$42,$D155)</f>
        <v>0</v>
      </c>
      <c r="AA155" s="454">
        <f>_xlfn.IFNA(INDEX('Data manipulation'!$C$23:$O$39,MATCH($V155,'Data manipulation'!$B$23:$B$39,0),MATCH($X155,'Data manipulation'!$C$22:$O$22,0))/1000,0)*SUMIFS('Regional split'!$F$4:$F$6,'Regional split'!$B$4:$B$6,AA$3)*SUMIFS('Data manipulation'!$V$39:$V$42,'Data manipulation'!$X$39:$X$42,$E155,'Data manipulation'!$Y$39:$Y$42,$D155)</f>
        <v>0</v>
      </c>
      <c r="AB155" s="443">
        <f t="shared" si="227"/>
        <v>4.0899247999999999E-2</v>
      </c>
      <c r="AC155" s="251">
        <f t="shared" si="228"/>
        <v>0</v>
      </c>
      <c r="AD155" s="444">
        <f t="shared" si="229"/>
        <v>0</v>
      </c>
      <c r="AE155" s="262"/>
      <c r="AU155" s="260"/>
      <c r="AZ155" s="252"/>
    </row>
    <row r="156" spans="2:52" ht="15" customHeight="1">
      <c r="B156" s="233" t="str">
        <f t="shared" ref="B156:G156" si="239">B116</f>
        <v>CHTUMELCHE1</v>
      </c>
      <c r="C156" s="233" t="str">
        <f t="shared" si="239"/>
        <v>Commercial Heating Technology Urban Multi - Electricity Heating - Existing 1</v>
      </c>
      <c r="D156" s="233" t="str">
        <f t="shared" si="239"/>
        <v>Urban</v>
      </c>
      <c r="E156" s="233" t="str">
        <f t="shared" si="239"/>
        <v>Multi storey</v>
      </c>
      <c r="F156" s="233" t="str">
        <f t="shared" si="239"/>
        <v>COMELCH</v>
      </c>
      <c r="G156" s="233" t="str">
        <f t="shared" si="239"/>
        <v>COMHUMB</v>
      </c>
      <c r="H156" s="230">
        <v>2019</v>
      </c>
      <c r="I156" s="250">
        <f t="shared" si="231"/>
        <v>1134.5999999999999</v>
      </c>
      <c r="J156" s="250">
        <f t="shared" si="232"/>
        <v>0</v>
      </c>
      <c r="K156" s="250">
        <f t="shared" si="233"/>
        <v>0</v>
      </c>
      <c r="L156" s="460">
        <v>1</v>
      </c>
      <c r="M156" s="460">
        <v>1</v>
      </c>
      <c r="N156" s="460">
        <v>1</v>
      </c>
      <c r="O156" s="244">
        <f t="shared" si="235"/>
        <v>3.1536000000000002E-2</v>
      </c>
      <c r="P156" s="458">
        <v>0.2</v>
      </c>
      <c r="Q156" s="245">
        <v>30</v>
      </c>
      <c r="R156" s="227">
        <v>1.05</v>
      </c>
      <c r="T156" s="268">
        <f t="shared" si="193"/>
        <v>7.1561491199999994</v>
      </c>
      <c r="U156" s="268"/>
      <c r="V156" s="589" t="str">
        <f>'Data manipulation'!$B$33</f>
        <v>Electricity</v>
      </c>
      <c r="W156" s="254" t="s">
        <v>169</v>
      </c>
      <c r="X156" s="246">
        <v>2019</v>
      </c>
      <c r="Y156" s="432">
        <f>_xlfn.IFNA(INDEX('Data manipulation'!$C$23:$O$39,MATCH($V156,'Data manipulation'!$B$23:$B$39,0),MATCH($X156,'Data manipulation'!$C$22:$O$22,0))/1000,0)*SUMIFS('Regional split'!$F$4:$F$6,'Regional split'!$B$4:$B$6,Y$3)*SUMIFS('Data manipulation'!$V$39:$V$42,'Data manipulation'!$X$39:$X$42,$E156,'Data manipulation'!$Y$39:$Y$42,$D156)</f>
        <v>6.8149830528862045</v>
      </c>
      <c r="Z156" s="270">
        <f>_xlfn.IFNA(INDEX('Data manipulation'!$C$23:$O$39,MATCH($V156,'Data manipulation'!$B$23:$B$39,0),MATCH($X156,'Data manipulation'!$C$22:$O$22,0))/1000,0)*SUMIFS('Regional split'!$F$4:$F$6,'Regional split'!$B$4:$B$6,Z$3)*SUMIFS('Data manipulation'!$V$39:$V$42,'Data manipulation'!$X$39:$X$42,$E156,'Data manipulation'!$Y$39:$Y$42,$D156)</f>
        <v>0</v>
      </c>
      <c r="AA156" s="454">
        <f>_xlfn.IFNA(INDEX('Data manipulation'!$C$23:$O$39,MATCH($V156,'Data manipulation'!$B$23:$B$39,0),MATCH($X156,'Data manipulation'!$C$22:$O$22,0))/1000,0)*SUMIFS('Regional split'!$F$4:$F$6,'Regional split'!$B$4:$B$6,AA$3)*SUMIFS('Data manipulation'!$V$39:$V$42,'Data manipulation'!$X$39:$X$42,$E156,'Data manipulation'!$Y$39:$Y$42,$D156)</f>
        <v>0</v>
      </c>
      <c r="AB156" s="443">
        <f t="shared" si="227"/>
        <v>6.8149830528862045</v>
      </c>
      <c r="AC156" s="251">
        <f t="shared" si="228"/>
        <v>0</v>
      </c>
      <c r="AD156" s="444">
        <f t="shared" si="229"/>
        <v>0</v>
      </c>
      <c r="AU156" s="260"/>
      <c r="AZ156" s="252"/>
    </row>
    <row r="157" spans="2:52" ht="15" customHeight="1">
      <c r="B157" s="233" t="str">
        <f t="shared" ref="B157:G157" si="240">B117</f>
        <v>CHTUMELCHE2</v>
      </c>
      <c r="C157" s="233" t="str">
        <f t="shared" si="240"/>
        <v>Commercial Heating Technology Urban Multi - Electricity Heating - Existing 2</v>
      </c>
      <c r="D157" s="233" t="str">
        <f t="shared" si="240"/>
        <v>Urban</v>
      </c>
      <c r="E157" s="233" t="str">
        <f t="shared" si="240"/>
        <v>Multi storey</v>
      </c>
      <c r="F157" s="233" t="str">
        <f t="shared" si="240"/>
        <v>COMELCH</v>
      </c>
      <c r="G157" s="233" t="str">
        <f t="shared" si="240"/>
        <v>COMHUMB</v>
      </c>
      <c r="H157" s="230">
        <v>2019</v>
      </c>
      <c r="I157" s="250">
        <f t="shared" si="231"/>
        <v>362.5</v>
      </c>
      <c r="J157" s="250">
        <f t="shared" si="232"/>
        <v>0</v>
      </c>
      <c r="K157" s="250">
        <f t="shared" si="233"/>
        <v>0</v>
      </c>
      <c r="L157" s="460">
        <v>2.3149999999999999</v>
      </c>
      <c r="M157" s="460">
        <v>2.3149999999999999</v>
      </c>
      <c r="N157" s="460">
        <v>2.3149999999999999</v>
      </c>
      <c r="O157" s="244">
        <f t="shared" si="235"/>
        <v>3.1536000000000002E-2</v>
      </c>
      <c r="P157" s="458">
        <v>0.2</v>
      </c>
      <c r="Q157" s="245">
        <v>30</v>
      </c>
      <c r="R157" s="227">
        <v>1.05</v>
      </c>
      <c r="T157" s="268">
        <f t="shared" si="193"/>
        <v>0.98762850971922256</v>
      </c>
      <c r="U157" s="268"/>
      <c r="V157" s="589" t="str">
        <f>'Data manipulation'!$B$30</f>
        <v>Ambient heat (heat pumps)</v>
      </c>
      <c r="W157" s="254" t="s">
        <v>170</v>
      </c>
      <c r="X157" s="246">
        <v>2019</v>
      </c>
      <c r="Y157" s="432">
        <f>_xlfn.IFNA(INDEX('Data manipulation'!$C$23:$O$39,MATCH($V157,'Data manipulation'!$B$23:$B$39,0),MATCH($X157,'Data manipulation'!$C$22:$O$22,0))/1000,0)*SUMIFS('Regional split'!$F$4:$F$6,'Regional split'!$B$4:$B$6,Y$3)*SUMIFS('Data manipulation'!$V$39:$V$42,'Data manipulation'!$X$39:$X$42,$E157,'Data manipulation'!$Y$39:$Y$42,$D157)</f>
        <v>0.94043768000000005</v>
      </c>
      <c r="Z157" s="270">
        <f>_xlfn.IFNA(INDEX('Data manipulation'!$C$23:$O$39,MATCH($V157,'Data manipulation'!$B$23:$B$39,0),MATCH($X157,'Data manipulation'!$C$22:$O$22,0))/1000,0)*SUMIFS('Regional split'!$F$4:$F$6,'Regional split'!$B$4:$B$6,Z$3)*SUMIFS('Data manipulation'!$V$39:$V$42,'Data manipulation'!$X$39:$X$42,$E157,'Data manipulation'!$Y$39:$Y$42,$D157)</f>
        <v>0</v>
      </c>
      <c r="AA157" s="454">
        <f>_xlfn.IFNA(INDEX('Data manipulation'!$C$23:$O$39,MATCH($V157,'Data manipulation'!$B$23:$B$39,0),MATCH($X157,'Data manipulation'!$C$22:$O$22,0))/1000,0)*SUMIFS('Regional split'!$F$4:$F$6,'Regional split'!$B$4:$B$6,AA$3)*SUMIFS('Data manipulation'!$V$39:$V$42,'Data manipulation'!$X$39:$X$42,$E157,'Data manipulation'!$Y$39:$Y$42,$D157)</f>
        <v>0</v>
      </c>
      <c r="AB157" s="443">
        <f t="shared" si="227"/>
        <v>2.1771132292000002</v>
      </c>
      <c r="AC157" s="251">
        <f t="shared" si="228"/>
        <v>0</v>
      </c>
      <c r="AD157" s="444">
        <f t="shared" si="229"/>
        <v>0</v>
      </c>
      <c r="AU157" s="260"/>
      <c r="AZ157" s="252"/>
    </row>
    <row r="158" spans="2:52" ht="15" customHeight="1">
      <c r="B158" s="233" t="str">
        <f t="shared" ref="B158:G158" si="241">B118</f>
        <v>CHTUMHCEE1</v>
      </c>
      <c r="C158" s="233" t="str">
        <f t="shared" si="241"/>
        <v>Commercial Heating Technology Urban Multi - District heating Central - Existing 1</v>
      </c>
      <c r="D158" s="233" t="str">
        <f t="shared" si="241"/>
        <v>Urban</v>
      </c>
      <c r="E158" s="233" t="str">
        <f t="shared" si="241"/>
        <v>Multi storey</v>
      </c>
      <c r="F158" s="233" t="str">
        <f t="shared" si="241"/>
        <v>COMHCE</v>
      </c>
      <c r="G158" s="233" t="str">
        <f t="shared" si="241"/>
        <v>COMHUMX</v>
      </c>
      <c r="H158" s="230">
        <v>2019</v>
      </c>
      <c r="I158" s="250">
        <f t="shared" si="231"/>
        <v>2068.5</v>
      </c>
      <c r="J158" s="565">
        <v>0</v>
      </c>
      <c r="K158" s="565">
        <v>0</v>
      </c>
      <c r="L158" s="460">
        <v>0.95</v>
      </c>
      <c r="M158" s="460">
        <v>0.95</v>
      </c>
      <c r="N158" s="460">
        <v>0.95</v>
      </c>
      <c r="O158" s="244">
        <f t="shared" si="235"/>
        <v>3.1536000000000002E-2</v>
      </c>
      <c r="P158" s="458">
        <v>0.2</v>
      </c>
      <c r="Q158" s="245">
        <v>30</v>
      </c>
      <c r="R158" s="227">
        <v>1.05</v>
      </c>
      <c r="T158" s="268">
        <f t="shared" si="193"/>
        <v>13.733098105263162</v>
      </c>
      <c r="U158" s="268"/>
      <c r="V158" s="589" t="str">
        <f>'Data manipulation'!$B$34</f>
        <v>Heat</v>
      </c>
      <c r="W158" s="254" t="s">
        <v>171</v>
      </c>
      <c r="X158" s="246">
        <v>2019</v>
      </c>
      <c r="Y158" s="432">
        <f>_xlfn.IFNA(INDEX('Data manipulation'!$C$23:$O$39,MATCH($V158,'Data manipulation'!$B$23:$B$39,0),MATCH($X158,'Data manipulation'!$C$22:$O$22,0))/1000,0)*SUMIFS('Regional split'!$F$4:$F$6,'Regional split'!$B$4:$B$6,Y$3)*SUMIFS('Data manipulation'!$V$39:$V$42,'Data manipulation'!$X$39:$X$42,$E158,'Data manipulation'!$Y$39:$Y$42,$D158)</f>
        <v>13.078616814445036</v>
      </c>
      <c r="Z158" s="270">
        <f>_xlfn.IFNA(INDEX('Data manipulation'!$C$23:$O$39,MATCH($V158,'Data manipulation'!$B$23:$B$39,0),MATCH($X158,'Data manipulation'!$C$22:$O$22,0))/1000,0)*SUMIFS('Regional split'!$F$4:$F$6,'Regional split'!$B$4:$B$6,Z$3)*SUMIFS('Data manipulation'!$V$39:$V$42,'Data manipulation'!$X$39:$X$42,$E158,'Data manipulation'!$Y$39:$Y$42,$D158)</f>
        <v>0</v>
      </c>
      <c r="AA158" s="454">
        <f>_xlfn.IFNA(INDEX('Data manipulation'!$C$23:$O$39,MATCH($V158,'Data manipulation'!$B$23:$B$39,0),MATCH($X158,'Data manipulation'!$C$22:$O$22,0))/1000,0)*SUMIFS('Regional split'!$F$4:$F$6,'Regional split'!$B$4:$B$6,AA$3)*SUMIFS('Data manipulation'!$V$39:$V$42,'Data manipulation'!$X$39:$X$42,$E158,'Data manipulation'!$Y$39:$Y$42,$D158)</f>
        <v>0</v>
      </c>
      <c r="AB158" s="443">
        <f t="shared" si="227"/>
        <v>12.424685973722784</v>
      </c>
      <c r="AC158" s="251">
        <f t="shared" si="228"/>
        <v>0</v>
      </c>
      <c r="AD158" s="444">
        <f t="shared" si="229"/>
        <v>0</v>
      </c>
      <c r="AU158" s="260"/>
      <c r="AZ158" s="252"/>
    </row>
    <row r="159" spans="2:52" ht="15" customHeight="1" thickBot="1">
      <c r="B159" s="255" t="str">
        <f t="shared" ref="B159:G159" si="242">B119</f>
        <v>CHTUMLPGE1</v>
      </c>
      <c r="C159" s="255" t="str">
        <f t="shared" si="242"/>
        <v>Commercial Heating Technology Urban Multi - LPG - Existing 1</v>
      </c>
      <c r="D159" s="528" t="str">
        <f t="shared" si="242"/>
        <v>Urban</v>
      </c>
      <c r="E159" s="528" t="str">
        <f t="shared" si="242"/>
        <v>Multi storey</v>
      </c>
      <c r="F159" s="255" t="str">
        <f t="shared" si="242"/>
        <v>COMLPG</v>
      </c>
      <c r="G159" s="255" t="str">
        <f t="shared" si="242"/>
        <v>COMHUMB</v>
      </c>
      <c r="H159" s="422">
        <v>2019</v>
      </c>
      <c r="I159" s="297">
        <f t="shared" ref="I159" si="243">ROUNDUP(AB159/($O159*$P159)*$R159,1)</f>
        <v>258.90000000000003</v>
      </c>
      <c r="J159" s="297">
        <f t="shared" ref="J159" si="244">ROUNDUP(AC159/($O159*$P159)*$R159,1)</f>
        <v>0</v>
      </c>
      <c r="K159" s="297">
        <f t="shared" ref="K159" si="245">ROUNDUP(AD159/($O159*$P159)*$R159,1)</f>
        <v>0</v>
      </c>
      <c r="L159" s="461">
        <v>0.95</v>
      </c>
      <c r="M159" s="461">
        <v>0.95</v>
      </c>
      <c r="N159" s="461">
        <v>0.95</v>
      </c>
      <c r="O159" s="257">
        <f t="shared" si="235"/>
        <v>3.1536000000000002E-2</v>
      </c>
      <c r="P159" s="458">
        <v>0.2</v>
      </c>
      <c r="Q159" s="258">
        <v>30</v>
      </c>
      <c r="R159" s="227">
        <v>1.05</v>
      </c>
      <c r="T159" s="268">
        <f t="shared" si="193"/>
        <v>1.7188779789473689</v>
      </c>
      <c r="U159" s="268"/>
      <c r="V159" s="590" t="str">
        <f>'Data manipulation'!$B$25</f>
        <v>Liquefied petroleum gas</v>
      </c>
      <c r="W159" s="427" t="s">
        <v>759</v>
      </c>
      <c r="X159" s="246">
        <v>2019</v>
      </c>
      <c r="Y159" s="433">
        <f>_xlfn.IFNA(INDEX('Data manipulation'!$C$23:$O$39,MATCH($V159,'Data manipulation'!$B$23:$B$39,0),MATCH($X159,'Data manipulation'!$C$22:$O$22,0))/1000,0)*SUMIFS('Regional split'!$F$4:$F$6,'Regional split'!$B$4:$B$6,Y$3)*SUMIFS('Data manipulation'!$V$39:$V$42,'Data manipulation'!$X$39:$X$42,$E159,'Data manipulation'!$Y$39:$Y$42,$D159)</f>
        <v>1.6367648212117647</v>
      </c>
      <c r="Z159" s="430">
        <f>_xlfn.IFNA(INDEX('Data manipulation'!$C$23:$O$39,MATCH($V159,'Data manipulation'!$B$23:$B$39,0),MATCH($X159,'Data manipulation'!$C$22:$O$22,0))/1000,0)*SUMIFS('Regional split'!$F$4:$F$6,'Regional split'!$B$4:$B$6,Z$3)*SUMIFS('Data manipulation'!$V$39:$V$42,'Data manipulation'!$X$39:$X$42,$E159,'Data manipulation'!$Y$39:$Y$42,$D159)</f>
        <v>0</v>
      </c>
      <c r="AA159" s="455">
        <f>_xlfn.IFNA(INDEX('Data manipulation'!$C$23:$O$39,MATCH($V159,'Data manipulation'!$B$23:$B$39,0),MATCH($X159,'Data manipulation'!$C$22:$O$22,0))/1000,0)*SUMIFS('Regional split'!$F$4:$F$6,'Regional split'!$B$4:$B$6,AA$3)*SUMIFS('Data manipulation'!$V$39:$V$42,'Data manipulation'!$X$39:$X$42,$E159,'Data manipulation'!$Y$39:$Y$42,$D159)</f>
        <v>0</v>
      </c>
      <c r="AB159" s="450">
        <f t="shared" si="227"/>
        <v>1.5549265801511765</v>
      </c>
      <c r="AC159" s="277">
        <f t="shared" si="228"/>
        <v>0</v>
      </c>
      <c r="AD159" s="446">
        <f t="shared" si="229"/>
        <v>0</v>
      </c>
      <c r="AU159" s="260"/>
      <c r="AZ159" s="252"/>
    </row>
    <row r="160" spans="2:52" ht="15" customHeight="1">
      <c r="B160" s="233" t="str">
        <f t="shared" ref="B160:G160" si="246">B120</f>
        <v>CHTRMNGAE1</v>
      </c>
      <c r="C160" s="233" t="str">
        <f t="shared" si="246"/>
        <v>Commercial Heating Technology Rural Multi - Natural Gas - Existing 1</v>
      </c>
      <c r="D160" s="233" t="str">
        <f t="shared" si="246"/>
        <v>Rural</v>
      </c>
      <c r="E160" s="233" t="str">
        <f t="shared" si="246"/>
        <v>Multi storey</v>
      </c>
      <c r="F160" s="233" t="str">
        <f t="shared" si="246"/>
        <v>COMNGA,COMSNG</v>
      </c>
      <c r="G160" s="233" t="str">
        <f t="shared" si="246"/>
        <v>COMHRMB</v>
      </c>
      <c r="H160" s="259">
        <v>2019</v>
      </c>
      <c r="I160" s="250">
        <f>ROUNDUP(AB160/($O160*$P160)*$R160,1)</f>
        <v>599.5</v>
      </c>
      <c r="J160" s="250">
        <f>ROUNDUP(AC160/($O160*$P160)*$R160,1)</f>
        <v>0</v>
      </c>
      <c r="K160" s="250">
        <f>ROUNDUP(AD160/($O160*$P160)*$R160,1)</f>
        <v>0</v>
      </c>
      <c r="L160" s="460">
        <v>0.79</v>
      </c>
      <c r="M160" s="460">
        <v>0.79</v>
      </c>
      <c r="N160" s="460">
        <v>0.79</v>
      </c>
      <c r="O160" s="244">
        <f t="shared" si="235"/>
        <v>3.1536000000000002E-2</v>
      </c>
      <c r="P160" s="458">
        <v>0.2</v>
      </c>
      <c r="Q160" s="245">
        <v>25</v>
      </c>
      <c r="R160" s="227">
        <v>1.05</v>
      </c>
      <c r="T160" s="268">
        <f t="shared" si="193"/>
        <v>4.786286582278481</v>
      </c>
      <c r="U160" s="268"/>
      <c r="V160" s="589" t="str">
        <f>'Data manipulation'!$B$36</f>
        <v>Natural gas and biogas</v>
      </c>
      <c r="W160" s="246" t="s">
        <v>167</v>
      </c>
      <c r="X160" s="246">
        <v>2019</v>
      </c>
      <c r="Y160" s="432">
        <f>_xlfn.IFNA(INDEX('Data manipulation'!$C$23:$O$39,MATCH($V160,'Data manipulation'!$B$23:$B$39,0),MATCH($X160,'Data manipulation'!$C$22:$O$22,0))/1000,0)*SUMIFS('Regional split'!$F$4:$F$6,'Regional split'!$B$4:$B$6,Y$3)*SUMIFS('Data manipulation'!$V$39:$V$42,'Data manipulation'!$X$39:$X$42,$E160,'Data manipulation'!$Y$39:$Y$42,$D160)</f>
        <v>4.5577613637255334</v>
      </c>
      <c r="Z160" s="270">
        <f>_xlfn.IFNA(INDEX('Data manipulation'!$C$23:$O$39,MATCH($V160,'Data manipulation'!$B$23:$B$39,0),MATCH($X160,'Data manipulation'!$C$22:$O$22,0))/1000,0)*SUMIFS('Regional split'!$F$4:$F$6,'Regional split'!$B$4:$B$6,Z$3)*SUMIFS('Data manipulation'!$V$39:$V$42,'Data manipulation'!$X$39:$X$42,$E160,'Data manipulation'!$Y$39:$Y$42,$D160)</f>
        <v>0</v>
      </c>
      <c r="AA160" s="454">
        <f>_xlfn.IFNA(INDEX('Data manipulation'!$C$23:$O$39,MATCH($V160,'Data manipulation'!$B$23:$B$39,0),MATCH($X160,'Data manipulation'!$C$22:$O$22,0))/1000,0)*SUMIFS('Regional split'!$F$4:$F$6,'Regional split'!$B$4:$B$6,AA$3)*SUMIFS('Data manipulation'!$V$39:$V$42,'Data manipulation'!$X$39:$X$42,$E160,'Data manipulation'!$Y$39:$Y$42,$D160)</f>
        <v>0</v>
      </c>
      <c r="AB160" s="451">
        <f t="shared" si="227"/>
        <v>3.6006314773431716</v>
      </c>
      <c r="AC160" s="278">
        <f t="shared" si="228"/>
        <v>0</v>
      </c>
      <c r="AD160" s="447">
        <f t="shared" si="229"/>
        <v>0</v>
      </c>
      <c r="AU160" s="260"/>
      <c r="AZ160" s="252"/>
    </row>
    <row r="161" spans="2:52" ht="15" customHeight="1">
      <c r="B161" s="233" t="str">
        <f t="shared" ref="B161:G161" si="247">B121</f>
        <v>CHTRMDSLE1</v>
      </c>
      <c r="C161" s="233" t="str">
        <f t="shared" si="247"/>
        <v>Commercial Heating Technology Rural Multi - Diesel - Existing 1</v>
      </c>
      <c r="D161" s="233" t="str">
        <f t="shared" si="247"/>
        <v>Rural</v>
      </c>
      <c r="E161" s="233" t="str">
        <f t="shared" si="247"/>
        <v>Multi storey</v>
      </c>
      <c r="F161" s="233" t="str">
        <f t="shared" si="247"/>
        <v>COMDSL,COMDSB</v>
      </c>
      <c r="G161" s="233" t="str">
        <f t="shared" si="247"/>
        <v>COMHRMB</v>
      </c>
      <c r="H161" s="259">
        <v>2019</v>
      </c>
      <c r="I161" s="250">
        <f t="shared" ref="I161:I167" si="248">ROUNDUP(AB161/($O161*$P161)*$R161,1)</f>
        <v>208.9</v>
      </c>
      <c r="J161" s="250">
        <f t="shared" ref="J161:J167" si="249">ROUNDUP(AC161/($O161*$P161)*$R161,1)</f>
        <v>0</v>
      </c>
      <c r="K161" s="250">
        <f t="shared" ref="K161:K167" si="250">ROUNDUP(AD161/($O161*$P161)*$R161,1)</f>
        <v>0</v>
      </c>
      <c r="L161" s="460">
        <v>0.79</v>
      </c>
      <c r="M161" s="460">
        <v>0.79</v>
      </c>
      <c r="N161" s="460">
        <v>0.79</v>
      </c>
      <c r="O161" s="244">
        <f t="shared" si="235"/>
        <v>3.1536000000000002E-2</v>
      </c>
      <c r="P161" s="458">
        <v>0.2</v>
      </c>
      <c r="Q161" s="245">
        <v>20</v>
      </c>
      <c r="R161" s="227">
        <v>1.05</v>
      </c>
      <c r="T161" s="268">
        <f t="shared" si="193"/>
        <v>1.6678152911392408</v>
      </c>
      <c r="V161" s="589" t="str">
        <f>'Data manipulation'!$B$28</f>
        <v>Gas oil and diesel oil and biodiesel</v>
      </c>
      <c r="W161" s="254" t="s">
        <v>718</v>
      </c>
      <c r="X161" s="246">
        <v>2019</v>
      </c>
      <c r="Y161" s="432">
        <f>_xlfn.IFNA(INDEX('Data manipulation'!$C$23:$O$39,MATCH($V161,'Data manipulation'!$B$23:$B$39,0),MATCH($X161,'Data manipulation'!$C$22:$O$22,0))/1000,0)*SUMIFS('Regional split'!$F$4:$F$6,'Regional split'!$B$4:$B$6,Y$3)*SUMIFS('Data manipulation'!$V$39:$V$42,'Data manipulation'!$X$39:$X$42,$E161,'Data manipulation'!$Y$39:$Y$42,$D161)</f>
        <v>1.5878326153617712</v>
      </c>
      <c r="Z161" s="270">
        <f>_xlfn.IFNA(INDEX('Data manipulation'!$C$23:$O$39,MATCH($V161,'Data manipulation'!$B$23:$B$39,0),MATCH($X161,'Data manipulation'!$C$22:$O$22,0))/1000,0)*SUMIFS('Regional split'!$F$4:$F$6,'Regional split'!$B$4:$B$6,Z$3)*SUMIFS('Data manipulation'!$V$39:$V$42,'Data manipulation'!$X$39:$X$42,$E161,'Data manipulation'!$Y$39:$Y$42,$D161)</f>
        <v>0</v>
      </c>
      <c r="AA161" s="454">
        <f>_xlfn.IFNA(INDEX('Data manipulation'!$C$23:$O$39,MATCH($V161,'Data manipulation'!$B$23:$B$39,0),MATCH($X161,'Data manipulation'!$C$22:$O$22,0))/1000,0)*SUMIFS('Regional split'!$F$4:$F$6,'Regional split'!$B$4:$B$6,AA$3)*SUMIFS('Data manipulation'!$V$39:$V$42,'Data manipulation'!$X$39:$X$42,$E161,'Data manipulation'!$Y$39:$Y$42,$D161)</f>
        <v>0</v>
      </c>
      <c r="AB161" s="443">
        <f t="shared" si="227"/>
        <v>1.2543877661357994</v>
      </c>
      <c r="AC161" s="251">
        <f t="shared" si="228"/>
        <v>0</v>
      </c>
      <c r="AD161" s="444">
        <f t="shared" si="229"/>
        <v>0</v>
      </c>
      <c r="AU161" s="260"/>
      <c r="AZ161" s="252"/>
    </row>
    <row r="162" spans="2:52" ht="15" customHeight="1">
      <c r="B162" s="233" t="str">
        <f t="shared" ref="B162:G162" si="251">B122</f>
        <v>CHTRMWPEE1</v>
      </c>
      <c r="C162" s="233" t="str">
        <f t="shared" si="251"/>
        <v>Commercial Heating Technology Rural Multi - Wood pellets - Existing 1</v>
      </c>
      <c r="D162" s="233" t="str">
        <f t="shared" si="251"/>
        <v>Rural</v>
      </c>
      <c r="E162" s="233" t="str">
        <f t="shared" si="251"/>
        <v>Multi storey</v>
      </c>
      <c r="F162" s="233" t="str">
        <f t="shared" si="251"/>
        <v>COMWPE</v>
      </c>
      <c r="G162" s="233" t="str">
        <f t="shared" si="251"/>
        <v>COMHRMB</v>
      </c>
      <c r="H162" s="259">
        <v>2019</v>
      </c>
      <c r="I162" s="250">
        <f t="shared" si="248"/>
        <v>0</v>
      </c>
      <c r="J162" s="250">
        <f t="shared" si="249"/>
        <v>0</v>
      </c>
      <c r="K162" s="250">
        <f t="shared" si="250"/>
        <v>0</v>
      </c>
      <c r="L162" s="460">
        <v>0.67</v>
      </c>
      <c r="M162" s="460">
        <v>0.67</v>
      </c>
      <c r="N162" s="460">
        <v>0.67</v>
      </c>
      <c r="O162" s="244">
        <f>31.536/1000</f>
        <v>3.1536000000000002E-2</v>
      </c>
      <c r="P162" s="458">
        <v>0.2</v>
      </c>
      <c r="Q162" s="245">
        <v>20</v>
      </c>
      <c r="R162" s="227">
        <v>1.05</v>
      </c>
      <c r="T162" s="268">
        <f t="shared" si="193"/>
        <v>0</v>
      </c>
      <c r="U162" s="268"/>
      <c r="W162" s="254" t="s">
        <v>849</v>
      </c>
      <c r="X162" s="246">
        <v>2019</v>
      </c>
      <c r="Y162" s="432">
        <f>_xlfn.IFNA(INDEX('Data manipulation'!$C$23:$O$39,MATCH($V162,'Data manipulation'!$B$23:$B$39,0),MATCH($X162,'Data manipulation'!$C$22:$O$22,0))/1000,0)*SUMIFS('Regional split'!$F$4:$F$6,'Regional split'!$B$4:$B$6,Y$3)*SUMIFS('Data manipulation'!$V$39:$V$42,'Data manipulation'!$X$39:$X$42,$E162,'Data manipulation'!$Y$39:$Y$42,$D162)</f>
        <v>0</v>
      </c>
      <c r="Z162" s="270">
        <f>_xlfn.IFNA(INDEX('Data manipulation'!$C$23:$O$39,MATCH($V162,'Data manipulation'!$B$23:$B$39,0),MATCH($X162,'Data manipulation'!$C$22:$O$22,0))/1000,0)*SUMIFS('Regional split'!$F$4:$F$6,'Regional split'!$B$4:$B$6,Z$3)*SUMIFS('Data manipulation'!$V$39:$V$42,'Data manipulation'!$X$39:$X$42,$E162,'Data manipulation'!$Y$39:$Y$42,$D162)</f>
        <v>0</v>
      </c>
      <c r="AA162" s="454">
        <f>_xlfn.IFNA(INDEX('Data manipulation'!$C$23:$O$39,MATCH($V162,'Data manipulation'!$B$23:$B$39,0),MATCH($X162,'Data manipulation'!$C$22:$O$22,0))/1000,0)*SUMIFS('Regional split'!$F$4:$F$6,'Regional split'!$B$4:$B$6,AA$3)*SUMIFS('Data manipulation'!$V$39:$V$42,'Data manipulation'!$X$39:$X$42,$E162,'Data manipulation'!$Y$39:$Y$42,$D162)</f>
        <v>0</v>
      </c>
      <c r="AB162" s="443">
        <f t="shared" si="227"/>
        <v>0</v>
      </c>
      <c r="AC162" s="251">
        <f t="shared" si="228"/>
        <v>0</v>
      </c>
      <c r="AD162" s="444">
        <f t="shared" si="229"/>
        <v>0</v>
      </c>
      <c r="AU162" s="260"/>
      <c r="AZ162" s="252"/>
    </row>
    <row r="163" spans="2:52" ht="15" customHeight="1">
      <c r="B163" s="233" t="str">
        <f t="shared" ref="B163:G163" si="252">B123</f>
        <v>CHTRMFIWE1</v>
      </c>
      <c r="C163" s="233" t="str">
        <f t="shared" si="252"/>
        <v>Commercial Heating Technology Rural Multi - Fire wood - Existing 1</v>
      </c>
      <c r="D163" s="233" t="str">
        <f t="shared" si="252"/>
        <v>Rural</v>
      </c>
      <c r="E163" s="233" t="str">
        <f t="shared" si="252"/>
        <v>Multi storey</v>
      </c>
      <c r="F163" s="233" t="str">
        <f t="shared" si="252"/>
        <v>COMFIW</v>
      </c>
      <c r="G163" s="233" t="str">
        <f t="shared" si="252"/>
        <v>COMHRMB</v>
      </c>
      <c r="H163" s="259">
        <v>2019</v>
      </c>
      <c r="I163" s="250">
        <f t="shared" si="248"/>
        <v>87.3</v>
      </c>
      <c r="J163" s="250">
        <f t="shared" si="249"/>
        <v>0</v>
      </c>
      <c r="K163" s="250">
        <f t="shared" si="250"/>
        <v>0</v>
      </c>
      <c r="L163" s="460">
        <v>0.67</v>
      </c>
      <c r="M163" s="460">
        <v>0.67</v>
      </c>
      <c r="N163" s="460">
        <v>0.67</v>
      </c>
      <c r="O163" s="244">
        <f>31.536/1000</f>
        <v>3.1536000000000002E-2</v>
      </c>
      <c r="P163" s="458">
        <v>0.2</v>
      </c>
      <c r="Q163" s="245">
        <v>20</v>
      </c>
      <c r="R163" s="227">
        <v>1.05</v>
      </c>
      <c r="T163" s="268">
        <f t="shared" si="193"/>
        <v>0.82181874626865681</v>
      </c>
      <c r="U163" s="268"/>
      <c r="V163" s="589" t="str">
        <f>'Data manipulation'!$B$31</f>
        <v>Primary solid biofuels</v>
      </c>
      <c r="W163" s="254" t="s">
        <v>176</v>
      </c>
      <c r="X163" s="246">
        <v>2019</v>
      </c>
      <c r="Y163" s="432">
        <f>_xlfn.IFNA(INDEX('Data manipulation'!$C$23:$O$39,MATCH($V163,'Data manipulation'!$B$23:$B$39,0),MATCH($X163,'Data manipulation'!$C$22:$O$22,0))/1000,0)*SUMIFS('Regional split'!$F$4:$F$6,'Regional split'!$B$4:$B$6,Y$3)*SUMIFS('Data manipulation'!$V$39:$V$42,'Data manipulation'!$X$39:$X$42,$E163,'Data manipulation'!$Y$39:$Y$42,$D163)</f>
        <v>0.78228319117971945</v>
      </c>
      <c r="Z163" s="270">
        <f>_xlfn.IFNA(INDEX('Data manipulation'!$C$23:$O$39,MATCH($V163,'Data manipulation'!$B$23:$B$39,0),MATCH($X163,'Data manipulation'!$C$22:$O$22,0))/1000,0)*SUMIFS('Regional split'!$F$4:$F$6,'Regional split'!$B$4:$B$6,Z$3)*SUMIFS('Data manipulation'!$V$39:$V$42,'Data manipulation'!$X$39:$X$42,$E163,'Data manipulation'!$Y$39:$Y$42,$D163)</f>
        <v>0</v>
      </c>
      <c r="AA163" s="454">
        <f>_xlfn.IFNA(INDEX('Data manipulation'!$C$23:$O$39,MATCH($V163,'Data manipulation'!$B$23:$B$39,0),MATCH($X163,'Data manipulation'!$C$22:$O$22,0))/1000,0)*SUMIFS('Regional split'!$F$4:$F$6,'Regional split'!$B$4:$B$6,AA$3)*SUMIFS('Data manipulation'!$V$39:$V$42,'Data manipulation'!$X$39:$X$42,$E163,'Data manipulation'!$Y$39:$Y$42,$D163)</f>
        <v>0</v>
      </c>
      <c r="AB163" s="443">
        <f t="shared" si="227"/>
        <v>0.52412973809041208</v>
      </c>
      <c r="AC163" s="251">
        <f t="shared" si="228"/>
        <v>0</v>
      </c>
      <c r="AD163" s="444">
        <f t="shared" si="229"/>
        <v>0</v>
      </c>
      <c r="AU163" s="260"/>
      <c r="AZ163" s="252"/>
    </row>
    <row r="164" spans="2:52" ht="15" customHeight="1">
      <c r="B164" s="233" t="str">
        <f t="shared" ref="B164:G164" si="253">B124</f>
        <v>CHTRMCOAE1</v>
      </c>
      <c r="C164" s="233" t="str">
        <f t="shared" si="253"/>
        <v>Commercial Heating Technology Rural Multi - Coal - Existing 1</v>
      </c>
      <c r="D164" s="233" t="str">
        <f t="shared" si="253"/>
        <v>Rural</v>
      </c>
      <c r="E164" s="233" t="str">
        <f t="shared" si="253"/>
        <v>Multi storey</v>
      </c>
      <c r="F164" s="233" t="str">
        <f t="shared" si="253"/>
        <v>COMCOA</v>
      </c>
      <c r="G164" s="233" t="str">
        <f t="shared" si="253"/>
        <v>COMHRMB</v>
      </c>
      <c r="H164" s="259">
        <v>2019</v>
      </c>
      <c r="I164" s="250">
        <f t="shared" si="248"/>
        <v>0.2</v>
      </c>
      <c r="J164" s="250">
        <f t="shared" si="249"/>
        <v>0</v>
      </c>
      <c r="K164" s="250">
        <f t="shared" si="250"/>
        <v>0</v>
      </c>
      <c r="L164" s="460">
        <v>0.72</v>
      </c>
      <c r="M164" s="460">
        <v>0.72</v>
      </c>
      <c r="N164" s="460">
        <v>0.72</v>
      </c>
      <c r="O164" s="244">
        <f t="shared" si="235"/>
        <v>3.1536000000000002E-2</v>
      </c>
      <c r="P164" s="458">
        <v>0.2</v>
      </c>
      <c r="Q164" s="245">
        <v>20</v>
      </c>
      <c r="R164" s="227">
        <v>1.05</v>
      </c>
      <c r="T164" s="268">
        <f t="shared" si="193"/>
        <v>1.7520000000000003E-3</v>
      </c>
      <c r="U164" s="268"/>
      <c r="V164" s="589" t="str">
        <f>'Data manipulation'!$B$23</f>
        <v>Solid fossil fuels, peat, peat products, oil shale and oil sands</v>
      </c>
      <c r="W164" s="254" t="s">
        <v>846</v>
      </c>
      <c r="X164" s="246">
        <v>2019</v>
      </c>
      <c r="Y164" s="432">
        <f>_xlfn.IFNA(INDEX('Data manipulation'!$C$23:$O$39,MATCH($V164,'Data manipulation'!$B$23:$B$39,0),MATCH($X164,'Data manipulation'!$C$22:$O$22,0))/1000,0)*SUMIFS('Regional split'!$F$4:$F$6,'Regional split'!$B$4:$B$6,Y$3)*SUMIFS('Data manipulation'!$V$39:$V$42,'Data manipulation'!$X$39:$X$42,$E164,'Data manipulation'!$Y$39:$Y$42,$D164)</f>
        <v>1.0778320000000001E-3</v>
      </c>
      <c r="Z164" s="270">
        <f>_xlfn.IFNA(INDEX('Data manipulation'!$C$23:$O$39,MATCH($V164,'Data manipulation'!$B$23:$B$39,0),MATCH($X164,'Data manipulation'!$C$22:$O$22,0))/1000,0)*SUMIFS('Regional split'!$F$4:$F$6,'Regional split'!$B$4:$B$6,Z$3)*SUMIFS('Data manipulation'!$V$39:$V$42,'Data manipulation'!$X$39:$X$42,$E164,'Data manipulation'!$Y$39:$Y$42,$D164)</f>
        <v>0</v>
      </c>
      <c r="AA164" s="454">
        <f>_xlfn.IFNA(INDEX('Data manipulation'!$C$23:$O$39,MATCH($V164,'Data manipulation'!$B$23:$B$39,0),MATCH($X164,'Data manipulation'!$C$22:$O$22,0))/1000,0)*SUMIFS('Regional split'!$F$4:$F$6,'Regional split'!$B$4:$B$6,AA$3)*SUMIFS('Data manipulation'!$V$39:$V$42,'Data manipulation'!$X$39:$X$42,$E164,'Data manipulation'!$Y$39:$Y$42,$D164)</f>
        <v>0</v>
      </c>
      <c r="AB164" s="443">
        <f t="shared" si="227"/>
        <v>7.7603904000000002E-4</v>
      </c>
      <c r="AC164" s="251">
        <f t="shared" si="228"/>
        <v>0</v>
      </c>
      <c r="AD164" s="444">
        <f t="shared" si="229"/>
        <v>0</v>
      </c>
      <c r="AU164" s="260"/>
      <c r="AZ164" s="252"/>
    </row>
    <row r="165" spans="2:52" ht="15" customHeight="1">
      <c r="B165" s="233" t="str">
        <f t="shared" ref="B165:G165" si="254">B125</f>
        <v>CHTRMSOLE1</v>
      </c>
      <c r="C165" s="233" t="str">
        <f t="shared" si="254"/>
        <v>Commercial Heating Technology Rural Multi - Solar - Existing 1</v>
      </c>
      <c r="D165" s="233" t="str">
        <f t="shared" si="254"/>
        <v>Rural</v>
      </c>
      <c r="E165" s="233" t="str">
        <f t="shared" si="254"/>
        <v>Multi storey</v>
      </c>
      <c r="F165" s="233" t="str">
        <f t="shared" si="254"/>
        <v>COMSOL</v>
      </c>
      <c r="G165" s="233" t="str">
        <f t="shared" si="254"/>
        <v>COMHRMB</v>
      </c>
      <c r="H165" s="259">
        <v>2019</v>
      </c>
      <c r="I165" s="250">
        <f t="shared" si="248"/>
        <v>0.4</v>
      </c>
      <c r="J165" s="250">
        <f t="shared" si="249"/>
        <v>0</v>
      </c>
      <c r="K165" s="250">
        <f t="shared" si="250"/>
        <v>0</v>
      </c>
      <c r="L165" s="460">
        <v>1</v>
      </c>
      <c r="M165" s="460">
        <v>1</v>
      </c>
      <c r="N165" s="460">
        <v>1</v>
      </c>
      <c r="O165" s="244">
        <f t="shared" si="235"/>
        <v>3.1536000000000002E-2</v>
      </c>
      <c r="P165" s="458">
        <v>0.2</v>
      </c>
      <c r="Q165" s="245">
        <v>20</v>
      </c>
      <c r="R165" s="227">
        <v>1.05</v>
      </c>
      <c r="T165" s="268">
        <f t="shared" si="193"/>
        <v>2.5228800000000003E-3</v>
      </c>
      <c r="U165" s="268"/>
      <c r="V165" s="589" t="str">
        <f>'Data manipulation'!$B$29</f>
        <v>Solar thermal</v>
      </c>
      <c r="W165" s="254" t="s">
        <v>168</v>
      </c>
      <c r="X165" s="246">
        <v>2019</v>
      </c>
      <c r="Y165" s="432">
        <f>_xlfn.IFNA(INDEX('Data manipulation'!$C$23:$O$39,MATCH($V165,'Data manipulation'!$B$23:$B$39,0),MATCH($X165,'Data manipulation'!$C$22:$O$22,0))/1000,0)*SUMIFS('Regional split'!$F$4:$F$6,'Regional split'!$B$4:$B$6,Y$3)*SUMIFS('Data manipulation'!$V$39:$V$42,'Data manipulation'!$X$39:$X$42,$E165,'Data manipulation'!$Y$39:$Y$42,$D165)</f>
        <v>2.3181760000000004E-3</v>
      </c>
      <c r="Z165" s="270">
        <f>_xlfn.IFNA(INDEX('Data manipulation'!$C$23:$O$39,MATCH($V165,'Data manipulation'!$B$23:$B$39,0),MATCH($X165,'Data manipulation'!$C$22:$O$22,0))/1000,0)*SUMIFS('Regional split'!$F$4:$F$6,'Regional split'!$B$4:$B$6,Z$3)*SUMIFS('Data manipulation'!$V$39:$V$42,'Data manipulation'!$X$39:$X$42,$E165,'Data manipulation'!$Y$39:$Y$42,$D165)</f>
        <v>0</v>
      </c>
      <c r="AA165" s="454">
        <f>_xlfn.IFNA(INDEX('Data manipulation'!$C$23:$O$39,MATCH($V165,'Data manipulation'!$B$23:$B$39,0),MATCH($X165,'Data manipulation'!$C$22:$O$22,0))/1000,0)*SUMIFS('Regional split'!$F$4:$F$6,'Regional split'!$B$4:$B$6,AA$3)*SUMIFS('Data manipulation'!$V$39:$V$42,'Data manipulation'!$X$39:$X$42,$E165,'Data manipulation'!$Y$39:$Y$42,$D165)</f>
        <v>0</v>
      </c>
      <c r="AB165" s="443">
        <f t="shared" si="227"/>
        <v>2.3181760000000004E-3</v>
      </c>
      <c r="AC165" s="251">
        <f t="shared" si="228"/>
        <v>0</v>
      </c>
      <c r="AD165" s="444">
        <f t="shared" si="229"/>
        <v>0</v>
      </c>
      <c r="AU165" s="260"/>
      <c r="AZ165" s="252"/>
    </row>
    <row r="166" spans="2:52" ht="15" customHeight="1">
      <c r="B166" s="233" t="str">
        <f t="shared" ref="B166:G166" si="255">B126</f>
        <v>CHTRMELCHE1</v>
      </c>
      <c r="C166" s="233" t="str">
        <f t="shared" si="255"/>
        <v>Commercial Heating Technology Rural Multi - Electricity Heating - Existing 1</v>
      </c>
      <c r="D166" s="233" t="str">
        <f t="shared" si="255"/>
        <v>Rural</v>
      </c>
      <c r="E166" s="233" t="str">
        <f t="shared" si="255"/>
        <v>Multi storey</v>
      </c>
      <c r="F166" s="233" t="str">
        <f t="shared" si="255"/>
        <v>COMELCH</v>
      </c>
      <c r="G166" s="233" t="str">
        <f t="shared" si="255"/>
        <v>COMHRMB</v>
      </c>
      <c r="H166" s="259">
        <v>2019</v>
      </c>
      <c r="I166" s="250">
        <f t="shared" si="248"/>
        <v>64.399999999999991</v>
      </c>
      <c r="J166" s="250">
        <f t="shared" si="249"/>
        <v>0</v>
      </c>
      <c r="K166" s="250">
        <f t="shared" si="250"/>
        <v>0</v>
      </c>
      <c r="L166" s="460">
        <v>1</v>
      </c>
      <c r="M166" s="460">
        <v>1</v>
      </c>
      <c r="N166" s="460">
        <v>1</v>
      </c>
      <c r="O166" s="244">
        <f t="shared" si="235"/>
        <v>3.1536000000000002E-2</v>
      </c>
      <c r="P166" s="458">
        <v>0.2</v>
      </c>
      <c r="Q166" s="245">
        <v>30</v>
      </c>
      <c r="R166" s="227">
        <v>1.05</v>
      </c>
      <c r="T166" s="268">
        <f t="shared" si="193"/>
        <v>0.40618368000000005</v>
      </c>
      <c r="U166" s="268"/>
      <c r="V166" s="589" t="str">
        <f>'Data manipulation'!$B$33</f>
        <v>Electricity</v>
      </c>
      <c r="W166" s="254" t="s">
        <v>169</v>
      </c>
      <c r="X166" s="246">
        <v>2019</v>
      </c>
      <c r="Y166" s="432">
        <f>_xlfn.IFNA(INDEX('Data manipulation'!$C$23:$O$39,MATCH($V166,'Data manipulation'!$B$23:$B$39,0),MATCH($X166,'Data manipulation'!$C$22:$O$22,0))/1000,0)*SUMIFS('Regional split'!$F$4:$F$6,'Regional split'!$B$4:$B$6,Y$3)*SUMIFS('Data manipulation'!$V$39:$V$42,'Data manipulation'!$X$39:$X$42,$E166,'Data manipulation'!$Y$39:$Y$42,$D166)</f>
        <v>0.38627434307857034</v>
      </c>
      <c r="Z166" s="270">
        <f>_xlfn.IFNA(INDEX('Data manipulation'!$C$23:$O$39,MATCH($V166,'Data manipulation'!$B$23:$B$39,0),MATCH($X166,'Data manipulation'!$C$22:$O$22,0))/1000,0)*SUMIFS('Regional split'!$F$4:$F$6,'Regional split'!$B$4:$B$6,Z$3)*SUMIFS('Data manipulation'!$V$39:$V$42,'Data manipulation'!$X$39:$X$42,$E166,'Data manipulation'!$Y$39:$Y$42,$D166)</f>
        <v>0</v>
      </c>
      <c r="AA166" s="454">
        <f>_xlfn.IFNA(INDEX('Data manipulation'!$C$23:$O$39,MATCH($V166,'Data manipulation'!$B$23:$B$39,0),MATCH($X166,'Data manipulation'!$C$22:$O$22,0))/1000,0)*SUMIFS('Regional split'!$F$4:$F$6,'Regional split'!$B$4:$B$6,AA$3)*SUMIFS('Data manipulation'!$V$39:$V$42,'Data manipulation'!$X$39:$X$42,$E166,'Data manipulation'!$Y$39:$Y$42,$D166)</f>
        <v>0</v>
      </c>
      <c r="AB166" s="443">
        <f t="shared" si="227"/>
        <v>0.38627434307857034</v>
      </c>
      <c r="AC166" s="251">
        <f t="shared" si="228"/>
        <v>0</v>
      </c>
      <c r="AD166" s="444">
        <f t="shared" si="229"/>
        <v>0</v>
      </c>
      <c r="AU166" s="260"/>
      <c r="AZ166" s="252"/>
    </row>
    <row r="167" spans="2:52" ht="15" customHeight="1">
      <c r="B167" s="233" t="str">
        <f t="shared" ref="B167:G167" si="256">B127</f>
        <v>CHTRMELCHE2</v>
      </c>
      <c r="C167" s="233" t="str">
        <f t="shared" si="256"/>
        <v>Commercial Heating Technology Rural Multi - Electricity Heating - Existing 2</v>
      </c>
      <c r="D167" s="233" t="str">
        <f t="shared" si="256"/>
        <v>Rural</v>
      </c>
      <c r="E167" s="233" t="str">
        <f t="shared" si="256"/>
        <v>Multi storey</v>
      </c>
      <c r="F167" s="233" t="str">
        <f t="shared" si="256"/>
        <v>COMELCH</v>
      </c>
      <c r="G167" s="233" t="str">
        <f t="shared" si="256"/>
        <v>COMHRMB</v>
      </c>
      <c r="H167" s="259">
        <v>2019</v>
      </c>
      <c r="I167" s="250">
        <f t="shared" si="248"/>
        <v>20.6</v>
      </c>
      <c r="J167" s="250">
        <f t="shared" si="249"/>
        <v>0</v>
      </c>
      <c r="K167" s="250">
        <f t="shared" si="250"/>
        <v>0</v>
      </c>
      <c r="L167" s="460">
        <v>2.3149999999999999</v>
      </c>
      <c r="M167" s="460">
        <v>2.3149999999999999</v>
      </c>
      <c r="N167" s="460">
        <v>2.3149999999999999</v>
      </c>
      <c r="O167" s="244">
        <f t="shared" si="235"/>
        <v>3.1536000000000002E-2</v>
      </c>
      <c r="P167" s="458">
        <v>0.2</v>
      </c>
      <c r="Q167" s="245">
        <v>30</v>
      </c>
      <c r="R167" s="227">
        <v>1.05</v>
      </c>
      <c r="T167" s="268">
        <f t="shared" si="193"/>
        <v>5.612454427645789E-2</v>
      </c>
      <c r="U167" s="268"/>
      <c r="V167" s="589" t="str">
        <f>'Data manipulation'!$B$30</f>
        <v>Ambient heat (heat pumps)</v>
      </c>
      <c r="W167" s="254" t="s">
        <v>170</v>
      </c>
      <c r="X167" s="246">
        <v>2019</v>
      </c>
      <c r="Y167" s="432">
        <f>_xlfn.IFNA(INDEX('Data manipulation'!$C$23:$O$39,MATCH($V167,'Data manipulation'!$B$23:$B$39,0),MATCH($X167,'Data manipulation'!$C$22:$O$22,0))/1000,0)*SUMIFS('Regional split'!$F$4:$F$6,'Regional split'!$B$4:$B$6,Y$3)*SUMIFS('Data manipulation'!$V$39:$V$42,'Data manipulation'!$X$39:$X$42,$E167,'Data manipulation'!$Y$39:$Y$42,$D167)</f>
        <v>5.3304160000000003E-2</v>
      </c>
      <c r="Z167" s="270">
        <f>_xlfn.IFNA(INDEX('Data manipulation'!$C$23:$O$39,MATCH($V167,'Data manipulation'!$B$23:$B$39,0),MATCH($X167,'Data manipulation'!$C$22:$O$22,0))/1000,0)*SUMIFS('Regional split'!$F$4:$F$6,'Regional split'!$B$4:$B$6,Z$3)*SUMIFS('Data manipulation'!$V$39:$V$42,'Data manipulation'!$X$39:$X$42,$E167,'Data manipulation'!$Y$39:$Y$42,$D167)</f>
        <v>0</v>
      </c>
      <c r="AA167" s="454">
        <f>_xlfn.IFNA(INDEX('Data manipulation'!$C$23:$O$39,MATCH($V167,'Data manipulation'!$B$23:$B$39,0),MATCH($X167,'Data manipulation'!$C$22:$O$22,0))/1000,0)*SUMIFS('Regional split'!$F$4:$F$6,'Regional split'!$B$4:$B$6,AA$3)*SUMIFS('Data manipulation'!$V$39:$V$42,'Data manipulation'!$X$39:$X$42,$E167,'Data manipulation'!$Y$39:$Y$42,$D167)</f>
        <v>0</v>
      </c>
      <c r="AB167" s="443">
        <f t="shared" si="227"/>
        <v>0.1233991304</v>
      </c>
      <c r="AC167" s="251">
        <f t="shared" si="228"/>
        <v>0</v>
      </c>
      <c r="AD167" s="444">
        <f t="shared" si="229"/>
        <v>0</v>
      </c>
      <c r="AU167" s="260"/>
      <c r="AZ167" s="252"/>
    </row>
    <row r="168" spans="2:52" ht="15" customHeight="1">
      <c r="B168" s="233" t="str">
        <f t="shared" ref="B168:G168" si="257">B128</f>
        <v>CHTRMHCEE1</v>
      </c>
      <c r="C168" s="233" t="str">
        <f t="shared" si="257"/>
        <v>Commercial Heating Technology Rural Multi - District heating Central - Existing 1</v>
      </c>
      <c r="D168" s="233" t="str">
        <f t="shared" si="257"/>
        <v>Rural</v>
      </c>
      <c r="E168" s="233" t="str">
        <f t="shared" si="257"/>
        <v>Multi storey</v>
      </c>
      <c r="F168" s="233" t="str">
        <f t="shared" si="257"/>
        <v>COMHDE</v>
      </c>
      <c r="G168" s="233" t="str">
        <f t="shared" si="257"/>
        <v>COMHRMX</v>
      </c>
      <c r="H168" s="261">
        <v>2019</v>
      </c>
      <c r="I168" s="565">
        <v>0</v>
      </c>
      <c r="J168" s="565">
        <v>0</v>
      </c>
      <c r="K168" s="565">
        <v>0</v>
      </c>
      <c r="L168" s="460">
        <v>0.98</v>
      </c>
      <c r="M168" s="460">
        <v>0.98</v>
      </c>
      <c r="N168" s="460">
        <v>0.98</v>
      </c>
      <c r="O168" s="244">
        <f t="shared" si="235"/>
        <v>3.1536000000000002E-2</v>
      </c>
      <c r="P168" s="458">
        <v>0.2</v>
      </c>
      <c r="Q168" s="245">
        <v>30</v>
      </c>
      <c r="R168" s="227">
        <v>1.05</v>
      </c>
      <c r="T168" s="268">
        <f t="shared" si="193"/>
        <v>0</v>
      </c>
      <c r="U168" s="268"/>
      <c r="V168" s="589" t="str">
        <f>'Data manipulation'!$B$34</f>
        <v>Heat</v>
      </c>
      <c r="W168" s="254" t="s">
        <v>171</v>
      </c>
      <c r="X168" s="246">
        <v>2019</v>
      </c>
      <c r="Y168" s="432">
        <f>_xlfn.IFNA(INDEX('Data manipulation'!$C$23:$O$39,MATCH($V168,'Data manipulation'!$B$23:$B$39,0),MATCH($X168,'Data manipulation'!$C$22:$O$22,0))/1000,0)*SUMIFS('Regional split'!$F$4:$F$6,'Regional split'!$B$4:$B$6,Y$3)*SUMIFS('Data manipulation'!$V$39:$V$42,'Data manipulation'!$X$39:$X$42,$E168,'Data manipulation'!$Y$39:$Y$42,$D168)</f>
        <v>0.74129811903737053</v>
      </c>
      <c r="Z168" s="270">
        <f>_xlfn.IFNA(INDEX('Data manipulation'!$C$23:$O$39,MATCH($V168,'Data manipulation'!$B$23:$B$39,0),MATCH($X168,'Data manipulation'!$C$22:$O$22,0))/1000,0)*SUMIFS('Regional split'!$F$4:$F$6,'Regional split'!$B$4:$B$6,Z$3)*SUMIFS('Data manipulation'!$V$39:$V$42,'Data manipulation'!$X$39:$X$42,$E168,'Data manipulation'!$Y$39:$Y$42,$D168)</f>
        <v>0</v>
      </c>
      <c r="AA168" s="454">
        <f>_xlfn.IFNA(INDEX('Data manipulation'!$C$23:$O$39,MATCH($V168,'Data manipulation'!$B$23:$B$39,0),MATCH($X168,'Data manipulation'!$C$22:$O$22,0))/1000,0)*SUMIFS('Regional split'!$F$4:$F$6,'Regional split'!$B$4:$B$6,AA$3)*SUMIFS('Data manipulation'!$V$39:$V$42,'Data manipulation'!$X$39:$X$42,$E168,'Data manipulation'!$Y$39:$Y$42,$D168)</f>
        <v>0</v>
      </c>
      <c r="AB168" s="443">
        <f t="shared" si="227"/>
        <v>0.72647215665662312</v>
      </c>
      <c r="AC168" s="251">
        <f t="shared" si="228"/>
        <v>0</v>
      </c>
      <c r="AD168" s="444">
        <f t="shared" si="229"/>
        <v>0</v>
      </c>
      <c r="AU168" s="260"/>
      <c r="AZ168" s="252"/>
    </row>
    <row r="169" spans="2:52" ht="15" customHeight="1" thickBot="1">
      <c r="B169" s="233" t="str">
        <f t="shared" ref="B169:G169" si="258">B129</f>
        <v>CHTRMLPGE1</v>
      </c>
      <c r="C169" s="233" t="str">
        <f t="shared" si="258"/>
        <v>Commercial Heating Technology Rural Multi - LPG - Existing 1</v>
      </c>
      <c r="D169" s="233" t="str">
        <f t="shared" si="258"/>
        <v>Rural</v>
      </c>
      <c r="E169" s="233" t="str">
        <f t="shared" si="258"/>
        <v>Multi storey</v>
      </c>
      <c r="F169" s="233" t="str">
        <f t="shared" si="258"/>
        <v>COMLPG</v>
      </c>
      <c r="G169" s="233" t="str">
        <f t="shared" si="258"/>
        <v>COMHRMB</v>
      </c>
      <c r="H169" s="261">
        <v>2019</v>
      </c>
      <c r="I169" s="297">
        <f>ROUNDUP(AB169/($O169*$P169)*$R169,1)</f>
        <v>15.2</v>
      </c>
      <c r="J169" s="297">
        <f t="shared" ref="J169" si="259">ROUNDUP(AC169/($O169*$P169)*$R169,1)</f>
        <v>0</v>
      </c>
      <c r="K169" s="297">
        <f t="shared" ref="K169" si="260">ROUNDUP(AD169/($O169*$P169)*$R169,1)</f>
        <v>0</v>
      </c>
      <c r="L169" s="460">
        <v>0.98</v>
      </c>
      <c r="M169" s="460">
        <v>0.98</v>
      </c>
      <c r="N169" s="460">
        <v>0.98</v>
      </c>
      <c r="O169" s="244">
        <f t="shared" si="235"/>
        <v>3.1536000000000002E-2</v>
      </c>
      <c r="P169" s="458">
        <v>0.2</v>
      </c>
      <c r="Q169" s="245">
        <v>30</v>
      </c>
      <c r="R169" s="227">
        <v>1.05</v>
      </c>
      <c r="T169" s="268">
        <f t="shared" si="193"/>
        <v>9.7825959183673469E-2</v>
      </c>
      <c r="U169" s="268"/>
      <c r="V169" s="590" t="str">
        <f>'Data manipulation'!$B$25</f>
        <v>Liquefied petroleum gas</v>
      </c>
      <c r="W169" s="427" t="s">
        <v>759</v>
      </c>
      <c r="X169" s="246">
        <v>2019</v>
      </c>
      <c r="Y169" s="433">
        <f>_xlfn.IFNA(INDEX('Data manipulation'!$C$23:$O$39,MATCH($V169,'Data manipulation'!$B$23:$B$39,0),MATCH($X169,'Data manipulation'!$C$22:$O$22,0))/1000,0)*SUMIFS('Regional split'!$F$4:$F$6,'Regional split'!$B$4:$B$6,Y$3)*SUMIFS('Data manipulation'!$V$39:$V$42,'Data manipulation'!$X$39:$X$42,$E169,'Data manipulation'!$Y$39:$Y$42,$D169)</f>
        <v>9.2772095129411772E-2</v>
      </c>
      <c r="Z169" s="430">
        <f>_xlfn.IFNA(INDEX('Data manipulation'!$C$23:$O$39,MATCH($V169,'Data manipulation'!$B$23:$B$39,0),MATCH($X169,'Data manipulation'!$C$22:$O$22,0))/1000,0)*SUMIFS('Regional split'!$F$4:$F$6,'Regional split'!$B$4:$B$6,Z$3)*SUMIFS('Data manipulation'!$V$39:$V$42,'Data manipulation'!$X$39:$X$42,$E169,'Data manipulation'!$Y$39:$Y$42,$D169)</f>
        <v>0</v>
      </c>
      <c r="AA169" s="455">
        <f>_xlfn.IFNA(INDEX('Data manipulation'!$C$23:$O$39,MATCH($V169,'Data manipulation'!$B$23:$B$39,0),MATCH($X169,'Data manipulation'!$C$22:$O$22,0))/1000,0)*SUMIFS('Regional split'!$F$4:$F$6,'Regional split'!$B$4:$B$6,AA$3)*SUMIFS('Data manipulation'!$V$39:$V$42,'Data manipulation'!$X$39:$X$42,$E169,'Data manipulation'!$Y$39:$Y$42,$D169)</f>
        <v>0</v>
      </c>
      <c r="AB169" s="445">
        <f t="shared" si="227"/>
        <v>9.0916653226823532E-2</v>
      </c>
      <c r="AC169" s="431">
        <f t="shared" si="228"/>
        <v>0</v>
      </c>
      <c r="AD169" s="452">
        <f t="shared" si="229"/>
        <v>0</v>
      </c>
      <c r="AU169" s="260"/>
      <c r="AZ169" s="252"/>
    </row>
    <row r="170" spans="2:52" ht="15" customHeight="1">
      <c r="B170" s="227" t="str">
        <f>B90</f>
        <v>CHTUDNGAE1</v>
      </c>
      <c r="C170" s="227" t="str">
        <f t="shared" ref="C170:G170" si="261">C90</f>
        <v>Commercial Heating Technology Urban Detached - Natural Gas - Existing 1</v>
      </c>
      <c r="D170" s="227" t="str">
        <f t="shared" si="261"/>
        <v>Urban</v>
      </c>
      <c r="E170" s="227" t="str">
        <f t="shared" si="261"/>
        <v>Detached</v>
      </c>
      <c r="F170" s="227" t="str">
        <f t="shared" si="261"/>
        <v>COMNGA,COMSNG,COMBGA</v>
      </c>
      <c r="G170" s="227" t="str">
        <f t="shared" si="261"/>
        <v>COMHUDB</v>
      </c>
      <c r="H170" s="566">
        <f t="shared" ref="H170:H209" si="262">H90+Q170</f>
        <v>2040</v>
      </c>
      <c r="I170" s="250">
        <v>0</v>
      </c>
      <c r="J170" s="250">
        <v>0</v>
      </c>
      <c r="K170" s="250">
        <v>0</v>
      </c>
      <c r="L170" s="460">
        <v>0.72</v>
      </c>
      <c r="M170" s="460">
        <v>0.72</v>
      </c>
      <c r="N170" s="460">
        <v>0.72</v>
      </c>
      <c r="O170" s="244">
        <f>31.536/1000</f>
        <v>3.1536000000000002E-2</v>
      </c>
      <c r="P170" s="458">
        <v>0.2</v>
      </c>
      <c r="Q170" s="245">
        <v>22</v>
      </c>
      <c r="R170" s="227">
        <v>1.05</v>
      </c>
      <c r="T170" s="268">
        <f t="shared" si="83"/>
        <v>0</v>
      </c>
      <c r="U170" s="268"/>
      <c r="V170" s="589" t="str">
        <f>'Data manipulation'!$B$36</f>
        <v>Natural gas and biogas</v>
      </c>
      <c r="W170" s="246" t="s">
        <v>167</v>
      </c>
      <c r="X170" s="246">
        <v>2019</v>
      </c>
      <c r="Y170" s="432">
        <f>_xlfn.IFNA(INDEX('Data manipulation'!$C$23:$O$39,MATCH($V170,'Data manipulation'!$B$23:$B$39,0),MATCH($X170,'Data manipulation'!$C$22:$O$22,0))/1000,0)*SUMIFS('Regional split'!$F$4:$F$6,'Regional split'!$B$4:$B$6,Y$3)*SUMIFS('Data manipulation'!$V$39:$V$42,'Data manipulation'!$X$39:$X$42,$E170,'Data manipulation'!$Y$39:$Y$42,$D170)</f>
        <v>136.73284091176598</v>
      </c>
      <c r="Z170" s="432">
        <f>_xlfn.IFNA(INDEX('Data manipulation'!$C$23:$O$39,MATCH($V170,'Data manipulation'!$B$23:$B$39,0),MATCH($X170,'Data manipulation'!$C$22:$O$22,0))/1000,0)*SUMIFS('Regional split'!$F$4:$F$6,'Regional split'!$B$4:$B$6,Z$3)*SUMIFS('Data manipulation'!$V$39:$V$42,'Data manipulation'!$X$39:$X$42,$E170,'Data manipulation'!$Y$39:$Y$42,$D170)</f>
        <v>0</v>
      </c>
      <c r="AA170" s="432">
        <f>_xlfn.IFNA(INDEX('Data manipulation'!$C$23:$O$39,MATCH($V170,'Data manipulation'!$B$23:$B$39,0),MATCH($X170,'Data manipulation'!$C$22:$O$22,0))/1000,0)*SUMIFS('Regional split'!$F$4:$F$6,'Regional split'!$B$4:$B$6,AA$3)*SUMIFS('Data manipulation'!$V$39:$V$42,'Data manipulation'!$X$39:$X$42,$E170,'Data manipulation'!$Y$39:$Y$42,$D170)</f>
        <v>0</v>
      </c>
      <c r="AB170" s="443">
        <f t="shared" si="157"/>
        <v>98.447645456471506</v>
      </c>
      <c r="AC170" s="251">
        <f t="shared" si="158"/>
        <v>0</v>
      </c>
      <c r="AD170" s="444">
        <f t="shared" si="159"/>
        <v>0</v>
      </c>
      <c r="AE170" s="262"/>
      <c r="AU170" s="260"/>
      <c r="AZ170" s="252"/>
    </row>
    <row r="171" spans="2:52" ht="15" customHeight="1">
      <c r="B171" s="227" t="str">
        <f t="shared" ref="B171:G171" si="263">B91</f>
        <v>CHTUDDSLE1</v>
      </c>
      <c r="C171" s="227" t="str">
        <f t="shared" si="263"/>
        <v>Commercial Heating Technology Urban Detached - Diesel - Existing 1</v>
      </c>
      <c r="D171" s="227" t="str">
        <f t="shared" si="263"/>
        <v>Urban</v>
      </c>
      <c r="E171" s="227" t="str">
        <f t="shared" si="263"/>
        <v>Detached</v>
      </c>
      <c r="F171" s="227" t="str">
        <f t="shared" si="263"/>
        <v>COMDSL,COMDSB</v>
      </c>
      <c r="G171" s="227" t="str">
        <f t="shared" si="263"/>
        <v>COMHUDB</v>
      </c>
      <c r="H171" s="566">
        <f t="shared" si="262"/>
        <v>2038</v>
      </c>
      <c r="I171" s="250">
        <v>0</v>
      </c>
      <c r="J171" s="250">
        <v>0</v>
      </c>
      <c r="K171" s="250">
        <v>0</v>
      </c>
      <c r="L171" s="460">
        <v>0.71</v>
      </c>
      <c r="M171" s="460">
        <v>0.71</v>
      </c>
      <c r="N171" s="460">
        <v>0.71</v>
      </c>
      <c r="O171" s="244">
        <f>31.536/1000</f>
        <v>3.1536000000000002E-2</v>
      </c>
      <c r="P171" s="458">
        <v>0.2</v>
      </c>
      <c r="Q171" s="245">
        <v>20</v>
      </c>
      <c r="R171" s="227">
        <v>1.05</v>
      </c>
      <c r="T171" s="268">
        <f t="shared" si="83"/>
        <v>0</v>
      </c>
      <c r="V171" s="589" t="str">
        <f>'Data manipulation'!$B$28</f>
        <v>Gas oil and diesel oil and biodiesel</v>
      </c>
      <c r="W171" s="254" t="s">
        <v>718</v>
      </c>
      <c r="X171" s="246">
        <v>2019</v>
      </c>
      <c r="Y171" s="432">
        <f>_xlfn.IFNA(INDEX('Data manipulation'!$C$23:$O$39,MATCH($V171,'Data manipulation'!$B$23:$B$39,0),MATCH($X171,'Data manipulation'!$C$22:$O$22,0))/1000,0)*SUMIFS('Regional split'!$F$4:$F$6,'Regional split'!$B$4:$B$6,Y$3)*SUMIFS('Data manipulation'!$V$39:$V$42,'Data manipulation'!$X$39:$X$42,$E171,'Data manipulation'!$Y$39:$Y$42,$D171)</f>
        <v>47.634978460853134</v>
      </c>
      <c r="Z171" s="432">
        <f>_xlfn.IFNA(INDEX('Data manipulation'!$C$23:$O$39,MATCH($V171,'Data manipulation'!$B$23:$B$39,0),MATCH($X171,'Data manipulation'!$C$22:$O$22,0))/1000,0)*SUMIFS('Regional split'!$F$4:$F$6,'Regional split'!$B$4:$B$6,Z$3)*SUMIFS('Data manipulation'!$V$39:$V$42,'Data manipulation'!$X$39:$X$42,$E171,'Data manipulation'!$Y$39:$Y$42,$D171)</f>
        <v>0</v>
      </c>
      <c r="AA171" s="432">
        <f>_xlfn.IFNA(INDEX('Data manipulation'!$C$23:$O$39,MATCH($V171,'Data manipulation'!$B$23:$B$39,0),MATCH($X171,'Data manipulation'!$C$22:$O$22,0))/1000,0)*SUMIFS('Regional split'!$F$4:$F$6,'Regional split'!$B$4:$B$6,AA$3)*SUMIFS('Data manipulation'!$V$39:$V$42,'Data manipulation'!$X$39:$X$42,$E171,'Data manipulation'!$Y$39:$Y$42,$D171)</f>
        <v>0</v>
      </c>
      <c r="AB171" s="443">
        <f t="shared" si="157"/>
        <v>33.820834707205726</v>
      </c>
      <c r="AC171" s="251">
        <f t="shared" si="158"/>
        <v>0</v>
      </c>
      <c r="AD171" s="444">
        <f t="shared" si="159"/>
        <v>0</v>
      </c>
      <c r="AE171" s="262"/>
      <c r="AU171" s="260"/>
      <c r="AZ171" s="252"/>
    </row>
    <row r="172" spans="2:52" ht="15" customHeight="1">
      <c r="B172" s="227" t="str">
        <f t="shared" ref="B172:G172" si="264">B92</f>
        <v>CHTUDWPEE1</v>
      </c>
      <c r="C172" s="227" t="str">
        <f t="shared" si="264"/>
        <v>Commercial Heating Technology Urban Detached - Wood pellets - Existing 1</v>
      </c>
      <c r="D172" s="227" t="str">
        <f t="shared" si="264"/>
        <v>Urban</v>
      </c>
      <c r="E172" s="227" t="str">
        <f t="shared" si="264"/>
        <v>Detached</v>
      </c>
      <c r="F172" s="227" t="str">
        <f t="shared" si="264"/>
        <v>COMWPE</v>
      </c>
      <c r="G172" s="227" t="str">
        <f t="shared" si="264"/>
        <v>COMHUDB</v>
      </c>
      <c r="H172" s="566">
        <f t="shared" si="262"/>
        <v>2038</v>
      </c>
      <c r="I172" s="250">
        <v>0</v>
      </c>
      <c r="J172" s="250">
        <v>0</v>
      </c>
      <c r="K172" s="250">
        <v>0</v>
      </c>
      <c r="L172" s="460">
        <v>0.61</v>
      </c>
      <c r="M172" s="460">
        <v>0.61</v>
      </c>
      <c r="N172" s="460">
        <v>0.61</v>
      </c>
      <c r="O172" s="244">
        <f t="shared" ref="O172:O189" si="265">31.536/1000</f>
        <v>3.1536000000000002E-2</v>
      </c>
      <c r="P172" s="458">
        <v>0.2</v>
      </c>
      <c r="Q172" s="245">
        <v>20</v>
      </c>
      <c r="R172" s="227">
        <v>1.05</v>
      </c>
      <c r="T172" s="268">
        <f t="shared" si="83"/>
        <v>0</v>
      </c>
      <c r="U172" s="268"/>
      <c r="W172" s="254" t="s">
        <v>849</v>
      </c>
      <c r="X172" s="246">
        <v>2019</v>
      </c>
      <c r="Y172" s="432">
        <f>_xlfn.IFNA(INDEX('Data manipulation'!$C$23:$O$39,MATCH($V172,'Data manipulation'!$B$23:$B$39,0),MATCH($X172,'Data manipulation'!$C$22:$O$22,0))/1000,0)*SUMIFS('Regional split'!$F$4:$F$6,'Regional split'!$B$4:$B$6,Y$3)*SUMIFS('Data manipulation'!$V$39:$V$42,'Data manipulation'!$X$39:$X$42,$E172,'Data manipulation'!$Y$39:$Y$42,$D172)</f>
        <v>0</v>
      </c>
      <c r="Z172" s="432">
        <f>_xlfn.IFNA(INDEX('Data manipulation'!$C$23:$O$39,MATCH($V172,'Data manipulation'!$B$23:$B$39,0),MATCH($X172,'Data manipulation'!$C$22:$O$22,0))/1000,0)*SUMIFS('Regional split'!$F$4:$F$6,'Regional split'!$B$4:$B$6,Z$3)*SUMIFS('Data manipulation'!$V$39:$V$42,'Data manipulation'!$X$39:$X$42,$E172,'Data manipulation'!$Y$39:$Y$42,$D172)</f>
        <v>0</v>
      </c>
      <c r="AA172" s="432">
        <f>_xlfn.IFNA(INDEX('Data manipulation'!$C$23:$O$39,MATCH($V172,'Data manipulation'!$B$23:$B$39,0),MATCH($X172,'Data manipulation'!$C$22:$O$22,0))/1000,0)*SUMIFS('Regional split'!$F$4:$F$6,'Regional split'!$B$4:$B$6,AA$3)*SUMIFS('Data manipulation'!$V$39:$V$42,'Data manipulation'!$X$39:$X$42,$E172,'Data manipulation'!$Y$39:$Y$42,$D172)</f>
        <v>0</v>
      </c>
      <c r="AB172" s="443">
        <f t="shared" si="157"/>
        <v>0</v>
      </c>
      <c r="AC172" s="251">
        <f t="shared" si="158"/>
        <v>0</v>
      </c>
      <c r="AD172" s="444">
        <f t="shared" si="159"/>
        <v>0</v>
      </c>
      <c r="AE172" s="262"/>
      <c r="AU172" s="260"/>
      <c r="AZ172" s="252"/>
    </row>
    <row r="173" spans="2:52" ht="15" customHeight="1">
      <c r="B173" s="227" t="str">
        <f t="shared" ref="B173:G173" si="266">B93</f>
        <v>CHTUDFIWE1</v>
      </c>
      <c r="C173" s="227" t="str">
        <f t="shared" si="266"/>
        <v>Commercial Heating Technology Urban Detached - Fire wood - Existing 1</v>
      </c>
      <c r="D173" s="227" t="str">
        <f t="shared" si="266"/>
        <v>Urban</v>
      </c>
      <c r="E173" s="227" t="str">
        <f t="shared" si="266"/>
        <v>Detached</v>
      </c>
      <c r="F173" s="227" t="str">
        <f t="shared" si="266"/>
        <v>COMFIW</v>
      </c>
      <c r="G173" s="227" t="str">
        <f t="shared" si="266"/>
        <v>COMHUDB</v>
      </c>
      <c r="H173" s="566">
        <f t="shared" si="262"/>
        <v>2038</v>
      </c>
      <c r="I173" s="250">
        <v>0</v>
      </c>
      <c r="J173" s="250">
        <v>0</v>
      </c>
      <c r="K173" s="250">
        <v>0</v>
      </c>
      <c r="L173" s="460">
        <v>0.65000022993955098</v>
      </c>
      <c r="M173" s="460">
        <v>0.65000022993955098</v>
      </c>
      <c r="N173" s="460">
        <v>0.65000022993955098</v>
      </c>
      <c r="O173" s="244">
        <f t="shared" si="265"/>
        <v>3.1536000000000002E-2</v>
      </c>
      <c r="P173" s="458">
        <v>0.2</v>
      </c>
      <c r="Q173" s="245">
        <v>20</v>
      </c>
      <c r="R173" s="227">
        <v>1.05</v>
      </c>
      <c r="T173" s="268">
        <f t="shared" si="83"/>
        <v>0</v>
      </c>
      <c r="U173" s="268"/>
      <c r="V173" s="589" t="str">
        <f>'Data manipulation'!$B$31</f>
        <v>Primary solid biofuels</v>
      </c>
      <c r="W173" s="254" t="s">
        <v>176</v>
      </c>
      <c r="X173" s="246">
        <v>2019</v>
      </c>
      <c r="Y173" s="432">
        <f>_xlfn.IFNA(INDEX('Data manipulation'!$C$23:$O$39,MATCH($V173,'Data manipulation'!$B$23:$B$39,0),MATCH($X173,'Data manipulation'!$C$22:$O$22,0))/1000,0)*SUMIFS('Regional split'!$F$4:$F$6,'Regional split'!$B$4:$B$6,Y$3)*SUMIFS('Data manipulation'!$V$39:$V$42,'Data manipulation'!$X$39:$X$42,$E173,'Data manipulation'!$Y$39:$Y$42,$D173)</f>
        <v>23.468495735391581</v>
      </c>
      <c r="Z173" s="432">
        <f>_xlfn.IFNA(INDEX('Data manipulation'!$C$23:$O$39,MATCH($V173,'Data manipulation'!$B$23:$B$39,0),MATCH($X173,'Data manipulation'!$C$22:$O$22,0))/1000,0)*SUMIFS('Regional split'!$F$4:$F$6,'Regional split'!$B$4:$B$6,Z$3)*SUMIFS('Data manipulation'!$V$39:$V$42,'Data manipulation'!$X$39:$X$42,$E173,'Data manipulation'!$Y$39:$Y$42,$D173)</f>
        <v>0</v>
      </c>
      <c r="AA173" s="432">
        <f>_xlfn.IFNA(INDEX('Data manipulation'!$C$23:$O$39,MATCH($V173,'Data manipulation'!$B$23:$B$39,0),MATCH($X173,'Data manipulation'!$C$22:$O$22,0))/1000,0)*SUMIFS('Regional split'!$F$4:$F$6,'Regional split'!$B$4:$B$6,AA$3)*SUMIFS('Data manipulation'!$V$39:$V$42,'Data manipulation'!$X$39:$X$42,$E173,'Data manipulation'!$Y$39:$Y$42,$D173)</f>
        <v>0</v>
      </c>
      <c r="AB173" s="443">
        <f t="shared" si="157"/>
        <v>15.2545276243399</v>
      </c>
      <c r="AC173" s="251">
        <f t="shared" si="158"/>
        <v>0</v>
      </c>
      <c r="AD173" s="444">
        <f t="shared" si="159"/>
        <v>0</v>
      </c>
      <c r="AE173" s="262"/>
      <c r="AU173" s="260"/>
      <c r="AZ173" s="252"/>
    </row>
    <row r="174" spans="2:52" ht="15" customHeight="1">
      <c r="B174" s="233" t="str">
        <f t="shared" ref="B174:G174" si="267">B94</f>
        <v>CHTUDCOAE1</v>
      </c>
      <c r="C174" s="233" t="str">
        <f t="shared" si="267"/>
        <v>Commercial Heating Technology Urban Detached - Coal - Existing 1</v>
      </c>
      <c r="D174" s="233" t="str">
        <f t="shared" si="267"/>
        <v>Urban</v>
      </c>
      <c r="E174" s="233" t="str">
        <f t="shared" si="267"/>
        <v>Detached</v>
      </c>
      <c r="F174" s="233" t="str">
        <f t="shared" si="267"/>
        <v>COMCOA</v>
      </c>
      <c r="G174" s="233" t="str">
        <f t="shared" si="267"/>
        <v>COMHUDB</v>
      </c>
      <c r="H174" s="566">
        <f t="shared" si="262"/>
        <v>2038</v>
      </c>
      <c r="I174" s="250">
        <v>0</v>
      </c>
      <c r="J174" s="250">
        <v>0</v>
      </c>
      <c r="K174" s="250">
        <v>0</v>
      </c>
      <c r="L174" s="460">
        <v>0.7</v>
      </c>
      <c r="M174" s="460">
        <v>0.7</v>
      </c>
      <c r="N174" s="460">
        <v>0.7</v>
      </c>
      <c r="O174" s="244">
        <f t="shared" si="265"/>
        <v>3.1536000000000002E-2</v>
      </c>
      <c r="P174" s="458">
        <v>0.2</v>
      </c>
      <c r="Q174" s="245">
        <v>20</v>
      </c>
      <c r="R174" s="227">
        <v>1.05</v>
      </c>
      <c r="T174" s="268">
        <f t="shared" si="83"/>
        <v>0</v>
      </c>
      <c r="U174" s="268"/>
      <c r="V174" s="589" t="str">
        <f>'Data manipulation'!$B$23</f>
        <v>Solid fossil fuels, peat, peat products, oil shale and oil sands</v>
      </c>
      <c r="W174" s="254" t="s">
        <v>846</v>
      </c>
      <c r="X174" s="246">
        <v>2019</v>
      </c>
      <c r="Y174" s="432">
        <f>_xlfn.IFNA(INDEX('Data manipulation'!$C$23:$O$39,MATCH($V174,'Data manipulation'!$B$23:$B$39,0),MATCH($X174,'Data manipulation'!$C$22:$O$22,0))/1000,0)*SUMIFS('Regional split'!$F$4:$F$6,'Regional split'!$B$4:$B$6,Y$3)*SUMIFS('Data manipulation'!$V$39:$V$42,'Data manipulation'!$X$39:$X$42,$E174,'Data manipulation'!$Y$39:$Y$42,$D174)</f>
        <v>3.2334959999999996E-2</v>
      </c>
      <c r="Z174" s="432">
        <f>_xlfn.IFNA(INDEX('Data manipulation'!$C$23:$O$39,MATCH($V174,'Data manipulation'!$B$23:$B$39,0),MATCH($X174,'Data manipulation'!$C$22:$O$22,0))/1000,0)*SUMIFS('Regional split'!$F$4:$F$6,'Regional split'!$B$4:$B$6,Z$3)*SUMIFS('Data manipulation'!$V$39:$V$42,'Data manipulation'!$X$39:$X$42,$E174,'Data manipulation'!$Y$39:$Y$42,$D174)</f>
        <v>0</v>
      </c>
      <c r="AA174" s="432">
        <f>_xlfn.IFNA(INDEX('Data manipulation'!$C$23:$O$39,MATCH($V174,'Data manipulation'!$B$23:$B$39,0),MATCH($X174,'Data manipulation'!$C$22:$O$22,0))/1000,0)*SUMIFS('Regional split'!$F$4:$F$6,'Regional split'!$B$4:$B$6,AA$3)*SUMIFS('Data manipulation'!$V$39:$V$42,'Data manipulation'!$X$39:$X$42,$E174,'Data manipulation'!$Y$39:$Y$42,$D174)</f>
        <v>0</v>
      </c>
      <c r="AB174" s="443">
        <f t="shared" si="157"/>
        <v>2.2634471999999996E-2</v>
      </c>
      <c r="AC174" s="251">
        <f t="shared" si="158"/>
        <v>0</v>
      </c>
      <c r="AD174" s="444">
        <f t="shared" si="159"/>
        <v>0</v>
      </c>
      <c r="AE174" s="262"/>
      <c r="AU174" s="260"/>
      <c r="AZ174" s="252"/>
    </row>
    <row r="175" spans="2:52" ht="15" customHeight="1">
      <c r="B175" s="233" t="str">
        <f t="shared" ref="B175:G175" si="268">B95</f>
        <v>CHTUDSOLE1</v>
      </c>
      <c r="C175" s="233" t="str">
        <f t="shared" si="268"/>
        <v>Commercial Heating Technology Urban Detached - Solar - Existing 1</v>
      </c>
      <c r="D175" s="233" t="str">
        <f t="shared" si="268"/>
        <v>Urban</v>
      </c>
      <c r="E175" s="233" t="str">
        <f t="shared" si="268"/>
        <v>Detached</v>
      </c>
      <c r="F175" s="233" t="str">
        <f t="shared" si="268"/>
        <v>COMSOL</v>
      </c>
      <c r="G175" s="233" t="str">
        <f t="shared" si="268"/>
        <v>COMHUDB</v>
      </c>
      <c r="H175" s="566">
        <f t="shared" si="262"/>
        <v>2038</v>
      </c>
      <c r="I175" s="250">
        <v>0</v>
      </c>
      <c r="J175" s="250">
        <v>0</v>
      </c>
      <c r="K175" s="250">
        <v>0</v>
      </c>
      <c r="L175" s="460">
        <v>1</v>
      </c>
      <c r="M175" s="460">
        <v>1</v>
      </c>
      <c r="N175" s="460">
        <v>1</v>
      </c>
      <c r="O175" s="244">
        <f t="shared" si="265"/>
        <v>3.1536000000000002E-2</v>
      </c>
      <c r="P175" s="458">
        <v>0.2</v>
      </c>
      <c r="Q175" s="245">
        <v>20</v>
      </c>
      <c r="R175" s="227">
        <v>1.05</v>
      </c>
      <c r="T175" s="268">
        <f t="shared" si="83"/>
        <v>0</v>
      </c>
      <c r="U175" s="268"/>
      <c r="V175" s="589" t="str">
        <f>'Data manipulation'!$B$29</f>
        <v>Solar thermal</v>
      </c>
      <c r="W175" s="254" t="s">
        <v>168</v>
      </c>
      <c r="X175" s="246">
        <v>2019</v>
      </c>
      <c r="Y175" s="432">
        <f>_xlfn.IFNA(INDEX('Data manipulation'!$C$23:$O$39,MATCH($V175,'Data manipulation'!$B$23:$B$39,0),MATCH($X175,'Data manipulation'!$C$22:$O$22,0))/1000,0)*SUMIFS('Regional split'!$F$4:$F$6,'Regional split'!$B$4:$B$6,Y$3)*SUMIFS('Data manipulation'!$V$39:$V$42,'Data manipulation'!$X$39:$X$42,$E175,'Data manipulation'!$Y$39:$Y$42,$D175)</f>
        <v>6.9545280000000001E-2</v>
      </c>
      <c r="Z175" s="432">
        <f>_xlfn.IFNA(INDEX('Data manipulation'!$C$23:$O$39,MATCH($V175,'Data manipulation'!$B$23:$B$39,0),MATCH($X175,'Data manipulation'!$C$22:$O$22,0))/1000,0)*SUMIFS('Regional split'!$F$4:$F$6,'Regional split'!$B$4:$B$6,Z$3)*SUMIFS('Data manipulation'!$V$39:$V$42,'Data manipulation'!$X$39:$X$42,$E175,'Data manipulation'!$Y$39:$Y$42,$D175)</f>
        <v>0</v>
      </c>
      <c r="AA175" s="432">
        <f>_xlfn.IFNA(INDEX('Data manipulation'!$C$23:$O$39,MATCH($V175,'Data manipulation'!$B$23:$B$39,0),MATCH($X175,'Data manipulation'!$C$22:$O$22,0))/1000,0)*SUMIFS('Regional split'!$F$4:$F$6,'Regional split'!$B$4:$B$6,AA$3)*SUMIFS('Data manipulation'!$V$39:$V$42,'Data manipulation'!$X$39:$X$42,$E175,'Data manipulation'!$Y$39:$Y$42,$D175)</f>
        <v>0</v>
      </c>
      <c r="AB175" s="443">
        <f t="shared" si="157"/>
        <v>6.9545280000000001E-2</v>
      </c>
      <c r="AC175" s="251">
        <f t="shared" si="158"/>
        <v>0</v>
      </c>
      <c r="AD175" s="444">
        <f t="shared" si="159"/>
        <v>0</v>
      </c>
      <c r="AE175" s="262"/>
      <c r="AU175" s="260"/>
      <c r="AZ175" s="252"/>
    </row>
    <row r="176" spans="2:52" ht="15" customHeight="1">
      <c r="B176" s="233" t="str">
        <f t="shared" ref="B176:G176" si="269">B96</f>
        <v>CHTUDELCHE1</v>
      </c>
      <c r="C176" s="233" t="str">
        <f t="shared" si="269"/>
        <v>Commercial Heating Technology Urban Detached - Electricity Heating - Existing 1</v>
      </c>
      <c r="D176" s="233" t="str">
        <f t="shared" si="269"/>
        <v>Urban</v>
      </c>
      <c r="E176" s="233" t="str">
        <f t="shared" si="269"/>
        <v>Detached</v>
      </c>
      <c r="F176" s="233" t="str">
        <f t="shared" si="269"/>
        <v>COMELCH</v>
      </c>
      <c r="G176" s="233" t="str">
        <f t="shared" si="269"/>
        <v>COMHUDB</v>
      </c>
      <c r="H176" s="566">
        <f t="shared" si="262"/>
        <v>2048</v>
      </c>
      <c r="I176" s="250">
        <v>0</v>
      </c>
      <c r="J176" s="250">
        <v>0</v>
      </c>
      <c r="K176" s="250">
        <v>0</v>
      </c>
      <c r="L176" s="460">
        <v>1</v>
      </c>
      <c r="M176" s="460">
        <v>1</v>
      </c>
      <c r="N176" s="460">
        <v>1</v>
      </c>
      <c r="O176" s="244">
        <f t="shared" si="265"/>
        <v>3.1536000000000002E-2</v>
      </c>
      <c r="P176" s="458">
        <v>0.2</v>
      </c>
      <c r="Q176" s="245">
        <v>30</v>
      </c>
      <c r="R176" s="227">
        <v>1.05</v>
      </c>
      <c r="T176" s="268">
        <f t="shared" si="83"/>
        <v>0</v>
      </c>
      <c r="U176" s="268"/>
      <c r="V176" s="589" t="str">
        <f>'Data manipulation'!$B$33</f>
        <v>Electricity</v>
      </c>
      <c r="W176" s="254" t="s">
        <v>169</v>
      </c>
      <c r="X176" s="246">
        <v>2019</v>
      </c>
      <c r="Y176" s="432">
        <f>_xlfn.IFNA(INDEX('Data manipulation'!$C$23:$O$39,MATCH($V176,'Data manipulation'!$B$23:$B$39,0),MATCH($X176,'Data manipulation'!$C$22:$O$22,0))/1000,0)*SUMIFS('Regional split'!$F$4:$F$6,'Regional split'!$B$4:$B$6,Y$3)*SUMIFS('Data manipulation'!$V$39:$V$42,'Data manipulation'!$X$39:$X$42,$E176,'Data manipulation'!$Y$39:$Y$42,$D176)</f>
        <v>11.588230292357109</v>
      </c>
      <c r="Z176" s="432">
        <f>_xlfn.IFNA(INDEX('Data manipulation'!$C$23:$O$39,MATCH($V176,'Data manipulation'!$B$23:$B$39,0),MATCH($X176,'Data manipulation'!$C$22:$O$22,0))/1000,0)*SUMIFS('Regional split'!$F$4:$F$6,'Regional split'!$B$4:$B$6,Z$3)*SUMIFS('Data manipulation'!$V$39:$V$42,'Data manipulation'!$X$39:$X$42,$E176,'Data manipulation'!$Y$39:$Y$42,$D176)</f>
        <v>0</v>
      </c>
      <c r="AA176" s="432">
        <f>_xlfn.IFNA(INDEX('Data manipulation'!$C$23:$O$39,MATCH($V176,'Data manipulation'!$B$23:$B$39,0),MATCH($X176,'Data manipulation'!$C$22:$O$22,0))/1000,0)*SUMIFS('Regional split'!$F$4:$F$6,'Regional split'!$B$4:$B$6,AA$3)*SUMIFS('Data manipulation'!$V$39:$V$42,'Data manipulation'!$X$39:$X$42,$E176,'Data manipulation'!$Y$39:$Y$42,$D176)</f>
        <v>0</v>
      </c>
      <c r="AB176" s="443">
        <f t="shared" si="157"/>
        <v>11.588230292357109</v>
      </c>
      <c r="AC176" s="251">
        <f t="shared" si="158"/>
        <v>0</v>
      </c>
      <c r="AD176" s="444">
        <f t="shared" si="159"/>
        <v>0</v>
      </c>
      <c r="AU176" s="260"/>
      <c r="AZ176" s="252"/>
    </row>
    <row r="177" spans="2:52" ht="15" customHeight="1">
      <c r="B177" s="233" t="str">
        <f t="shared" ref="B177:G177" si="270">B97</f>
        <v>CHTUDELCHE2</v>
      </c>
      <c r="C177" s="233" t="str">
        <f t="shared" si="270"/>
        <v>Commercial Heating Technology Urban Detached - Electricity Heating - Existing 2</v>
      </c>
      <c r="D177" s="233" t="str">
        <f t="shared" si="270"/>
        <v>Urban</v>
      </c>
      <c r="E177" s="233" t="str">
        <f t="shared" si="270"/>
        <v>Detached</v>
      </c>
      <c r="F177" s="233" t="str">
        <f t="shared" si="270"/>
        <v>COMELCH</v>
      </c>
      <c r="G177" s="233" t="str">
        <f t="shared" si="270"/>
        <v>COMHUDB</v>
      </c>
      <c r="H177" s="566">
        <f t="shared" si="262"/>
        <v>2048</v>
      </c>
      <c r="I177" s="250">
        <v>0</v>
      </c>
      <c r="J177" s="250">
        <v>0</v>
      </c>
      <c r="K177" s="250">
        <v>0</v>
      </c>
      <c r="L177" s="460">
        <v>2.3149999999999999</v>
      </c>
      <c r="M177" s="460">
        <v>2.3149999999999999</v>
      </c>
      <c r="N177" s="460">
        <v>2.3149999999999999</v>
      </c>
      <c r="O177" s="244">
        <f t="shared" si="265"/>
        <v>3.1536000000000002E-2</v>
      </c>
      <c r="P177" s="458">
        <v>0.2</v>
      </c>
      <c r="Q177" s="245">
        <v>30</v>
      </c>
      <c r="R177" s="227">
        <v>1.05</v>
      </c>
      <c r="T177" s="268">
        <f t="shared" si="83"/>
        <v>0</v>
      </c>
      <c r="U177" s="268"/>
      <c r="V177" s="589" t="str">
        <f>'Data manipulation'!$B$30</f>
        <v>Ambient heat (heat pumps)</v>
      </c>
      <c r="W177" s="254" t="s">
        <v>170</v>
      </c>
      <c r="X177" s="246">
        <v>2019</v>
      </c>
      <c r="Y177" s="432">
        <f>_xlfn.IFNA(INDEX('Data manipulation'!$C$23:$O$39,MATCH($V177,'Data manipulation'!$B$23:$B$39,0),MATCH($X177,'Data manipulation'!$C$22:$O$22,0))/1000,0)*SUMIFS('Regional split'!$F$4:$F$6,'Regional split'!$B$4:$B$6,Y$3)*SUMIFS('Data manipulation'!$V$39:$V$42,'Data manipulation'!$X$39:$X$42,$E177,'Data manipulation'!$Y$39:$Y$42,$D177)</f>
        <v>1.5991248</v>
      </c>
      <c r="Z177" s="432">
        <f>_xlfn.IFNA(INDEX('Data manipulation'!$C$23:$O$39,MATCH($V177,'Data manipulation'!$B$23:$B$39,0),MATCH($X177,'Data manipulation'!$C$22:$O$22,0))/1000,0)*SUMIFS('Regional split'!$F$4:$F$6,'Regional split'!$B$4:$B$6,Z$3)*SUMIFS('Data manipulation'!$V$39:$V$42,'Data manipulation'!$X$39:$X$42,$E177,'Data manipulation'!$Y$39:$Y$42,$D177)</f>
        <v>0</v>
      </c>
      <c r="AA177" s="432">
        <f>_xlfn.IFNA(INDEX('Data manipulation'!$C$23:$O$39,MATCH($V177,'Data manipulation'!$B$23:$B$39,0),MATCH($X177,'Data manipulation'!$C$22:$O$22,0))/1000,0)*SUMIFS('Regional split'!$F$4:$F$6,'Regional split'!$B$4:$B$6,AA$3)*SUMIFS('Data manipulation'!$V$39:$V$42,'Data manipulation'!$X$39:$X$42,$E177,'Data manipulation'!$Y$39:$Y$42,$D177)</f>
        <v>0</v>
      </c>
      <c r="AB177" s="443">
        <f t="shared" si="157"/>
        <v>3.7019739120000001</v>
      </c>
      <c r="AC177" s="251">
        <f t="shared" si="158"/>
        <v>0</v>
      </c>
      <c r="AD177" s="444">
        <f t="shared" si="159"/>
        <v>0</v>
      </c>
      <c r="AU177" s="260"/>
      <c r="AZ177" s="252"/>
    </row>
    <row r="178" spans="2:52" ht="15" customHeight="1">
      <c r="B178" s="233" t="str">
        <f t="shared" ref="B178:G178" si="271">B98</f>
        <v>CHTUDHCEE1</v>
      </c>
      <c r="C178" s="233" t="str">
        <f t="shared" si="271"/>
        <v>Commercial Heating Technology Urban Detached - District heating Central - Existing 1</v>
      </c>
      <c r="D178" s="233" t="str">
        <f t="shared" si="271"/>
        <v>Urban</v>
      </c>
      <c r="E178" s="233" t="str">
        <f t="shared" si="271"/>
        <v>Detached</v>
      </c>
      <c r="F178" s="233" t="str">
        <f t="shared" si="271"/>
        <v>COMHCE</v>
      </c>
      <c r="G178" s="233" t="str">
        <f t="shared" si="271"/>
        <v>COMHUDX</v>
      </c>
      <c r="H178" s="566">
        <f t="shared" si="262"/>
        <v>2048</v>
      </c>
      <c r="I178" s="565">
        <v>0</v>
      </c>
      <c r="J178" s="565">
        <v>0</v>
      </c>
      <c r="K178" s="565">
        <v>0</v>
      </c>
      <c r="L178" s="460">
        <v>0.95</v>
      </c>
      <c r="M178" s="460">
        <v>0.95</v>
      </c>
      <c r="N178" s="460">
        <v>0.95</v>
      </c>
      <c r="O178" s="244">
        <f t="shared" si="265"/>
        <v>3.1536000000000002E-2</v>
      </c>
      <c r="P178" s="458">
        <v>0.2</v>
      </c>
      <c r="Q178" s="245">
        <v>30</v>
      </c>
      <c r="R178" s="227">
        <v>1.05</v>
      </c>
      <c r="T178" s="268">
        <f t="shared" si="83"/>
        <v>0</v>
      </c>
      <c r="U178" s="268"/>
      <c r="V178" s="589" t="str">
        <f>'Data manipulation'!$B$34</f>
        <v>Heat</v>
      </c>
      <c r="W178" s="254" t="s">
        <v>171</v>
      </c>
      <c r="X178" s="246">
        <v>2019</v>
      </c>
      <c r="Y178" s="432">
        <f>_xlfn.IFNA(INDEX('Data manipulation'!$C$23:$O$39,MATCH($V178,'Data manipulation'!$B$23:$B$39,0),MATCH($X178,'Data manipulation'!$C$22:$O$22,0))/1000,0)*SUMIFS('Regional split'!$F$4:$F$6,'Regional split'!$B$4:$B$6,Y$3)*SUMIFS('Data manipulation'!$V$39:$V$42,'Data manipulation'!$X$39:$X$42,$E178,'Data manipulation'!$Y$39:$Y$42,$D178)</f>
        <v>22.238943571121116</v>
      </c>
      <c r="Z178" s="432">
        <f>_xlfn.IFNA(INDEX('Data manipulation'!$C$23:$O$39,MATCH($V178,'Data manipulation'!$B$23:$B$39,0),MATCH($X178,'Data manipulation'!$C$22:$O$22,0))/1000,0)*SUMIFS('Regional split'!$F$4:$F$6,'Regional split'!$B$4:$B$6,Z$3)*SUMIFS('Data manipulation'!$V$39:$V$42,'Data manipulation'!$X$39:$X$42,$E178,'Data manipulation'!$Y$39:$Y$42,$D178)</f>
        <v>0</v>
      </c>
      <c r="AA178" s="432">
        <f>_xlfn.IFNA(INDEX('Data manipulation'!$C$23:$O$39,MATCH($V178,'Data manipulation'!$B$23:$B$39,0),MATCH($X178,'Data manipulation'!$C$22:$O$22,0))/1000,0)*SUMIFS('Regional split'!$F$4:$F$6,'Regional split'!$B$4:$B$6,AA$3)*SUMIFS('Data manipulation'!$V$39:$V$42,'Data manipulation'!$X$39:$X$42,$E178,'Data manipulation'!$Y$39:$Y$42,$D178)</f>
        <v>0</v>
      </c>
      <c r="AB178" s="443">
        <f t="shared" si="157"/>
        <v>21.126996392565058</v>
      </c>
      <c r="AC178" s="251">
        <f t="shared" si="158"/>
        <v>0</v>
      </c>
      <c r="AD178" s="444">
        <f t="shared" si="159"/>
        <v>0</v>
      </c>
      <c r="AU178" s="260"/>
      <c r="AZ178" s="252"/>
    </row>
    <row r="179" spans="2:52" ht="15" customHeight="1" thickBot="1">
      <c r="B179" s="255" t="str">
        <f t="shared" ref="B179:G179" si="272">B99</f>
        <v>CHTUDLPGE1</v>
      </c>
      <c r="C179" s="255" t="str">
        <f t="shared" si="272"/>
        <v>Commercial Heating Technology Urban Detached - LPG - Existing 1</v>
      </c>
      <c r="D179" s="528" t="str">
        <f t="shared" si="272"/>
        <v>Urban</v>
      </c>
      <c r="E179" s="528" t="str">
        <f t="shared" si="272"/>
        <v>Detached</v>
      </c>
      <c r="F179" s="255" t="str">
        <f t="shared" si="272"/>
        <v>COMLPG</v>
      </c>
      <c r="G179" s="255" t="str">
        <f t="shared" si="272"/>
        <v>COMHUDB</v>
      </c>
      <c r="H179" s="568">
        <f t="shared" si="262"/>
        <v>2048</v>
      </c>
      <c r="I179" s="297">
        <v>0</v>
      </c>
      <c r="J179" s="297">
        <v>0</v>
      </c>
      <c r="K179" s="297">
        <v>0</v>
      </c>
      <c r="L179" s="461">
        <v>0.95</v>
      </c>
      <c r="M179" s="461">
        <v>0.95</v>
      </c>
      <c r="N179" s="461">
        <v>0.95</v>
      </c>
      <c r="O179" s="257">
        <f t="shared" si="265"/>
        <v>3.1536000000000002E-2</v>
      </c>
      <c r="P179" s="458">
        <v>0.2</v>
      </c>
      <c r="Q179" s="258">
        <v>30</v>
      </c>
      <c r="R179" s="227">
        <v>1.05</v>
      </c>
      <c r="T179" s="268">
        <f t="shared" ref="T179:T209" si="273">SUM(I179:K179)*O179*P179/L179</f>
        <v>0</v>
      </c>
      <c r="U179" s="268"/>
      <c r="V179" s="590" t="str">
        <f>'Data manipulation'!$B$25</f>
        <v>Liquefied petroleum gas</v>
      </c>
      <c r="W179" s="427" t="s">
        <v>759</v>
      </c>
      <c r="X179" s="246">
        <v>2019</v>
      </c>
      <c r="Y179" s="432">
        <f>_xlfn.IFNA(INDEX('Data manipulation'!$C$23:$O$39,MATCH($V179,'Data manipulation'!$B$23:$B$39,0),MATCH($X179,'Data manipulation'!$C$22:$O$22,0))/1000,0)*SUMIFS('Regional split'!$F$4:$F$6,'Regional split'!$B$4:$B$6,Y$3)*SUMIFS('Data manipulation'!$V$39:$V$42,'Data manipulation'!$X$39:$X$42,$E179,'Data manipulation'!$Y$39:$Y$42,$D179)</f>
        <v>2.7831628538823532</v>
      </c>
      <c r="Z179" s="432">
        <f>_xlfn.IFNA(INDEX('Data manipulation'!$C$23:$O$39,MATCH($V179,'Data manipulation'!$B$23:$B$39,0),MATCH($X179,'Data manipulation'!$C$22:$O$22,0))/1000,0)*SUMIFS('Regional split'!$F$4:$F$6,'Regional split'!$B$4:$B$6,Z$3)*SUMIFS('Data manipulation'!$V$39:$V$42,'Data manipulation'!$X$39:$X$42,$E179,'Data manipulation'!$Y$39:$Y$42,$D179)</f>
        <v>0</v>
      </c>
      <c r="AA179" s="432">
        <f>_xlfn.IFNA(INDEX('Data manipulation'!$C$23:$O$39,MATCH($V179,'Data manipulation'!$B$23:$B$39,0),MATCH($X179,'Data manipulation'!$C$22:$O$22,0))/1000,0)*SUMIFS('Regional split'!$F$4:$F$6,'Regional split'!$B$4:$B$6,AA$3)*SUMIFS('Data manipulation'!$V$39:$V$42,'Data manipulation'!$X$39:$X$42,$E179,'Data manipulation'!$Y$39:$Y$42,$D179)</f>
        <v>0</v>
      </c>
      <c r="AB179" s="450">
        <f t="shared" si="157"/>
        <v>2.6440047111882352</v>
      </c>
      <c r="AC179" s="277">
        <f t="shared" si="158"/>
        <v>0</v>
      </c>
      <c r="AD179" s="446">
        <f t="shared" si="159"/>
        <v>0</v>
      </c>
      <c r="AU179" s="260"/>
      <c r="AZ179" s="252"/>
    </row>
    <row r="180" spans="2:52" ht="15" customHeight="1">
      <c r="B180" s="233" t="str">
        <f t="shared" ref="B180:G180" si="274">B100</f>
        <v>CHTRDNGAE1</v>
      </c>
      <c r="C180" s="233" t="str">
        <f t="shared" si="274"/>
        <v>Commercial Heating Technology Rural Detached - Natural Gas - Existing 1</v>
      </c>
      <c r="D180" s="233" t="str">
        <f t="shared" si="274"/>
        <v>Rural</v>
      </c>
      <c r="E180" s="233" t="str">
        <f t="shared" si="274"/>
        <v>Detached</v>
      </c>
      <c r="F180" s="233" t="str">
        <f t="shared" si="274"/>
        <v>COMNGA,COMSNG</v>
      </c>
      <c r="G180" s="233" t="str">
        <f t="shared" si="274"/>
        <v>COMHRDB</v>
      </c>
      <c r="H180" s="567">
        <f t="shared" si="262"/>
        <v>2043</v>
      </c>
      <c r="I180" s="250">
        <v>0</v>
      </c>
      <c r="J180" s="250">
        <v>0</v>
      </c>
      <c r="K180" s="250">
        <v>0</v>
      </c>
      <c r="L180" s="460">
        <v>0.79</v>
      </c>
      <c r="M180" s="460">
        <v>0.79</v>
      </c>
      <c r="N180" s="460">
        <v>0.79</v>
      </c>
      <c r="O180" s="244">
        <f t="shared" si="265"/>
        <v>3.1536000000000002E-2</v>
      </c>
      <c r="P180" s="458">
        <v>0.2</v>
      </c>
      <c r="Q180" s="245">
        <v>25</v>
      </c>
      <c r="R180" s="227">
        <v>1.05</v>
      </c>
      <c r="T180" s="268">
        <f t="shared" si="273"/>
        <v>0</v>
      </c>
      <c r="U180" s="268"/>
      <c r="V180" s="589" t="str">
        <f>'Data manipulation'!$B$36</f>
        <v>Natural gas and biogas</v>
      </c>
      <c r="W180" s="246" t="s">
        <v>167</v>
      </c>
      <c r="X180" s="246">
        <v>2019</v>
      </c>
      <c r="Y180" s="432">
        <f>_xlfn.IFNA(INDEX('Data manipulation'!$C$23:$O$39,MATCH($V180,'Data manipulation'!$B$23:$B$39,0),MATCH($X180,'Data manipulation'!$C$22:$O$22,0))/1000,0)*SUMIFS('Regional split'!$F$4:$F$6,'Regional split'!$B$4:$B$6,Y$3)*SUMIFS('Data manipulation'!$V$39:$V$42,'Data manipulation'!$X$39:$X$42,$E180,'Data manipulation'!$Y$39:$Y$42,$D180)</f>
        <v>103.85184821631751</v>
      </c>
      <c r="Z180" s="432">
        <f>_xlfn.IFNA(INDEX('Data manipulation'!$C$23:$O$39,MATCH($V180,'Data manipulation'!$B$23:$B$39,0),MATCH($X180,'Data manipulation'!$C$22:$O$22,0))/1000,0)*SUMIFS('Regional split'!$F$4:$F$6,'Regional split'!$B$4:$B$6,Z$3)*SUMIFS('Data manipulation'!$V$39:$V$42,'Data manipulation'!$X$39:$X$42,$E180,'Data manipulation'!$Y$39:$Y$42,$D180)</f>
        <v>0</v>
      </c>
      <c r="AA180" s="432">
        <f>_xlfn.IFNA(INDEX('Data manipulation'!$C$23:$O$39,MATCH($V180,'Data manipulation'!$B$23:$B$39,0),MATCH($X180,'Data manipulation'!$C$22:$O$22,0))/1000,0)*SUMIFS('Regional split'!$F$4:$F$6,'Regional split'!$B$4:$B$6,AA$3)*SUMIFS('Data manipulation'!$V$39:$V$42,'Data manipulation'!$X$39:$X$42,$E180,'Data manipulation'!$Y$39:$Y$42,$D180)</f>
        <v>0</v>
      </c>
      <c r="AB180" s="451">
        <f t="shared" si="157"/>
        <v>82.04296009089083</v>
      </c>
      <c r="AC180" s="278">
        <f t="shared" si="158"/>
        <v>0</v>
      </c>
      <c r="AD180" s="447">
        <f t="shared" si="159"/>
        <v>0</v>
      </c>
      <c r="AU180" s="260"/>
      <c r="AZ180" s="252"/>
    </row>
    <row r="181" spans="2:52" ht="15" customHeight="1">
      <c r="B181" s="233" t="str">
        <f t="shared" ref="B181:G181" si="275">B101</f>
        <v>CHTRDDSLE1</v>
      </c>
      <c r="C181" s="233" t="str">
        <f t="shared" si="275"/>
        <v>Commercial Heating Technology Rural Detached - Diesel - Existing 1</v>
      </c>
      <c r="D181" s="233" t="str">
        <f t="shared" si="275"/>
        <v>Rural</v>
      </c>
      <c r="E181" s="233" t="str">
        <f t="shared" si="275"/>
        <v>Detached</v>
      </c>
      <c r="F181" s="233" t="str">
        <f t="shared" si="275"/>
        <v>COMDSL,COMDSB</v>
      </c>
      <c r="G181" s="233" t="str">
        <f t="shared" si="275"/>
        <v>COMHRDB</v>
      </c>
      <c r="H181" s="567">
        <f t="shared" si="262"/>
        <v>2038</v>
      </c>
      <c r="I181" s="250">
        <v>0</v>
      </c>
      <c r="J181" s="250">
        <v>0</v>
      </c>
      <c r="K181" s="250">
        <v>0</v>
      </c>
      <c r="L181" s="460">
        <v>0.79</v>
      </c>
      <c r="M181" s="460">
        <v>0.79</v>
      </c>
      <c r="N181" s="460">
        <v>0.79</v>
      </c>
      <c r="O181" s="244">
        <f t="shared" si="265"/>
        <v>3.1536000000000002E-2</v>
      </c>
      <c r="P181" s="458">
        <v>0.2</v>
      </c>
      <c r="Q181" s="245">
        <v>20</v>
      </c>
      <c r="R181" s="227">
        <v>1.05</v>
      </c>
      <c r="T181" s="268">
        <f t="shared" si="273"/>
        <v>0</v>
      </c>
      <c r="V181" s="589" t="str">
        <f>'Data manipulation'!$B$28</f>
        <v>Gas oil and diesel oil and biodiesel</v>
      </c>
      <c r="W181" s="254" t="s">
        <v>718</v>
      </c>
      <c r="X181" s="246">
        <v>2019</v>
      </c>
      <c r="Y181" s="432">
        <f>_xlfn.IFNA(INDEX('Data manipulation'!$C$23:$O$39,MATCH($V181,'Data manipulation'!$B$23:$B$39,0),MATCH($X181,'Data manipulation'!$C$22:$O$22,0))/1000,0)*SUMIFS('Regional split'!$F$4:$F$6,'Regional split'!$B$4:$B$6,Y$3)*SUMIFS('Data manipulation'!$V$39:$V$42,'Data manipulation'!$X$39:$X$42,$E181,'Data manipulation'!$Y$39:$Y$42,$D181)</f>
        <v>36.179900307171785</v>
      </c>
      <c r="Z181" s="432">
        <f>_xlfn.IFNA(INDEX('Data manipulation'!$C$23:$O$39,MATCH($V181,'Data manipulation'!$B$23:$B$39,0),MATCH($X181,'Data manipulation'!$C$22:$O$22,0))/1000,0)*SUMIFS('Regional split'!$F$4:$F$6,'Regional split'!$B$4:$B$6,Z$3)*SUMIFS('Data manipulation'!$V$39:$V$42,'Data manipulation'!$X$39:$X$42,$E181,'Data manipulation'!$Y$39:$Y$42,$D181)</f>
        <v>0</v>
      </c>
      <c r="AA181" s="432">
        <f>_xlfn.IFNA(INDEX('Data manipulation'!$C$23:$O$39,MATCH($V181,'Data manipulation'!$B$23:$B$39,0),MATCH($X181,'Data manipulation'!$C$22:$O$22,0))/1000,0)*SUMIFS('Regional split'!$F$4:$F$6,'Regional split'!$B$4:$B$6,AA$3)*SUMIFS('Data manipulation'!$V$39:$V$42,'Data manipulation'!$X$39:$X$42,$E181,'Data manipulation'!$Y$39:$Y$42,$D181)</f>
        <v>0</v>
      </c>
      <c r="AB181" s="443">
        <f t="shared" si="157"/>
        <v>28.582121242665711</v>
      </c>
      <c r="AC181" s="251">
        <f t="shared" si="158"/>
        <v>0</v>
      </c>
      <c r="AD181" s="444">
        <f t="shared" si="159"/>
        <v>0</v>
      </c>
      <c r="AU181" s="260"/>
      <c r="AZ181" s="252"/>
    </row>
    <row r="182" spans="2:52" ht="15" customHeight="1">
      <c r="B182" s="233" t="str">
        <f t="shared" ref="B182:G182" si="276">B102</f>
        <v>CHTRDWPEE1</v>
      </c>
      <c r="C182" s="233" t="str">
        <f t="shared" si="276"/>
        <v>Commercial Heating Technology Rural Detached - Wood pellets - Existing 1</v>
      </c>
      <c r="D182" s="233" t="str">
        <f t="shared" si="276"/>
        <v>Rural</v>
      </c>
      <c r="E182" s="233" t="str">
        <f t="shared" si="276"/>
        <v>Detached</v>
      </c>
      <c r="F182" s="233" t="str">
        <f t="shared" si="276"/>
        <v>COMWPE</v>
      </c>
      <c r="G182" s="233" t="str">
        <f t="shared" si="276"/>
        <v>COMHRDB</v>
      </c>
      <c r="H182" s="567">
        <f t="shared" si="262"/>
        <v>2038</v>
      </c>
      <c r="I182" s="250">
        <v>0</v>
      </c>
      <c r="J182" s="250">
        <v>0</v>
      </c>
      <c r="K182" s="250">
        <v>0</v>
      </c>
      <c r="L182" s="460">
        <v>0.67</v>
      </c>
      <c r="M182" s="460">
        <v>0.67</v>
      </c>
      <c r="N182" s="460">
        <v>0.67</v>
      </c>
      <c r="O182" s="244">
        <f>31.536/1000</f>
        <v>3.1536000000000002E-2</v>
      </c>
      <c r="P182" s="458">
        <v>0.2</v>
      </c>
      <c r="Q182" s="245">
        <v>20</v>
      </c>
      <c r="R182" s="227">
        <v>1.05</v>
      </c>
      <c r="T182" s="268">
        <f t="shared" si="273"/>
        <v>0</v>
      </c>
      <c r="U182" s="268"/>
      <c r="W182" s="254" t="s">
        <v>849</v>
      </c>
      <c r="X182" s="246">
        <v>2019</v>
      </c>
      <c r="Y182" s="432">
        <f>_xlfn.IFNA(INDEX('Data manipulation'!$C$23:$O$39,MATCH($V182,'Data manipulation'!$B$23:$B$39,0),MATCH($X182,'Data manipulation'!$C$22:$O$22,0))/1000,0)*SUMIFS('Regional split'!$F$4:$F$6,'Regional split'!$B$4:$B$6,Y$3)*SUMIFS('Data manipulation'!$V$39:$V$42,'Data manipulation'!$X$39:$X$42,$E182,'Data manipulation'!$Y$39:$Y$42,$D182)</f>
        <v>0</v>
      </c>
      <c r="Z182" s="432">
        <f>_xlfn.IFNA(INDEX('Data manipulation'!$C$23:$O$39,MATCH($V182,'Data manipulation'!$B$23:$B$39,0),MATCH($X182,'Data manipulation'!$C$22:$O$22,0))/1000,0)*SUMIFS('Regional split'!$F$4:$F$6,'Regional split'!$B$4:$B$6,Z$3)*SUMIFS('Data manipulation'!$V$39:$V$42,'Data manipulation'!$X$39:$X$42,$E182,'Data manipulation'!$Y$39:$Y$42,$D182)</f>
        <v>0</v>
      </c>
      <c r="AA182" s="432">
        <f>_xlfn.IFNA(INDEX('Data manipulation'!$C$23:$O$39,MATCH($V182,'Data manipulation'!$B$23:$B$39,0),MATCH($X182,'Data manipulation'!$C$22:$O$22,0))/1000,0)*SUMIFS('Regional split'!$F$4:$F$6,'Regional split'!$B$4:$B$6,AA$3)*SUMIFS('Data manipulation'!$V$39:$V$42,'Data manipulation'!$X$39:$X$42,$E182,'Data manipulation'!$Y$39:$Y$42,$D182)</f>
        <v>0</v>
      </c>
      <c r="AB182" s="443">
        <f t="shared" si="157"/>
        <v>0</v>
      </c>
      <c r="AC182" s="251">
        <f t="shared" si="158"/>
        <v>0</v>
      </c>
      <c r="AD182" s="444">
        <f t="shared" si="159"/>
        <v>0</v>
      </c>
      <c r="AU182" s="260"/>
      <c r="AZ182" s="252"/>
    </row>
    <row r="183" spans="2:52" ht="15" customHeight="1">
      <c r="B183" s="233" t="str">
        <f t="shared" ref="B183:G183" si="277">B103</f>
        <v>CHTRDFIWE1</v>
      </c>
      <c r="C183" s="233" t="str">
        <f t="shared" si="277"/>
        <v>Commercial Heating Technology Rural Detached - Fire wood - Existing 1</v>
      </c>
      <c r="D183" s="233" t="str">
        <f t="shared" si="277"/>
        <v>Rural</v>
      </c>
      <c r="E183" s="233" t="str">
        <f t="shared" si="277"/>
        <v>Detached</v>
      </c>
      <c r="F183" s="233" t="str">
        <f t="shared" si="277"/>
        <v>COMFIW</v>
      </c>
      <c r="G183" s="233" t="str">
        <f t="shared" si="277"/>
        <v>COMHRDB</v>
      </c>
      <c r="H183" s="567">
        <f t="shared" si="262"/>
        <v>2038</v>
      </c>
      <c r="I183" s="250">
        <v>0</v>
      </c>
      <c r="J183" s="250">
        <v>0</v>
      </c>
      <c r="K183" s="250">
        <v>0</v>
      </c>
      <c r="L183" s="460">
        <v>0.67</v>
      </c>
      <c r="M183" s="460">
        <v>0.67</v>
      </c>
      <c r="N183" s="460">
        <v>0.67</v>
      </c>
      <c r="O183" s="244">
        <f>31.536/1000</f>
        <v>3.1536000000000002E-2</v>
      </c>
      <c r="P183" s="458">
        <v>0.2</v>
      </c>
      <c r="Q183" s="245">
        <v>20</v>
      </c>
      <c r="R183" s="227">
        <v>1.05</v>
      </c>
      <c r="T183" s="268">
        <f t="shared" si="273"/>
        <v>0</v>
      </c>
      <c r="U183" s="268"/>
      <c r="V183" s="589" t="str">
        <f>'Data manipulation'!$B$31</f>
        <v>Primary solid biofuels</v>
      </c>
      <c r="W183" s="254" t="s">
        <v>176</v>
      </c>
      <c r="X183" s="246">
        <v>2019</v>
      </c>
      <c r="Y183" s="432">
        <f>_xlfn.IFNA(INDEX('Data manipulation'!$C$23:$O$39,MATCH($V183,'Data manipulation'!$B$23:$B$39,0),MATCH($X183,'Data manipulation'!$C$22:$O$22,0))/1000,0)*SUMIFS('Regional split'!$F$4:$F$6,'Regional split'!$B$4:$B$6,Y$3)*SUMIFS('Data manipulation'!$V$39:$V$42,'Data manipulation'!$X$39:$X$42,$E183,'Data manipulation'!$Y$39:$Y$42,$D183)</f>
        <v>17.824881284737895</v>
      </c>
      <c r="Z183" s="432">
        <f>_xlfn.IFNA(INDEX('Data manipulation'!$C$23:$O$39,MATCH($V183,'Data manipulation'!$B$23:$B$39,0),MATCH($X183,'Data manipulation'!$C$22:$O$22,0))/1000,0)*SUMIFS('Regional split'!$F$4:$F$6,'Regional split'!$B$4:$B$6,Z$3)*SUMIFS('Data manipulation'!$V$39:$V$42,'Data manipulation'!$X$39:$X$42,$E183,'Data manipulation'!$Y$39:$Y$42,$D183)</f>
        <v>0</v>
      </c>
      <c r="AA183" s="432">
        <f>_xlfn.IFNA(INDEX('Data manipulation'!$C$23:$O$39,MATCH($V183,'Data manipulation'!$B$23:$B$39,0),MATCH($X183,'Data manipulation'!$C$22:$O$22,0))/1000,0)*SUMIFS('Regional split'!$F$4:$F$6,'Regional split'!$B$4:$B$6,AA$3)*SUMIFS('Data manipulation'!$V$39:$V$42,'Data manipulation'!$X$39:$X$42,$E183,'Data manipulation'!$Y$39:$Y$42,$D183)</f>
        <v>0</v>
      </c>
      <c r="AB183" s="443">
        <f t="shared" si="157"/>
        <v>11.942670460774391</v>
      </c>
      <c r="AC183" s="251">
        <f t="shared" si="158"/>
        <v>0</v>
      </c>
      <c r="AD183" s="444">
        <f t="shared" si="159"/>
        <v>0</v>
      </c>
      <c r="AU183" s="260"/>
      <c r="AZ183" s="252"/>
    </row>
    <row r="184" spans="2:52" ht="15" customHeight="1">
      <c r="B184" s="233" t="str">
        <f t="shared" ref="B184:G184" si="278">B104</f>
        <v>CHTRDCOAE1</v>
      </c>
      <c r="C184" s="233" t="str">
        <f t="shared" si="278"/>
        <v>Commercial Heating Technology Rural Detached - Coal - Existing 1</v>
      </c>
      <c r="D184" s="233" t="str">
        <f t="shared" si="278"/>
        <v>Rural</v>
      </c>
      <c r="E184" s="233" t="str">
        <f t="shared" si="278"/>
        <v>Detached</v>
      </c>
      <c r="F184" s="233" t="str">
        <f t="shared" si="278"/>
        <v>COMCOA</v>
      </c>
      <c r="G184" s="233" t="str">
        <f t="shared" si="278"/>
        <v>COMHRDB</v>
      </c>
      <c r="H184" s="567">
        <f t="shared" si="262"/>
        <v>2038</v>
      </c>
      <c r="I184" s="250">
        <v>0</v>
      </c>
      <c r="J184" s="250">
        <v>0</v>
      </c>
      <c r="K184" s="250">
        <v>0</v>
      </c>
      <c r="L184" s="460">
        <v>0.72</v>
      </c>
      <c r="M184" s="460">
        <v>0.72</v>
      </c>
      <c r="N184" s="460">
        <v>0.72</v>
      </c>
      <c r="O184" s="244">
        <f t="shared" si="265"/>
        <v>3.1536000000000002E-2</v>
      </c>
      <c r="P184" s="458">
        <v>0.2</v>
      </c>
      <c r="Q184" s="245">
        <v>20</v>
      </c>
      <c r="R184" s="227">
        <v>1.05</v>
      </c>
      <c r="T184" s="268">
        <f t="shared" si="273"/>
        <v>0</v>
      </c>
      <c r="U184" s="268"/>
      <c r="V184" s="589" t="str">
        <f>'Data manipulation'!$B$23</f>
        <v>Solid fossil fuels, peat, peat products, oil shale and oil sands</v>
      </c>
      <c r="W184" s="254" t="s">
        <v>846</v>
      </c>
      <c r="X184" s="246">
        <v>2019</v>
      </c>
      <c r="Y184" s="432">
        <f>_xlfn.IFNA(INDEX('Data manipulation'!$C$23:$O$39,MATCH($V184,'Data manipulation'!$B$23:$B$39,0),MATCH($X184,'Data manipulation'!$C$22:$O$22,0))/1000,0)*SUMIFS('Regional split'!$F$4:$F$6,'Regional split'!$B$4:$B$6,Y$3)*SUMIFS('Data manipulation'!$V$39:$V$42,'Data manipulation'!$X$39:$X$42,$E184,'Data manipulation'!$Y$39:$Y$42,$D184)</f>
        <v>2.4559172000000001E-2</v>
      </c>
      <c r="Z184" s="432">
        <f>_xlfn.IFNA(INDEX('Data manipulation'!$C$23:$O$39,MATCH($V184,'Data manipulation'!$B$23:$B$39,0),MATCH($X184,'Data manipulation'!$C$22:$O$22,0))/1000,0)*SUMIFS('Regional split'!$F$4:$F$6,'Regional split'!$B$4:$B$6,Z$3)*SUMIFS('Data manipulation'!$V$39:$V$42,'Data manipulation'!$X$39:$X$42,$E184,'Data manipulation'!$Y$39:$Y$42,$D184)</f>
        <v>0</v>
      </c>
      <c r="AA184" s="432">
        <f>_xlfn.IFNA(INDEX('Data manipulation'!$C$23:$O$39,MATCH($V184,'Data manipulation'!$B$23:$B$39,0),MATCH($X184,'Data manipulation'!$C$22:$O$22,0))/1000,0)*SUMIFS('Regional split'!$F$4:$F$6,'Regional split'!$B$4:$B$6,AA$3)*SUMIFS('Data manipulation'!$V$39:$V$42,'Data manipulation'!$X$39:$X$42,$E184,'Data manipulation'!$Y$39:$Y$42,$D184)</f>
        <v>0</v>
      </c>
      <c r="AB184" s="443">
        <f t="shared" si="157"/>
        <v>1.7682603839999998E-2</v>
      </c>
      <c r="AC184" s="251">
        <f t="shared" si="158"/>
        <v>0</v>
      </c>
      <c r="AD184" s="444">
        <f t="shared" si="159"/>
        <v>0</v>
      </c>
      <c r="AU184" s="260"/>
      <c r="AZ184" s="252"/>
    </row>
    <row r="185" spans="2:52" ht="15" customHeight="1">
      <c r="B185" s="233" t="str">
        <f t="shared" ref="B185:G185" si="279">B105</f>
        <v>CHTRDSOLE1</v>
      </c>
      <c r="C185" s="233" t="str">
        <f t="shared" si="279"/>
        <v>Commercial Heating Technology Rural Detached - Solar - Existing 1</v>
      </c>
      <c r="D185" s="233" t="str">
        <f t="shared" si="279"/>
        <v>Rural</v>
      </c>
      <c r="E185" s="233" t="str">
        <f t="shared" si="279"/>
        <v>Detached</v>
      </c>
      <c r="F185" s="233" t="str">
        <f t="shared" si="279"/>
        <v>COMSOL</v>
      </c>
      <c r="G185" s="233" t="str">
        <f t="shared" si="279"/>
        <v>COMHRDB</v>
      </c>
      <c r="H185" s="567">
        <f t="shared" si="262"/>
        <v>2038</v>
      </c>
      <c r="I185" s="250">
        <v>0</v>
      </c>
      <c r="J185" s="250">
        <v>0</v>
      </c>
      <c r="K185" s="250">
        <v>0</v>
      </c>
      <c r="L185" s="460">
        <v>1</v>
      </c>
      <c r="M185" s="460">
        <v>1</v>
      </c>
      <c r="N185" s="460">
        <v>1</v>
      </c>
      <c r="O185" s="244">
        <f t="shared" si="265"/>
        <v>3.1536000000000002E-2</v>
      </c>
      <c r="P185" s="458">
        <v>0.2</v>
      </c>
      <c r="Q185" s="245">
        <v>20</v>
      </c>
      <c r="R185" s="227">
        <v>1.05</v>
      </c>
      <c r="T185" s="268">
        <f t="shared" si="273"/>
        <v>0</v>
      </c>
      <c r="U185" s="268"/>
      <c r="V185" s="589" t="str">
        <f>'Data manipulation'!$B$29</f>
        <v>Solar thermal</v>
      </c>
      <c r="W185" s="254" t="s">
        <v>168</v>
      </c>
      <c r="X185" s="246">
        <v>2019</v>
      </c>
      <c r="Y185" s="432">
        <f>_xlfn.IFNA(INDEX('Data manipulation'!$C$23:$O$39,MATCH($V185,'Data manipulation'!$B$23:$B$39,0),MATCH($X185,'Data manipulation'!$C$22:$O$22,0))/1000,0)*SUMIFS('Regional split'!$F$4:$F$6,'Regional split'!$B$4:$B$6,Y$3)*SUMIFS('Data manipulation'!$V$39:$V$42,'Data manipulation'!$X$39:$X$42,$E185,'Data manipulation'!$Y$39:$Y$42,$D185)</f>
        <v>5.2821296000000004E-2</v>
      </c>
      <c r="Z185" s="432">
        <f>_xlfn.IFNA(INDEX('Data manipulation'!$C$23:$O$39,MATCH($V185,'Data manipulation'!$B$23:$B$39,0),MATCH($X185,'Data manipulation'!$C$22:$O$22,0))/1000,0)*SUMIFS('Regional split'!$F$4:$F$6,'Regional split'!$B$4:$B$6,Z$3)*SUMIFS('Data manipulation'!$V$39:$V$42,'Data manipulation'!$X$39:$X$42,$E185,'Data manipulation'!$Y$39:$Y$42,$D185)</f>
        <v>0</v>
      </c>
      <c r="AA185" s="432">
        <f>_xlfn.IFNA(INDEX('Data manipulation'!$C$23:$O$39,MATCH($V185,'Data manipulation'!$B$23:$B$39,0),MATCH($X185,'Data manipulation'!$C$22:$O$22,0))/1000,0)*SUMIFS('Regional split'!$F$4:$F$6,'Regional split'!$B$4:$B$6,AA$3)*SUMIFS('Data manipulation'!$V$39:$V$42,'Data manipulation'!$X$39:$X$42,$E185,'Data manipulation'!$Y$39:$Y$42,$D185)</f>
        <v>0</v>
      </c>
      <c r="AB185" s="443">
        <f t="shared" si="157"/>
        <v>5.2821296000000004E-2</v>
      </c>
      <c r="AC185" s="251">
        <f t="shared" si="158"/>
        <v>0</v>
      </c>
      <c r="AD185" s="444">
        <f t="shared" si="159"/>
        <v>0</v>
      </c>
      <c r="AU185" s="260"/>
      <c r="AZ185" s="252"/>
    </row>
    <row r="186" spans="2:52" ht="15" customHeight="1">
      <c r="B186" s="233" t="str">
        <f t="shared" ref="B186:G186" si="280">B106</f>
        <v>CHTRDELCHE1</v>
      </c>
      <c r="C186" s="233" t="str">
        <f t="shared" si="280"/>
        <v>Commercial Heating Technology Rural Detached - Electricity Heating - Existing 1</v>
      </c>
      <c r="D186" s="233" t="str">
        <f t="shared" si="280"/>
        <v>Rural</v>
      </c>
      <c r="E186" s="233" t="str">
        <f t="shared" si="280"/>
        <v>Detached</v>
      </c>
      <c r="F186" s="233" t="str">
        <f t="shared" si="280"/>
        <v>COMELCH</v>
      </c>
      <c r="G186" s="233" t="str">
        <f t="shared" si="280"/>
        <v>COMHRDB</v>
      </c>
      <c r="H186" s="567">
        <f t="shared" si="262"/>
        <v>2048</v>
      </c>
      <c r="I186" s="250">
        <v>0</v>
      </c>
      <c r="J186" s="250">
        <v>0</v>
      </c>
      <c r="K186" s="250">
        <v>0</v>
      </c>
      <c r="L186" s="460">
        <v>1</v>
      </c>
      <c r="M186" s="460">
        <v>1</v>
      </c>
      <c r="N186" s="460">
        <v>1</v>
      </c>
      <c r="O186" s="244">
        <f t="shared" si="265"/>
        <v>3.1536000000000002E-2</v>
      </c>
      <c r="P186" s="458">
        <v>0.2</v>
      </c>
      <c r="Q186" s="245">
        <v>30</v>
      </c>
      <c r="R186" s="227">
        <v>1.05</v>
      </c>
      <c r="T186" s="268">
        <f t="shared" si="273"/>
        <v>0</v>
      </c>
      <c r="U186" s="268"/>
      <c r="V186" s="589" t="str">
        <f>'Data manipulation'!$B$33</f>
        <v>Electricity</v>
      </c>
      <c r="W186" s="254" t="s">
        <v>169</v>
      </c>
      <c r="X186" s="246">
        <v>2019</v>
      </c>
      <c r="Y186" s="432">
        <f>_xlfn.IFNA(INDEX('Data manipulation'!$C$23:$O$39,MATCH($V186,'Data manipulation'!$B$23:$B$39,0),MATCH($X186,'Data manipulation'!$C$22:$O$22,0))/1000,0)*SUMIFS('Regional split'!$F$4:$F$6,'Regional split'!$B$4:$B$6,Y$3)*SUMIFS('Data manipulation'!$V$39:$V$42,'Data manipulation'!$X$39:$X$42,$E186,'Data manipulation'!$Y$39:$Y$42,$D186)</f>
        <v>8.8015368172902804</v>
      </c>
      <c r="Z186" s="432">
        <f>_xlfn.IFNA(INDEX('Data manipulation'!$C$23:$O$39,MATCH($V186,'Data manipulation'!$B$23:$B$39,0),MATCH($X186,'Data manipulation'!$C$22:$O$22,0))/1000,0)*SUMIFS('Regional split'!$F$4:$F$6,'Regional split'!$B$4:$B$6,Z$3)*SUMIFS('Data manipulation'!$V$39:$V$42,'Data manipulation'!$X$39:$X$42,$E186,'Data manipulation'!$Y$39:$Y$42,$D186)</f>
        <v>0</v>
      </c>
      <c r="AA186" s="432">
        <f>_xlfn.IFNA(INDEX('Data manipulation'!$C$23:$O$39,MATCH($V186,'Data manipulation'!$B$23:$B$39,0),MATCH($X186,'Data manipulation'!$C$22:$O$22,0))/1000,0)*SUMIFS('Regional split'!$F$4:$F$6,'Regional split'!$B$4:$B$6,AA$3)*SUMIFS('Data manipulation'!$V$39:$V$42,'Data manipulation'!$X$39:$X$42,$E186,'Data manipulation'!$Y$39:$Y$42,$D186)</f>
        <v>0</v>
      </c>
      <c r="AB186" s="443">
        <f t="shared" si="157"/>
        <v>8.8015368172902804</v>
      </c>
      <c r="AC186" s="251">
        <f t="shared" si="158"/>
        <v>0</v>
      </c>
      <c r="AD186" s="444">
        <f t="shared" si="159"/>
        <v>0</v>
      </c>
      <c r="AU186" s="260"/>
      <c r="AZ186" s="252"/>
    </row>
    <row r="187" spans="2:52" ht="15" customHeight="1">
      <c r="B187" s="233" t="str">
        <f t="shared" ref="B187:G187" si="281">B107</f>
        <v>CHTRDELCHE2</v>
      </c>
      <c r="C187" s="233" t="str">
        <f t="shared" si="281"/>
        <v>Commercial Heating Technology Rural Detached - Electricity Heating - Existing 2</v>
      </c>
      <c r="D187" s="233" t="str">
        <f t="shared" si="281"/>
        <v>Rural</v>
      </c>
      <c r="E187" s="233" t="str">
        <f t="shared" si="281"/>
        <v>Detached</v>
      </c>
      <c r="F187" s="233" t="str">
        <f t="shared" si="281"/>
        <v>COMELCH</v>
      </c>
      <c r="G187" s="233" t="str">
        <f t="shared" si="281"/>
        <v>COMHRDB</v>
      </c>
      <c r="H187" s="567">
        <f t="shared" si="262"/>
        <v>2048</v>
      </c>
      <c r="I187" s="250">
        <v>0</v>
      </c>
      <c r="J187" s="250">
        <v>0</v>
      </c>
      <c r="K187" s="250">
        <v>0</v>
      </c>
      <c r="L187" s="460">
        <v>2.3149999999999999</v>
      </c>
      <c r="M187" s="460">
        <v>2.3149999999999999</v>
      </c>
      <c r="N187" s="460">
        <v>2.3149999999999999</v>
      </c>
      <c r="O187" s="244">
        <f t="shared" si="265"/>
        <v>3.1536000000000002E-2</v>
      </c>
      <c r="P187" s="458">
        <v>0.2</v>
      </c>
      <c r="Q187" s="245">
        <v>30</v>
      </c>
      <c r="R187" s="227">
        <v>1.05</v>
      </c>
      <c r="T187" s="268">
        <f t="shared" si="273"/>
        <v>0</v>
      </c>
      <c r="U187" s="268"/>
      <c r="V187" s="589" t="str">
        <f>'Data manipulation'!$B$30</f>
        <v>Ambient heat (heat pumps)</v>
      </c>
      <c r="W187" s="254" t="s">
        <v>170</v>
      </c>
      <c r="X187" s="246">
        <v>2019</v>
      </c>
      <c r="Y187" s="432">
        <f>_xlfn.IFNA(INDEX('Data manipulation'!$C$23:$O$39,MATCH($V187,'Data manipulation'!$B$23:$B$39,0),MATCH($X187,'Data manipulation'!$C$22:$O$22,0))/1000,0)*SUMIFS('Regional split'!$F$4:$F$6,'Regional split'!$B$4:$B$6,Y$3)*SUMIFS('Data manipulation'!$V$39:$V$42,'Data manipulation'!$X$39:$X$42,$E187,'Data manipulation'!$Y$39:$Y$42,$D187)</f>
        <v>1.2145733600000002</v>
      </c>
      <c r="Z187" s="432">
        <f>_xlfn.IFNA(INDEX('Data manipulation'!$C$23:$O$39,MATCH($V187,'Data manipulation'!$B$23:$B$39,0),MATCH($X187,'Data manipulation'!$C$22:$O$22,0))/1000,0)*SUMIFS('Regional split'!$F$4:$F$6,'Regional split'!$B$4:$B$6,Z$3)*SUMIFS('Data manipulation'!$V$39:$V$42,'Data manipulation'!$X$39:$X$42,$E187,'Data manipulation'!$Y$39:$Y$42,$D187)</f>
        <v>0</v>
      </c>
      <c r="AA187" s="432">
        <f>_xlfn.IFNA(INDEX('Data manipulation'!$C$23:$O$39,MATCH($V187,'Data manipulation'!$B$23:$B$39,0),MATCH($X187,'Data manipulation'!$C$22:$O$22,0))/1000,0)*SUMIFS('Regional split'!$F$4:$F$6,'Regional split'!$B$4:$B$6,AA$3)*SUMIFS('Data manipulation'!$V$39:$V$42,'Data manipulation'!$X$39:$X$42,$E187,'Data manipulation'!$Y$39:$Y$42,$D187)</f>
        <v>0</v>
      </c>
      <c r="AB187" s="443">
        <f t="shared" si="157"/>
        <v>2.8117373284000005</v>
      </c>
      <c r="AC187" s="251">
        <f t="shared" si="158"/>
        <v>0</v>
      </c>
      <c r="AD187" s="444">
        <f t="shared" si="159"/>
        <v>0</v>
      </c>
      <c r="AU187" s="260"/>
      <c r="AZ187" s="252"/>
    </row>
    <row r="188" spans="2:52" ht="15" customHeight="1">
      <c r="B188" s="233" t="str">
        <f t="shared" ref="B188:G188" si="282">B108</f>
        <v>CHTRDHCEE1</v>
      </c>
      <c r="C188" s="233" t="str">
        <f t="shared" si="282"/>
        <v>Commercial Heating Technology Rural Detached - District heating Central - Existing 1</v>
      </c>
      <c r="D188" s="233" t="str">
        <f t="shared" si="282"/>
        <v>Rural</v>
      </c>
      <c r="E188" s="233" t="str">
        <f t="shared" si="282"/>
        <v>Detached</v>
      </c>
      <c r="F188" s="233" t="str">
        <f t="shared" si="282"/>
        <v>COMHDE</v>
      </c>
      <c r="G188" s="233" t="str">
        <f t="shared" si="282"/>
        <v>COMHRDB</v>
      </c>
      <c r="H188" s="569">
        <f t="shared" si="262"/>
        <v>2048</v>
      </c>
      <c r="I188" s="565">
        <v>0</v>
      </c>
      <c r="J188" s="565">
        <v>0</v>
      </c>
      <c r="K188" s="565">
        <v>0</v>
      </c>
      <c r="L188" s="460">
        <v>0.98</v>
      </c>
      <c r="M188" s="460">
        <v>0.98</v>
      </c>
      <c r="N188" s="460">
        <v>0.98</v>
      </c>
      <c r="O188" s="244">
        <f t="shared" si="265"/>
        <v>3.1536000000000002E-2</v>
      </c>
      <c r="P188" s="458">
        <v>0.2</v>
      </c>
      <c r="Q188" s="245">
        <v>30</v>
      </c>
      <c r="R188" s="227">
        <v>1.05</v>
      </c>
      <c r="T188" s="268">
        <f t="shared" si="273"/>
        <v>0</v>
      </c>
      <c r="U188" s="268"/>
      <c r="V188" s="589" t="str">
        <f>'Data manipulation'!$B$34</f>
        <v>Heat</v>
      </c>
      <c r="W188" s="254" t="s">
        <v>171</v>
      </c>
      <c r="X188" s="246">
        <v>2019</v>
      </c>
      <c r="Y188" s="432">
        <f>_xlfn.IFNA(INDEX('Data manipulation'!$C$23:$O$39,MATCH($V188,'Data manipulation'!$B$23:$B$39,0),MATCH($X188,'Data manipulation'!$C$22:$O$22,0))/1000,0)*SUMIFS('Regional split'!$F$4:$F$6,'Regional split'!$B$4:$B$6,Y$3)*SUMIFS('Data manipulation'!$V$39:$V$42,'Data manipulation'!$X$39:$X$42,$E188,'Data manipulation'!$Y$39:$Y$42,$D188)</f>
        <v>16.891007140922941</v>
      </c>
      <c r="Z188" s="432">
        <f>_xlfn.IFNA(INDEX('Data manipulation'!$C$23:$O$39,MATCH($V188,'Data manipulation'!$B$23:$B$39,0),MATCH($X188,'Data manipulation'!$C$22:$O$22,0))/1000,0)*SUMIFS('Regional split'!$F$4:$F$6,'Regional split'!$B$4:$B$6,Z$3)*SUMIFS('Data manipulation'!$V$39:$V$42,'Data manipulation'!$X$39:$X$42,$E188,'Data manipulation'!$Y$39:$Y$42,$D188)</f>
        <v>0</v>
      </c>
      <c r="AA188" s="432">
        <f>_xlfn.IFNA(INDEX('Data manipulation'!$C$23:$O$39,MATCH($V188,'Data manipulation'!$B$23:$B$39,0),MATCH($X188,'Data manipulation'!$C$22:$O$22,0))/1000,0)*SUMIFS('Regional split'!$F$4:$F$6,'Regional split'!$B$4:$B$6,AA$3)*SUMIFS('Data manipulation'!$V$39:$V$42,'Data manipulation'!$X$39:$X$42,$E188,'Data manipulation'!$Y$39:$Y$42,$D188)</f>
        <v>0</v>
      </c>
      <c r="AB188" s="443">
        <f t="shared" si="157"/>
        <v>16.553186998104483</v>
      </c>
      <c r="AC188" s="251">
        <f t="shared" si="158"/>
        <v>0</v>
      </c>
      <c r="AD188" s="444">
        <f t="shared" si="159"/>
        <v>0</v>
      </c>
      <c r="AU188" s="260"/>
      <c r="AZ188" s="252"/>
    </row>
    <row r="189" spans="2:52" ht="15" customHeight="1" thickBot="1">
      <c r="B189" s="233" t="str">
        <f t="shared" ref="B189:G189" si="283">B109</f>
        <v>CHTRDLPGE1</v>
      </c>
      <c r="C189" s="233" t="str">
        <f t="shared" si="283"/>
        <v>Commercial Heating Technology Rural Detached - LPG - Existing 1</v>
      </c>
      <c r="D189" s="233" t="str">
        <f t="shared" si="283"/>
        <v>Rural</v>
      </c>
      <c r="E189" s="233" t="str">
        <f t="shared" si="283"/>
        <v>Detached</v>
      </c>
      <c r="F189" s="233" t="str">
        <f t="shared" si="283"/>
        <v>COMLPG</v>
      </c>
      <c r="G189" s="233" t="str">
        <f t="shared" si="283"/>
        <v>COMHRDB</v>
      </c>
      <c r="H189" s="569">
        <f t="shared" si="262"/>
        <v>2048</v>
      </c>
      <c r="I189" s="250">
        <v>0</v>
      </c>
      <c r="J189" s="250">
        <v>0</v>
      </c>
      <c r="K189" s="250">
        <v>0</v>
      </c>
      <c r="L189" s="460">
        <v>0.98</v>
      </c>
      <c r="M189" s="460">
        <v>0.98</v>
      </c>
      <c r="N189" s="460">
        <v>0.98</v>
      </c>
      <c r="O189" s="244">
        <f t="shared" si="265"/>
        <v>3.1536000000000002E-2</v>
      </c>
      <c r="P189" s="458">
        <v>0.2</v>
      </c>
      <c r="Q189" s="245">
        <v>30</v>
      </c>
      <c r="R189" s="227">
        <v>1.05</v>
      </c>
      <c r="T189" s="268">
        <f t="shared" si="273"/>
        <v>0</v>
      </c>
      <c r="U189" s="268"/>
      <c r="V189" s="590" t="str">
        <f>'Data manipulation'!$B$25</f>
        <v>Liquefied petroleum gas</v>
      </c>
      <c r="W189" s="427" t="s">
        <v>759</v>
      </c>
      <c r="X189" s="246">
        <v>2019</v>
      </c>
      <c r="Y189" s="432">
        <f>_xlfn.IFNA(INDEX('Data manipulation'!$C$23:$O$39,MATCH($V189,'Data manipulation'!$B$23:$B$39,0),MATCH($X189,'Data manipulation'!$C$22:$O$22,0))/1000,0)*SUMIFS('Regional split'!$F$4:$F$6,'Regional split'!$B$4:$B$6,Y$3)*SUMIFS('Data manipulation'!$V$39:$V$42,'Data manipulation'!$X$39:$X$42,$E189,'Data manipulation'!$Y$39:$Y$42,$D189)</f>
        <v>2.1138784533058823</v>
      </c>
      <c r="Z189" s="432">
        <f>_xlfn.IFNA(INDEX('Data manipulation'!$C$23:$O$39,MATCH($V189,'Data manipulation'!$B$23:$B$39,0),MATCH($X189,'Data manipulation'!$C$22:$O$22,0))/1000,0)*SUMIFS('Regional split'!$F$4:$F$6,'Regional split'!$B$4:$B$6,Z$3)*SUMIFS('Data manipulation'!$V$39:$V$42,'Data manipulation'!$X$39:$X$42,$E189,'Data manipulation'!$Y$39:$Y$42,$D189)</f>
        <v>0</v>
      </c>
      <c r="AA189" s="432">
        <f>_xlfn.IFNA(INDEX('Data manipulation'!$C$23:$O$39,MATCH($V189,'Data manipulation'!$B$23:$B$39,0),MATCH($X189,'Data manipulation'!$C$22:$O$22,0))/1000,0)*SUMIFS('Regional split'!$F$4:$F$6,'Regional split'!$B$4:$B$6,AA$3)*SUMIFS('Data manipulation'!$V$39:$V$42,'Data manipulation'!$X$39:$X$42,$E189,'Data manipulation'!$Y$39:$Y$42,$D189)</f>
        <v>0</v>
      </c>
      <c r="AB189" s="445">
        <f t="shared" si="157"/>
        <v>2.0716008842397646</v>
      </c>
      <c r="AC189" s="431">
        <f t="shared" si="158"/>
        <v>0</v>
      </c>
      <c r="AD189" s="452">
        <f t="shared" si="159"/>
        <v>0</v>
      </c>
      <c r="AU189" s="260"/>
      <c r="AZ189" s="252"/>
    </row>
    <row r="190" spans="2:52" ht="15" customHeight="1">
      <c r="B190" s="227" t="str">
        <f t="shared" ref="B190:E190" si="284">B110</f>
        <v>CHTUMNGAE1</v>
      </c>
      <c r="C190" s="227" t="str">
        <f t="shared" si="284"/>
        <v>Commercial Heating Technology Urban Multi - Natural Gas - Existing 1</v>
      </c>
      <c r="D190" s="227" t="str">
        <f t="shared" si="284"/>
        <v>Urban</v>
      </c>
      <c r="E190" s="227" t="str">
        <f t="shared" si="284"/>
        <v>Multi storey</v>
      </c>
      <c r="F190" s="227" t="str">
        <f>F110</f>
        <v>COMNGA,COMSNG</v>
      </c>
      <c r="G190" s="227" t="str">
        <f>G110</f>
        <v>COMHUMB</v>
      </c>
      <c r="H190" s="566">
        <f t="shared" si="262"/>
        <v>2040</v>
      </c>
      <c r="I190" s="250">
        <v>0</v>
      </c>
      <c r="J190" s="250">
        <v>0</v>
      </c>
      <c r="K190" s="250">
        <v>0</v>
      </c>
      <c r="L190" s="460">
        <v>0.72</v>
      </c>
      <c r="M190" s="460">
        <v>0.72</v>
      </c>
      <c r="N190" s="460">
        <v>0.72</v>
      </c>
      <c r="O190" s="244">
        <f>31.536/1000</f>
        <v>3.1536000000000002E-2</v>
      </c>
      <c r="P190" s="458">
        <v>0.2</v>
      </c>
      <c r="Q190" s="245">
        <v>22</v>
      </c>
      <c r="R190" s="227">
        <v>1.05</v>
      </c>
      <c r="T190" s="268">
        <f t="shared" si="273"/>
        <v>0</v>
      </c>
      <c r="U190" s="268"/>
      <c r="V190" s="589" t="str">
        <f>'Data manipulation'!$B$36</f>
        <v>Natural gas and biogas</v>
      </c>
      <c r="W190" s="246" t="s">
        <v>167</v>
      </c>
      <c r="X190" s="246">
        <v>2019</v>
      </c>
      <c r="Y190" s="432">
        <f>_xlfn.IFNA(INDEX('Data manipulation'!$C$23:$O$39,MATCH($V190,'Data manipulation'!$B$23:$B$39,0),MATCH($X190,'Data manipulation'!$C$22:$O$22,0))/1000,0)*SUMIFS('Regional split'!$F$4:$F$6,'Regional split'!$B$4:$B$6,Y$3)*SUMIFS('Data manipulation'!$V$39:$V$42,'Data manipulation'!$X$39:$X$42,$E190,'Data manipulation'!$Y$39:$Y$42,$D190)</f>
        <v>80.411932631443335</v>
      </c>
      <c r="Z190" s="432">
        <f>_xlfn.IFNA(INDEX('Data manipulation'!$C$23:$O$39,MATCH($V190,'Data manipulation'!$B$23:$B$39,0),MATCH($X190,'Data manipulation'!$C$22:$O$22,0))/1000,0)*SUMIFS('Regional split'!$F$4:$F$6,'Regional split'!$B$4:$B$6,Z$3)*SUMIFS('Data manipulation'!$V$39:$V$42,'Data manipulation'!$X$39:$X$42,$E190,'Data manipulation'!$Y$39:$Y$42,$D190)</f>
        <v>0</v>
      </c>
      <c r="AA190" s="432">
        <f>_xlfn.IFNA(INDEX('Data manipulation'!$C$23:$O$39,MATCH($V190,'Data manipulation'!$B$23:$B$39,0),MATCH($X190,'Data manipulation'!$C$22:$O$22,0))/1000,0)*SUMIFS('Regional split'!$F$4:$F$6,'Regional split'!$B$4:$B$6,AA$3)*SUMIFS('Data manipulation'!$V$39:$V$42,'Data manipulation'!$X$39:$X$42,$E190,'Data manipulation'!$Y$39:$Y$42,$D190)</f>
        <v>0</v>
      </c>
      <c r="AB190" s="443">
        <f t="shared" ref="AB190:AB209" si="285">Y190*L190</f>
        <v>57.896591494639196</v>
      </c>
      <c r="AC190" s="251">
        <f t="shared" ref="AC190:AC209" si="286">Z190*M190</f>
        <v>0</v>
      </c>
      <c r="AD190" s="444">
        <f t="shared" ref="AD190:AD209" si="287">AA190*N190</f>
        <v>0</v>
      </c>
      <c r="AE190" s="262"/>
      <c r="AU190" s="260"/>
      <c r="AZ190" s="252"/>
    </row>
    <row r="191" spans="2:52" ht="15" customHeight="1">
      <c r="B191" s="227" t="str">
        <f t="shared" ref="B191:G191" si="288">B111</f>
        <v>CHTUMDSLE1</v>
      </c>
      <c r="C191" s="227" t="str">
        <f t="shared" si="288"/>
        <v>Commercial Heating Technology Urban Multi - Diesel - Existing 1</v>
      </c>
      <c r="D191" s="227" t="str">
        <f t="shared" si="288"/>
        <v>Urban</v>
      </c>
      <c r="E191" s="227" t="str">
        <f t="shared" si="288"/>
        <v>Multi storey</v>
      </c>
      <c r="F191" s="227" t="str">
        <f t="shared" si="288"/>
        <v>COMDSL,COMDSB</v>
      </c>
      <c r="G191" s="227" t="str">
        <f t="shared" si="288"/>
        <v>COMHUMB</v>
      </c>
      <c r="H191" s="566">
        <f t="shared" si="262"/>
        <v>2038</v>
      </c>
      <c r="I191" s="250">
        <v>0</v>
      </c>
      <c r="J191" s="250">
        <v>0</v>
      </c>
      <c r="K191" s="250">
        <v>0</v>
      </c>
      <c r="L191" s="460">
        <v>0.71</v>
      </c>
      <c r="M191" s="460">
        <v>0.71</v>
      </c>
      <c r="N191" s="460">
        <v>0.71</v>
      </c>
      <c r="O191" s="244">
        <f>31.536/1000</f>
        <v>3.1536000000000002E-2</v>
      </c>
      <c r="P191" s="458">
        <v>0.2</v>
      </c>
      <c r="Q191" s="245">
        <v>20</v>
      </c>
      <c r="R191" s="227">
        <v>1.05</v>
      </c>
      <c r="T191" s="268">
        <f t="shared" si="273"/>
        <v>0</v>
      </c>
      <c r="V191" s="589" t="str">
        <f>'Data manipulation'!$B$28</f>
        <v>Gas oil and diesel oil and biodiesel</v>
      </c>
      <c r="W191" s="254" t="s">
        <v>718</v>
      </c>
      <c r="X191" s="246">
        <v>2019</v>
      </c>
      <c r="Y191" s="432">
        <f>_xlfn.IFNA(INDEX('Data manipulation'!$C$23:$O$39,MATCH($V191,'Data manipulation'!$B$23:$B$39,0),MATCH($X191,'Data manipulation'!$C$22:$O$22,0))/1000,0)*SUMIFS('Regional split'!$F$4:$F$6,'Regional split'!$B$4:$B$6,Y$3)*SUMIFS('Data manipulation'!$V$39:$V$42,'Data manipulation'!$X$39:$X$42,$E191,'Data manipulation'!$Y$39:$Y$42,$D191)</f>
        <v>28.013903999596963</v>
      </c>
      <c r="Z191" s="432">
        <f>_xlfn.IFNA(INDEX('Data manipulation'!$C$23:$O$39,MATCH($V191,'Data manipulation'!$B$23:$B$39,0),MATCH($X191,'Data manipulation'!$C$22:$O$22,0))/1000,0)*SUMIFS('Regional split'!$F$4:$F$6,'Regional split'!$B$4:$B$6,Z$3)*SUMIFS('Data manipulation'!$V$39:$V$42,'Data manipulation'!$X$39:$X$42,$E191,'Data manipulation'!$Y$39:$Y$42,$D191)</f>
        <v>0</v>
      </c>
      <c r="AA191" s="432">
        <f>_xlfn.IFNA(INDEX('Data manipulation'!$C$23:$O$39,MATCH($V191,'Data manipulation'!$B$23:$B$39,0),MATCH($X191,'Data manipulation'!$C$22:$O$22,0))/1000,0)*SUMIFS('Regional split'!$F$4:$F$6,'Regional split'!$B$4:$B$6,AA$3)*SUMIFS('Data manipulation'!$V$39:$V$42,'Data manipulation'!$X$39:$X$42,$E191,'Data manipulation'!$Y$39:$Y$42,$D191)</f>
        <v>0</v>
      </c>
      <c r="AB191" s="443">
        <f t="shared" si="285"/>
        <v>19.889871839713841</v>
      </c>
      <c r="AC191" s="251">
        <f t="shared" si="286"/>
        <v>0</v>
      </c>
      <c r="AD191" s="444">
        <f t="shared" si="287"/>
        <v>0</v>
      </c>
      <c r="AE191" s="262"/>
      <c r="AU191" s="260"/>
      <c r="AZ191" s="252"/>
    </row>
    <row r="192" spans="2:52" ht="15" customHeight="1">
      <c r="B192" s="227" t="str">
        <f t="shared" ref="B192:G192" si="289">B112</f>
        <v>CHTUMWPEE1</v>
      </c>
      <c r="C192" s="227" t="str">
        <f t="shared" si="289"/>
        <v>Commercial Heating Technology Urban Multi - Wood pellets - Existing 1</v>
      </c>
      <c r="D192" s="227" t="str">
        <f t="shared" si="289"/>
        <v>Urban</v>
      </c>
      <c r="E192" s="227" t="str">
        <f t="shared" si="289"/>
        <v>Multi storey</v>
      </c>
      <c r="F192" s="227" t="str">
        <f t="shared" si="289"/>
        <v>COMWPE</v>
      </c>
      <c r="G192" s="227" t="str">
        <f t="shared" si="289"/>
        <v>COMHUMB</v>
      </c>
      <c r="H192" s="566">
        <f t="shared" si="262"/>
        <v>2038</v>
      </c>
      <c r="I192" s="250">
        <v>0</v>
      </c>
      <c r="J192" s="250">
        <v>0</v>
      </c>
      <c r="K192" s="250">
        <v>0</v>
      </c>
      <c r="L192" s="460">
        <v>0.61</v>
      </c>
      <c r="M192" s="460">
        <v>0.61</v>
      </c>
      <c r="N192" s="460">
        <v>0.61</v>
      </c>
      <c r="O192" s="244">
        <f t="shared" ref="O192:O209" si="290">31.536/1000</f>
        <v>3.1536000000000002E-2</v>
      </c>
      <c r="P192" s="458">
        <v>0.2</v>
      </c>
      <c r="Q192" s="245">
        <v>20</v>
      </c>
      <c r="R192" s="227">
        <v>1.05</v>
      </c>
      <c r="T192" s="268">
        <f t="shared" si="273"/>
        <v>0</v>
      </c>
      <c r="U192" s="268"/>
      <c r="W192" s="254" t="s">
        <v>849</v>
      </c>
      <c r="X192" s="246">
        <v>2019</v>
      </c>
      <c r="Y192" s="432">
        <f>_xlfn.IFNA(INDEX('Data manipulation'!$C$23:$O$39,MATCH($V192,'Data manipulation'!$B$23:$B$39,0),MATCH($X192,'Data manipulation'!$C$22:$O$22,0))/1000,0)*SUMIFS('Regional split'!$F$4:$F$6,'Regional split'!$B$4:$B$6,Y$3)*SUMIFS('Data manipulation'!$V$39:$V$42,'Data manipulation'!$X$39:$X$42,$E192,'Data manipulation'!$Y$39:$Y$42,$D192)</f>
        <v>0</v>
      </c>
      <c r="Z192" s="432">
        <f>_xlfn.IFNA(INDEX('Data manipulation'!$C$23:$O$39,MATCH($V192,'Data manipulation'!$B$23:$B$39,0),MATCH($X192,'Data manipulation'!$C$22:$O$22,0))/1000,0)*SUMIFS('Regional split'!$F$4:$F$6,'Regional split'!$B$4:$B$6,Z$3)*SUMIFS('Data manipulation'!$V$39:$V$42,'Data manipulation'!$X$39:$X$42,$E192,'Data manipulation'!$Y$39:$Y$42,$D192)</f>
        <v>0</v>
      </c>
      <c r="AA192" s="432">
        <f>_xlfn.IFNA(INDEX('Data manipulation'!$C$23:$O$39,MATCH($V192,'Data manipulation'!$B$23:$B$39,0),MATCH($X192,'Data manipulation'!$C$22:$O$22,0))/1000,0)*SUMIFS('Regional split'!$F$4:$F$6,'Regional split'!$B$4:$B$6,AA$3)*SUMIFS('Data manipulation'!$V$39:$V$42,'Data manipulation'!$X$39:$X$42,$E192,'Data manipulation'!$Y$39:$Y$42,$D192)</f>
        <v>0</v>
      </c>
      <c r="AB192" s="443">
        <f t="shared" si="285"/>
        <v>0</v>
      </c>
      <c r="AC192" s="251">
        <f t="shared" si="286"/>
        <v>0</v>
      </c>
      <c r="AD192" s="444">
        <f t="shared" si="287"/>
        <v>0</v>
      </c>
      <c r="AE192" s="262"/>
      <c r="AU192" s="260"/>
      <c r="AZ192" s="252"/>
    </row>
    <row r="193" spans="2:52" ht="15" customHeight="1">
      <c r="B193" s="227" t="str">
        <f t="shared" ref="B193:G193" si="291">B113</f>
        <v>CHTUMFIWE1</v>
      </c>
      <c r="C193" s="227" t="str">
        <f t="shared" si="291"/>
        <v>Commercial Heating Technology Urban Multi - Fire wood - Existing 1</v>
      </c>
      <c r="D193" s="227" t="str">
        <f t="shared" si="291"/>
        <v>Urban</v>
      </c>
      <c r="E193" s="227" t="str">
        <f t="shared" si="291"/>
        <v>Multi storey</v>
      </c>
      <c r="F193" s="227" t="str">
        <f t="shared" si="291"/>
        <v>COMFIW</v>
      </c>
      <c r="G193" s="227" t="str">
        <f t="shared" si="291"/>
        <v>COMHUMB</v>
      </c>
      <c r="H193" s="566">
        <f t="shared" si="262"/>
        <v>2038</v>
      </c>
      <c r="I193" s="250">
        <v>0</v>
      </c>
      <c r="J193" s="250">
        <v>0</v>
      </c>
      <c r="K193" s="250">
        <v>0</v>
      </c>
      <c r="L193" s="460">
        <v>0.65000022993955098</v>
      </c>
      <c r="M193" s="460">
        <v>0.65000022993955098</v>
      </c>
      <c r="N193" s="460">
        <v>0.65000022993955098</v>
      </c>
      <c r="O193" s="244">
        <f t="shared" si="290"/>
        <v>3.1536000000000002E-2</v>
      </c>
      <c r="P193" s="458">
        <v>0.2</v>
      </c>
      <c r="Q193" s="245">
        <v>20</v>
      </c>
      <c r="R193" s="227">
        <v>1.05</v>
      </c>
      <c r="T193" s="268">
        <f t="shared" si="273"/>
        <v>0</v>
      </c>
      <c r="U193" s="268"/>
      <c r="V193" s="589" t="str">
        <f>'Data manipulation'!$B$31</f>
        <v>Primary solid biofuels</v>
      </c>
      <c r="W193" s="254" t="s">
        <v>176</v>
      </c>
      <c r="X193" s="246">
        <v>2019</v>
      </c>
      <c r="Y193" s="432">
        <f>_xlfn.IFNA(INDEX('Data manipulation'!$C$23:$O$39,MATCH($V193,'Data manipulation'!$B$23:$B$39,0),MATCH($X193,'Data manipulation'!$C$22:$O$22,0))/1000,0)*SUMIFS('Regional split'!$F$4:$F$6,'Regional split'!$B$4:$B$6,Y$3)*SUMIFS('Data manipulation'!$V$39:$V$42,'Data manipulation'!$X$39:$X$42,$E193,'Data manipulation'!$Y$39:$Y$42,$D193)</f>
        <v>13.801710587242193</v>
      </c>
      <c r="Z193" s="432">
        <f>_xlfn.IFNA(INDEX('Data manipulation'!$C$23:$O$39,MATCH($V193,'Data manipulation'!$B$23:$B$39,0),MATCH($X193,'Data manipulation'!$C$22:$O$22,0))/1000,0)*SUMIFS('Regional split'!$F$4:$F$6,'Regional split'!$B$4:$B$6,Z$3)*SUMIFS('Data manipulation'!$V$39:$V$42,'Data manipulation'!$X$39:$X$42,$E193,'Data manipulation'!$Y$39:$Y$42,$D193)</f>
        <v>0</v>
      </c>
      <c r="AA193" s="432">
        <f>_xlfn.IFNA(INDEX('Data manipulation'!$C$23:$O$39,MATCH($V193,'Data manipulation'!$B$23:$B$39,0),MATCH($X193,'Data manipulation'!$C$22:$O$22,0))/1000,0)*SUMIFS('Regional split'!$F$4:$F$6,'Regional split'!$B$4:$B$6,AA$3)*SUMIFS('Data manipulation'!$V$39:$V$42,'Data manipulation'!$X$39:$X$42,$E193,'Data manipulation'!$Y$39:$Y$42,$D193)</f>
        <v>0</v>
      </c>
      <c r="AB193" s="443">
        <f t="shared" si="285"/>
        <v>8.9711150552665604</v>
      </c>
      <c r="AC193" s="251">
        <f t="shared" si="286"/>
        <v>0</v>
      </c>
      <c r="AD193" s="444">
        <f t="shared" si="287"/>
        <v>0</v>
      </c>
      <c r="AE193" s="262"/>
      <c r="AU193" s="260"/>
      <c r="AZ193" s="252"/>
    </row>
    <row r="194" spans="2:52" ht="15" customHeight="1">
      <c r="B194" s="233" t="str">
        <f t="shared" ref="B194:G194" si="292">B114</f>
        <v>CHTUMCOAE1</v>
      </c>
      <c r="C194" s="233" t="str">
        <f t="shared" si="292"/>
        <v>Commercial Heating Technology Urban Multi - Coal - Existing 1</v>
      </c>
      <c r="D194" s="233" t="str">
        <f t="shared" si="292"/>
        <v>Urban</v>
      </c>
      <c r="E194" s="233" t="str">
        <f t="shared" si="292"/>
        <v>Multi storey</v>
      </c>
      <c r="F194" s="233" t="str">
        <f t="shared" si="292"/>
        <v>COMCOA</v>
      </c>
      <c r="G194" s="233" t="str">
        <f t="shared" si="292"/>
        <v>COMHUMB</v>
      </c>
      <c r="H194" s="566">
        <f t="shared" si="262"/>
        <v>2038</v>
      </c>
      <c r="I194" s="250">
        <v>0</v>
      </c>
      <c r="J194" s="250">
        <v>0</v>
      </c>
      <c r="K194" s="250">
        <v>0</v>
      </c>
      <c r="L194" s="460">
        <v>0.7</v>
      </c>
      <c r="M194" s="460">
        <v>0.7</v>
      </c>
      <c r="N194" s="460">
        <v>0.7</v>
      </c>
      <c r="O194" s="244">
        <f t="shared" si="290"/>
        <v>3.1536000000000002E-2</v>
      </c>
      <c r="P194" s="458">
        <v>0.2</v>
      </c>
      <c r="Q194" s="245">
        <v>20</v>
      </c>
      <c r="R194" s="227">
        <v>1.05</v>
      </c>
      <c r="T194" s="268">
        <f t="shared" si="273"/>
        <v>0</v>
      </c>
      <c r="U194" s="268"/>
      <c r="V194" s="589" t="str">
        <f>'Data manipulation'!$B$23</f>
        <v>Solid fossil fuels, peat, peat products, oil shale and oil sands</v>
      </c>
      <c r="W194" s="254" t="s">
        <v>846</v>
      </c>
      <c r="X194" s="246">
        <v>2019</v>
      </c>
      <c r="Y194" s="432">
        <f>_xlfn.IFNA(INDEX('Data manipulation'!$C$23:$O$39,MATCH($V194,'Data manipulation'!$B$23:$B$39,0),MATCH($X194,'Data manipulation'!$C$22:$O$22,0))/1000,0)*SUMIFS('Regional split'!$F$4:$F$6,'Regional split'!$B$4:$B$6,Y$3)*SUMIFS('Data manipulation'!$V$39:$V$42,'Data manipulation'!$X$39:$X$42,$E194,'Data manipulation'!$Y$39:$Y$42,$D194)</f>
        <v>1.9016036E-2</v>
      </c>
      <c r="Z194" s="432">
        <f>_xlfn.IFNA(INDEX('Data manipulation'!$C$23:$O$39,MATCH($V194,'Data manipulation'!$B$23:$B$39,0),MATCH($X194,'Data manipulation'!$C$22:$O$22,0))/1000,0)*SUMIFS('Regional split'!$F$4:$F$6,'Regional split'!$B$4:$B$6,Z$3)*SUMIFS('Data manipulation'!$V$39:$V$42,'Data manipulation'!$X$39:$X$42,$E194,'Data manipulation'!$Y$39:$Y$42,$D194)</f>
        <v>0</v>
      </c>
      <c r="AA194" s="432">
        <f>_xlfn.IFNA(INDEX('Data manipulation'!$C$23:$O$39,MATCH($V194,'Data manipulation'!$B$23:$B$39,0),MATCH($X194,'Data manipulation'!$C$22:$O$22,0))/1000,0)*SUMIFS('Regional split'!$F$4:$F$6,'Regional split'!$B$4:$B$6,AA$3)*SUMIFS('Data manipulation'!$V$39:$V$42,'Data manipulation'!$X$39:$X$42,$E194,'Data manipulation'!$Y$39:$Y$42,$D194)</f>
        <v>0</v>
      </c>
      <c r="AB194" s="443">
        <f t="shared" si="285"/>
        <v>1.3311225199999999E-2</v>
      </c>
      <c r="AC194" s="251">
        <f t="shared" si="286"/>
        <v>0</v>
      </c>
      <c r="AD194" s="444">
        <f t="shared" si="287"/>
        <v>0</v>
      </c>
      <c r="AE194" s="262"/>
      <c r="AU194" s="260"/>
      <c r="AZ194" s="252"/>
    </row>
    <row r="195" spans="2:52" ht="15" customHeight="1">
      <c r="B195" s="233" t="str">
        <f t="shared" ref="B195:G195" si="293">B115</f>
        <v>CHTUMSOLE1</v>
      </c>
      <c r="C195" s="233" t="str">
        <f t="shared" si="293"/>
        <v>Commercial Heating Technology Urban Multi - Solar - Existing 1</v>
      </c>
      <c r="D195" s="233" t="str">
        <f t="shared" si="293"/>
        <v>Urban</v>
      </c>
      <c r="E195" s="233" t="str">
        <f t="shared" si="293"/>
        <v>Multi storey</v>
      </c>
      <c r="F195" s="233" t="str">
        <f t="shared" si="293"/>
        <v>COMSOL</v>
      </c>
      <c r="G195" s="233" t="str">
        <f t="shared" si="293"/>
        <v>COMHUMB</v>
      </c>
      <c r="H195" s="566">
        <f t="shared" si="262"/>
        <v>2038</v>
      </c>
      <c r="I195" s="250">
        <v>0</v>
      </c>
      <c r="J195" s="250">
        <v>0</v>
      </c>
      <c r="K195" s="250">
        <v>0</v>
      </c>
      <c r="L195" s="460">
        <v>1</v>
      </c>
      <c r="M195" s="460">
        <v>1</v>
      </c>
      <c r="N195" s="460">
        <v>1</v>
      </c>
      <c r="O195" s="244">
        <f t="shared" si="290"/>
        <v>3.1536000000000002E-2</v>
      </c>
      <c r="P195" s="458">
        <v>0.2</v>
      </c>
      <c r="Q195" s="245">
        <v>20</v>
      </c>
      <c r="R195" s="227">
        <v>1.05</v>
      </c>
      <c r="T195" s="268">
        <f t="shared" si="273"/>
        <v>0</v>
      </c>
      <c r="U195" s="268"/>
      <c r="V195" s="589" t="str">
        <f>'Data manipulation'!$B$29</f>
        <v>Solar thermal</v>
      </c>
      <c r="W195" s="254" t="s">
        <v>168</v>
      </c>
      <c r="X195" s="246">
        <v>2019</v>
      </c>
      <c r="Y195" s="432">
        <f>_xlfn.IFNA(INDEX('Data manipulation'!$C$23:$O$39,MATCH($V195,'Data manipulation'!$B$23:$B$39,0),MATCH($X195,'Data manipulation'!$C$22:$O$22,0))/1000,0)*SUMIFS('Regional split'!$F$4:$F$6,'Regional split'!$B$4:$B$6,Y$3)*SUMIFS('Data manipulation'!$V$39:$V$42,'Data manipulation'!$X$39:$X$42,$E195,'Data manipulation'!$Y$39:$Y$42,$D195)</f>
        <v>4.0899247999999999E-2</v>
      </c>
      <c r="Z195" s="432">
        <f>_xlfn.IFNA(INDEX('Data manipulation'!$C$23:$O$39,MATCH($V195,'Data manipulation'!$B$23:$B$39,0),MATCH($X195,'Data manipulation'!$C$22:$O$22,0))/1000,0)*SUMIFS('Regional split'!$F$4:$F$6,'Regional split'!$B$4:$B$6,Z$3)*SUMIFS('Data manipulation'!$V$39:$V$42,'Data manipulation'!$X$39:$X$42,$E195,'Data manipulation'!$Y$39:$Y$42,$D195)</f>
        <v>0</v>
      </c>
      <c r="AA195" s="432">
        <f>_xlfn.IFNA(INDEX('Data manipulation'!$C$23:$O$39,MATCH($V195,'Data manipulation'!$B$23:$B$39,0),MATCH($X195,'Data manipulation'!$C$22:$O$22,0))/1000,0)*SUMIFS('Regional split'!$F$4:$F$6,'Regional split'!$B$4:$B$6,AA$3)*SUMIFS('Data manipulation'!$V$39:$V$42,'Data manipulation'!$X$39:$X$42,$E195,'Data manipulation'!$Y$39:$Y$42,$D195)</f>
        <v>0</v>
      </c>
      <c r="AB195" s="443">
        <f t="shared" si="285"/>
        <v>4.0899247999999999E-2</v>
      </c>
      <c r="AC195" s="251">
        <f t="shared" si="286"/>
        <v>0</v>
      </c>
      <c r="AD195" s="444">
        <f t="shared" si="287"/>
        <v>0</v>
      </c>
      <c r="AE195" s="262"/>
      <c r="AU195" s="260"/>
      <c r="AZ195" s="252"/>
    </row>
    <row r="196" spans="2:52" ht="15" customHeight="1">
      <c r="B196" s="233" t="str">
        <f t="shared" ref="B196:G196" si="294">B116</f>
        <v>CHTUMELCHE1</v>
      </c>
      <c r="C196" s="233" t="str">
        <f t="shared" si="294"/>
        <v>Commercial Heating Technology Urban Multi - Electricity Heating - Existing 1</v>
      </c>
      <c r="D196" s="233" t="str">
        <f t="shared" si="294"/>
        <v>Urban</v>
      </c>
      <c r="E196" s="233" t="str">
        <f t="shared" si="294"/>
        <v>Multi storey</v>
      </c>
      <c r="F196" s="233" t="str">
        <f t="shared" si="294"/>
        <v>COMELCH</v>
      </c>
      <c r="G196" s="233" t="str">
        <f t="shared" si="294"/>
        <v>COMHUMB</v>
      </c>
      <c r="H196" s="566">
        <f t="shared" si="262"/>
        <v>2048</v>
      </c>
      <c r="I196" s="250">
        <v>0</v>
      </c>
      <c r="J196" s="250">
        <v>0</v>
      </c>
      <c r="K196" s="250">
        <v>0</v>
      </c>
      <c r="L196" s="460">
        <v>1</v>
      </c>
      <c r="M196" s="460">
        <v>1</v>
      </c>
      <c r="N196" s="460">
        <v>1</v>
      </c>
      <c r="O196" s="244">
        <f t="shared" si="290"/>
        <v>3.1536000000000002E-2</v>
      </c>
      <c r="P196" s="458">
        <v>0.2</v>
      </c>
      <c r="Q196" s="245">
        <v>30</v>
      </c>
      <c r="R196" s="227">
        <v>1.05</v>
      </c>
      <c r="T196" s="268">
        <f t="shared" si="273"/>
        <v>0</v>
      </c>
      <c r="U196" s="268"/>
      <c r="V196" s="589" t="str">
        <f>'Data manipulation'!$B$33</f>
        <v>Electricity</v>
      </c>
      <c r="W196" s="254" t="s">
        <v>169</v>
      </c>
      <c r="X196" s="246">
        <v>2019</v>
      </c>
      <c r="Y196" s="432">
        <f>_xlfn.IFNA(INDEX('Data manipulation'!$C$23:$O$39,MATCH($V196,'Data manipulation'!$B$23:$B$39,0),MATCH($X196,'Data manipulation'!$C$22:$O$22,0))/1000,0)*SUMIFS('Regional split'!$F$4:$F$6,'Regional split'!$B$4:$B$6,Y$3)*SUMIFS('Data manipulation'!$V$39:$V$42,'Data manipulation'!$X$39:$X$42,$E196,'Data manipulation'!$Y$39:$Y$42,$D196)</f>
        <v>6.8149830528862045</v>
      </c>
      <c r="Z196" s="432">
        <f>_xlfn.IFNA(INDEX('Data manipulation'!$C$23:$O$39,MATCH($V196,'Data manipulation'!$B$23:$B$39,0),MATCH($X196,'Data manipulation'!$C$22:$O$22,0))/1000,0)*SUMIFS('Regional split'!$F$4:$F$6,'Regional split'!$B$4:$B$6,Z$3)*SUMIFS('Data manipulation'!$V$39:$V$42,'Data manipulation'!$X$39:$X$42,$E196,'Data manipulation'!$Y$39:$Y$42,$D196)</f>
        <v>0</v>
      </c>
      <c r="AA196" s="432">
        <f>_xlfn.IFNA(INDEX('Data manipulation'!$C$23:$O$39,MATCH($V196,'Data manipulation'!$B$23:$B$39,0),MATCH($X196,'Data manipulation'!$C$22:$O$22,0))/1000,0)*SUMIFS('Regional split'!$F$4:$F$6,'Regional split'!$B$4:$B$6,AA$3)*SUMIFS('Data manipulation'!$V$39:$V$42,'Data manipulation'!$X$39:$X$42,$E196,'Data manipulation'!$Y$39:$Y$42,$D196)</f>
        <v>0</v>
      </c>
      <c r="AB196" s="443">
        <f t="shared" si="285"/>
        <v>6.8149830528862045</v>
      </c>
      <c r="AC196" s="251">
        <f t="shared" si="286"/>
        <v>0</v>
      </c>
      <c r="AD196" s="444">
        <f t="shared" si="287"/>
        <v>0</v>
      </c>
      <c r="AU196" s="260"/>
      <c r="AZ196" s="252"/>
    </row>
    <row r="197" spans="2:52" ht="15" customHeight="1">
      <c r="B197" s="233" t="str">
        <f t="shared" ref="B197:G197" si="295">B117</f>
        <v>CHTUMELCHE2</v>
      </c>
      <c r="C197" s="233" t="str">
        <f t="shared" si="295"/>
        <v>Commercial Heating Technology Urban Multi - Electricity Heating - Existing 2</v>
      </c>
      <c r="D197" s="233" t="str">
        <f t="shared" si="295"/>
        <v>Urban</v>
      </c>
      <c r="E197" s="233" t="str">
        <f t="shared" si="295"/>
        <v>Multi storey</v>
      </c>
      <c r="F197" s="233" t="str">
        <f t="shared" si="295"/>
        <v>COMELCH</v>
      </c>
      <c r="G197" s="233" t="str">
        <f t="shared" si="295"/>
        <v>COMHUMB</v>
      </c>
      <c r="H197" s="566">
        <f t="shared" si="262"/>
        <v>2048</v>
      </c>
      <c r="I197" s="250">
        <v>0</v>
      </c>
      <c r="J197" s="250">
        <v>0</v>
      </c>
      <c r="K197" s="250">
        <v>0</v>
      </c>
      <c r="L197" s="460">
        <v>2.3149999999999999</v>
      </c>
      <c r="M197" s="460">
        <v>2.3149999999999999</v>
      </c>
      <c r="N197" s="460">
        <v>2.3149999999999999</v>
      </c>
      <c r="O197" s="244">
        <f t="shared" si="290"/>
        <v>3.1536000000000002E-2</v>
      </c>
      <c r="P197" s="458">
        <v>0.2</v>
      </c>
      <c r="Q197" s="245">
        <v>30</v>
      </c>
      <c r="R197" s="227">
        <v>1.05</v>
      </c>
      <c r="T197" s="268">
        <f t="shared" si="273"/>
        <v>0</v>
      </c>
      <c r="U197" s="268"/>
      <c r="V197" s="589" t="str">
        <f>'Data manipulation'!$B$30</f>
        <v>Ambient heat (heat pumps)</v>
      </c>
      <c r="W197" s="254" t="s">
        <v>170</v>
      </c>
      <c r="X197" s="246">
        <v>2019</v>
      </c>
      <c r="Y197" s="432">
        <f>_xlfn.IFNA(INDEX('Data manipulation'!$C$23:$O$39,MATCH($V197,'Data manipulation'!$B$23:$B$39,0),MATCH($X197,'Data manipulation'!$C$22:$O$22,0))/1000,0)*SUMIFS('Regional split'!$F$4:$F$6,'Regional split'!$B$4:$B$6,Y$3)*SUMIFS('Data manipulation'!$V$39:$V$42,'Data manipulation'!$X$39:$X$42,$E197,'Data manipulation'!$Y$39:$Y$42,$D197)</f>
        <v>0.94043768000000005</v>
      </c>
      <c r="Z197" s="432">
        <f>_xlfn.IFNA(INDEX('Data manipulation'!$C$23:$O$39,MATCH($V197,'Data manipulation'!$B$23:$B$39,0),MATCH($X197,'Data manipulation'!$C$22:$O$22,0))/1000,0)*SUMIFS('Regional split'!$F$4:$F$6,'Regional split'!$B$4:$B$6,Z$3)*SUMIFS('Data manipulation'!$V$39:$V$42,'Data manipulation'!$X$39:$X$42,$E197,'Data manipulation'!$Y$39:$Y$42,$D197)</f>
        <v>0</v>
      </c>
      <c r="AA197" s="432">
        <f>_xlfn.IFNA(INDEX('Data manipulation'!$C$23:$O$39,MATCH($V197,'Data manipulation'!$B$23:$B$39,0),MATCH($X197,'Data manipulation'!$C$22:$O$22,0))/1000,0)*SUMIFS('Regional split'!$F$4:$F$6,'Regional split'!$B$4:$B$6,AA$3)*SUMIFS('Data manipulation'!$V$39:$V$42,'Data manipulation'!$X$39:$X$42,$E197,'Data manipulation'!$Y$39:$Y$42,$D197)</f>
        <v>0</v>
      </c>
      <c r="AB197" s="443">
        <f t="shared" si="285"/>
        <v>2.1771132292000002</v>
      </c>
      <c r="AC197" s="251">
        <f t="shared" si="286"/>
        <v>0</v>
      </c>
      <c r="AD197" s="444">
        <f t="shared" si="287"/>
        <v>0</v>
      </c>
      <c r="AU197" s="260"/>
      <c r="AZ197" s="252"/>
    </row>
    <row r="198" spans="2:52" ht="15" customHeight="1">
      <c r="B198" s="233" t="str">
        <f t="shared" ref="B198:G198" si="296">B118</f>
        <v>CHTUMHCEE1</v>
      </c>
      <c r="C198" s="233" t="str">
        <f t="shared" si="296"/>
        <v>Commercial Heating Technology Urban Multi - District heating Central - Existing 1</v>
      </c>
      <c r="D198" s="233" t="str">
        <f t="shared" si="296"/>
        <v>Urban</v>
      </c>
      <c r="E198" s="233" t="str">
        <f t="shared" si="296"/>
        <v>Multi storey</v>
      </c>
      <c r="F198" s="233" t="str">
        <f t="shared" si="296"/>
        <v>COMHCE</v>
      </c>
      <c r="G198" s="233" t="str">
        <f t="shared" si="296"/>
        <v>COMHUMX</v>
      </c>
      <c r="H198" s="566">
        <f t="shared" si="262"/>
        <v>2048</v>
      </c>
      <c r="I198" s="565">
        <v>0</v>
      </c>
      <c r="J198" s="565">
        <v>0</v>
      </c>
      <c r="K198" s="565">
        <v>0</v>
      </c>
      <c r="L198" s="460">
        <v>0.95</v>
      </c>
      <c r="M198" s="460">
        <v>0.95</v>
      </c>
      <c r="N198" s="460">
        <v>0.95</v>
      </c>
      <c r="O198" s="244">
        <f t="shared" si="290"/>
        <v>3.1536000000000002E-2</v>
      </c>
      <c r="P198" s="458">
        <v>0.2</v>
      </c>
      <c r="Q198" s="245">
        <v>30</v>
      </c>
      <c r="R198" s="227">
        <v>1.05</v>
      </c>
      <c r="T198" s="268">
        <f t="shared" si="273"/>
        <v>0</v>
      </c>
      <c r="U198" s="268"/>
      <c r="V198" s="589" t="str">
        <f>'Data manipulation'!$B$34</f>
        <v>Heat</v>
      </c>
      <c r="W198" s="254" t="s">
        <v>171</v>
      </c>
      <c r="X198" s="246">
        <v>2019</v>
      </c>
      <c r="Y198" s="432">
        <f>_xlfn.IFNA(INDEX('Data manipulation'!$C$23:$O$39,MATCH($V198,'Data manipulation'!$B$23:$B$39,0),MATCH($X198,'Data manipulation'!$C$22:$O$22,0))/1000,0)*SUMIFS('Regional split'!$F$4:$F$6,'Regional split'!$B$4:$B$6,Y$3)*SUMIFS('Data manipulation'!$V$39:$V$42,'Data manipulation'!$X$39:$X$42,$E198,'Data manipulation'!$Y$39:$Y$42,$D198)</f>
        <v>13.078616814445036</v>
      </c>
      <c r="Z198" s="432">
        <f>_xlfn.IFNA(INDEX('Data manipulation'!$C$23:$O$39,MATCH($V198,'Data manipulation'!$B$23:$B$39,0),MATCH($X198,'Data manipulation'!$C$22:$O$22,0))/1000,0)*SUMIFS('Regional split'!$F$4:$F$6,'Regional split'!$B$4:$B$6,Z$3)*SUMIFS('Data manipulation'!$V$39:$V$42,'Data manipulation'!$X$39:$X$42,$E198,'Data manipulation'!$Y$39:$Y$42,$D198)</f>
        <v>0</v>
      </c>
      <c r="AA198" s="432">
        <f>_xlfn.IFNA(INDEX('Data manipulation'!$C$23:$O$39,MATCH($V198,'Data manipulation'!$B$23:$B$39,0),MATCH($X198,'Data manipulation'!$C$22:$O$22,0))/1000,0)*SUMIFS('Regional split'!$F$4:$F$6,'Regional split'!$B$4:$B$6,AA$3)*SUMIFS('Data manipulation'!$V$39:$V$42,'Data manipulation'!$X$39:$X$42,$E198,'Data manipulation'!$Y$39:$Y$42,$D198)</f>
        <v>0</v>
      </c>
      <c r="AB198" s="443">
        <f t="shared" si="285"/>
        <v>12.424685973722784</v>
      </c>
      <c r="AC198" s="251">
        <f t="shared" si="286"/>
        <v>0</v>
      </c>
      <c r="AD198" s="444">
        <f t="shared" si="287"/>
        <v>0</v>
      </c>
      <c r="AU198" s="260"/>
      <c r="AZ198" s="252"/>
    </row>
    <row r="199" spans="2:52" ht="15" customHeight="1" thickBot="1">
      <c r="B199" s="255" t="str">
        <f t="shared" ref="B199:G199" si="297">B119</f>
        <v>CHTUMLPGE1</v>
      </c>
      <c r="C199" s="255" t="str">
        <f t="shared" si="297"/>
        <v>Commercial Heating Technology Urban Multi - LPG - Existing 1</v>
      </c>
      <c r="D199" s="528" t="str">
        <f t="shared" si="297"/>
        <v>Urban</v>
      </c>
      <c r="E199" s="528" t="str">
        <f t="shared" si="297"/>
        <v>Multi storey</v>
      </c>
      <c r="F199" s="255" t="str">
        <f t="shared" si="297"/>
        <v>COMLPG</v>
      </c>
      <c r="G199" s="255" t="str">
        <f t="shared" si="297"/>
        <v>COMHUMB</v>
      </c>
      <c r="H199" s="568">
        <f t="shared" si="262"/>
        <v>2048</v>
      </c>
      <c r="I199" s="297">
        <v>0</v>
      </c>
      <c r="J199" s="297">
        <v>0</v>
      </c>
      <c r="K199" s="297">
        <v>0</v>
      </c>
      <c r="L199" s="461">
        <v>0.95</v>
      </c>
      <c r="M199" s="461">
        <v>0.95</v>
      </c>
      <c r="N199" s="461">
        <v>0.95</v>
      </c>
      <c r="O199" s="257">
        <f t="shared" si="290"/>
        <v>3.1536000000000002E-2</v>
      </c>
      <c r="P199" s="458">
        <v>0.2</v>
      </c>
      <c r="Q199" s="258">
        <v>30</v>
      </c>
      <c r="R199" s="227">
        <v>1.05</v>
      </c>
      <c r="T199" s="268">
        <f t="shared" si="273"/>
        <v>0</v>
      </c>
      <c r="U199" s="268"/>
      <c r="V199" s="590" t="str">
        <f>'Data manipulation'!$B$25</f>
        <v>Liquefied petroleum gas</v>
      </c>
      <c r="W199" s="427" t="s">
        <v>759</v>
      </c>
      <c r="X199" s="246">
        <v>2019</v>
      </c>
      <c r="Y199" s="432">
        <f>_xlfn.IFNA(INDEX('Data manipulation'!$C$23:$O$39,MATCH($V199,'Data manipulation'!$B$23:$B$39,0),MATCH($X199,'Data manipulation'!$C$22:$O$22,0))/1000,0)*SUMIFS('Regional split'!$F$4:$F$6,'Regional split'!$B$4:$B$6,Y$3)*SUMIFS('Data manipulation'!$V$39:$V$42,'Data manipulation'!$X$39:$X$42,$E199,'Data manipulation'!$Y$39:$Y$42,$D199)</f>
        <v>1.6367648212117647</v>
      </c>
      <c r="Z199" s="432">
        <f>_xlfn.IFNA(INDEX('Data manipulation'!$C$23:$O$39,MATCH($V199,'Data manipulation'!$B$23:$B$39,0),MATCH($X199,'Data manipulation'!$C$22:$O$22,0))/1000,0)*SUMIFS('Regional split'!$F$4:$F$6,'Regional split'!$B$4:$B$6,Z$3)*SUMIFS('Data manipulation'!$V$39:$V$42,'Data manipulation'!$X$39:$X$42,$E199,'Data manipulation'!$Y$39:$Y$42,$D199)</f>
        <v>0</v>
      </c>
      <c r="AA199" s="432">
        <f>_xlfn.IFNA(INDEX('Data manipulation'!$C$23:$O$39,MATCH($V199,'Data manipulation'!$B$23:$B$39,0),MATCH($X199,'Data manipulation'!$C$22:$O$22,0))/1000,0)*SUMIFS('Regional split'!$F$4:$F$6,'Regional split'!$B$4:$B$6,AA$3)*SUMIFS('Data manipulation'!$V$39:$V$42,'Data manipulation'!$X$39:$X$42,$E199,'Data manipulation'!$Y$39:$Y$42,$D199)</f>
        <v>0</v>
      </c>
      <c r="AB199" s="450">
        <f t="shared" si="285"/>
        <v>1.5549265801511765</v>
      </c>
      <c r="AC199" s="277">
        <f t="shared" si="286"/>
        <v>0</v>
      </c>
      <c r="AD199" s="446">
        <f t="shared" si="287"/>
        <v>0</v>
      </c>
      <c r="AU199" s="260"/>
      <c r="AZ199" s="252"/>
    </row>
    <row r="200" spans="2:52" ht="15" customHeight="1">
      <c r="B200" s="233" t="str">
        <f t="shared" ref="B200:G200" si="298">B120</f>
        <v>CHTRMNGAE1</v>
      </c>
      <c r="C200" s="233" t="str">
        <f t="shared" si="298"/>
        <v>Commercial Heating Technology Rural Multi - Natural Gas - Existing 1</v>
      </c>
      <c r="D200" s="233" t="str">
        <f t="shared" si="298"/>
        <v>Rural</v>
      </c>
      <c r="E200" s="233" t="str">
        <f t="shared" si="298"/>
        <v>Multi storey</v>
      </c>
      <c r="F200" s="233" t="str">
        <f t="shared" si="298"/>
        <v>COMNGA,COMSNG</v>
      </c>
      <c r="G200" s="233" t="str">
        <f t="shared" si="298"/>
        <v>COMHRMB</v>
      </c>
      <c r="H200" s="567">
        <f t="shared" si="262"/>
        <v>2043</v>
      </c>
      <c r="I200" s="250">
        <v>0</v>
      </c>
      <c r="J200" s="250">
        <v>0</v>
      </c>
      <c r="K200" s="250">
        <v>0</v>
      </c>
      <c r="L200" s="460">
        <v>0.79</v>
      </c>
      <c r="M200" s="460">
        <v>0.79</v>
      </c>
      <c r="N200" s="460">
        <v>0.79</v>
      </c>
      <c r="O200" s="244">
        <f t="shared" si="290"/>
        <v>3.1536000000000002E-2</v>
      </c>
      <c r="P200" s="458">
        <v>0.2</v>
      </c>
      <c r="Q200" s="245">
        <v>25</v>
      </c>
      <c r="R200" s="227">
        <v>1.05</v>
      </c>
      <c r="T200" s="268">
        <f t="shared" si="273"/>
        <v>0</v>
      </c>
      <c r="U200" s="268"/>
      <c r="V200" s="589" t="str">
        <f>'Data manipulation'!$B$36</f>
        <v>Natural gas and biogas</v>
      </c>
      <c r="W200" s="246" t="s">
        <v>167</v>
      </c>
      <c r="X200" s="246">
        <v>2019</v>
      </c>
      <c r="Y200" s="432">
        <f>_xlfn.IFNA(INDEX('Data manipulation'!$C$23:$O$39,MATCH($V200,'Data manipulation'!$B$23:$B$39,0),MATCH($X200,'Data manipulation'!$C$22:$O$22,0))/1000,0)*SUMIFS('Regional split'!$F$4:$F$6,'Regional split'!$B$4:$B$6,Y$3)*SUMIFS('Data manipulation'!$V$39:$V$42,'Data manipulation'!$X$39:$X$42,$E200,'Data manipulation'!$Y$39:$Y$42,$D200)</f>
        <v>4.5577613637255334</v>
      </c>
      <c r="Z200" s="432">
        <f>_xlfn.IFNA(INDEX('Data manipulation'!$C$23:$O$39,MATCH($V200,'Data manipulation'!$B$23:$B$39,0),MATCH($X200,'Data manipulation'!$C$22:$O$22,0))/1000,0)*SUMIFS('Regional split'!$F$4:$F$6,'Regional split'!$B$4:$B$6,Z$3)*SUMIFS('Data manipulation'!$V$39:$V$42,'Data manipulation'!$X$39:$X$42,$E200,'Data manipulation'!$Y$39:$Y$42,$D200)</f>
        <v>0</v>
      </c>
      <c r="AA200" s="432">
        <f>_xlfn.IFNA(INDEX('Data manipulation'!$C$23:$O$39,MATCH($V200,'Data manipulation'!$B$23:$B$39,0),MATCH($X200,'Data manipulation'!$C$22:$O$22,0))/1000,0)*SUMIFS('Regional split'!$F$4:$F$6,'Regional split'!$B$4:$B$6,AA$3)*SUMIFS('Data manipulation'!$V$39:$V$42,'Data manipulation'!$X$39:$X$42,$E200,'Data manipulation'!$Y$39:$Y$42,$D200)</f>
        <v>0</v>
      </c>
      <c r="AB200" s="451">
        <f t="shared" si="285"/>
        <v>3.6006314773431716</v>
      </c>
      <c r="AC200" s="278">
        <f t="shared" si="286"/>
        <v>0</v>
      </c>
      <c r="AD200" s="447">
        <f t="shared" si="287"/>
        <v>0</v>
      </c>
      <c r="AU200" s="260"/>
      <c r="AZ200" s="252"/>
    </row>
    <row r="201" spans="2:52" ht="15" customHeight="1">
      <c r="B201" s="233" t="str">
        <f t="shared" ref="B201:G201" si="299">B121</f>
        <v>CHTRMDSLE1</v>
      </c>
      <c r="C201" s="233" t="str">
        <f t="shared" si="299"/>
        <v>Commercial Heating Technology Rural Multi - Diesel - Existing 1</v>
      </c>
      <c r="D201" s="233" t="str">
        <f t="shared" si="299"/>
        <v>Rural</v>
      </c>
      <c r="E201" s="233" t="str">
        <f t="shared" si="299"/>
        <v>Multi storey</v>
      </c>
      <c r="F201" s="233" t="str">
        <f t="shared" si="299"/>
        <v>COMDSL,COMDSB</v>
      </c>
      <c r="G201" s="233" t="str">
        <f t="shared" si="299"/>
        <v>COMHRMB</v>
      </c>
      <c r="H201" s="567">
        <f t="shared" si="262"/>
        <v>2038</v>
      </c>
      <c r="I201" s="250">
        <v>0</v>
      </c>
      <c r="J201" s="250">
        <v>0</v>
      </c>
      <c r="K201" s="250">
        <v>0</v>
      </c>
      <c r="L201" s="460">
        <v>0.79</v>
      </c>
      <c r="M201" s="460">
        <v>0.79</v>
      </c>
      <c r="N201" s="460">
        <v>0.79</v>
      </c>
      <c r="O201" s="244">
        <f t="shared" si="290"/>
        <v>3.1536000000000002E-2</v>
      </c>
      <c r="P201" s="458">
        <v>0.2</v>
      </c>
      <c r="Q201" s="245">
        <v>20</v>
      </c>
      <c r="R201" s="227">
        <v>1.05</v>
      </c>
      <c r="T201" s="268">
        <f t="shared" si="273"/>
        <v>0</v>
      </c>
      <c r="V201" s="589" t="str">
        <f>'Data manipulation'!$B$28</f>
        <v>Gas oil and diesel oil and biodiesel</v>
      </c>
      <c r="W201" s="254" t="s">
        <v>718</v>
      </c>
      <c r="X201" s="246">
        <v>2019</v>
      </c>
      <c r="Y201" s="432">
        <f>_xlfn.IFNA(INDEX('Data manipulation'!$C$23:$O$39,MATCH($V201,'Data manipulation'!$B$23:$B$39,0),MATCH($X201,'Data manipulation'!$C$22:$O$22,0))/1000,0)*SUMIFS('Regional split'!$F$4:$F$6,'Regional split'!$B$4:$B$6,Y$3)*SUMIFS('Data manipulation'!$V$39:$V$42,'Data manipulation'!$X$39:$X$42,$E201,'Data manipulation'!$Y$39:$Y$42,$D201)</f>
        <v>1.5878326153617712</v>
      </c>
      <c r="Z201" s="432">
        <f>_xlfn.IFNA(INDEX('Data manipulation'!$C$23:$O$39,MATCH($V201,'Data manipulation'!$B$23:$B$39,0),MATCH($X201,'Data manipulation'!$C$22:$O$22,0))/1000,0)*SUMIFS('Regional split'!$F$4:$F$6,'Regional split'!$B$4:$B$6,Z$3)*SUMIFS('Data manipulation'!$V$39:$V$42,'Data manipulation'!$X$39:$X$42,$E201,'Data manipulation'!$Y$39:$Y$42,$D201)</f>
        <v>0</v>
      </c>
      <c r="AA201" s="432">
        <f>_xlfn.IFNA(INDEX('Data manipulation'!$C$23:$O$39,MATCH($V201,'Data manipulation'!$B$23:$B$39,0),MATCH($X201,'Data manipulation'!$C$22:$O$22,0))/1000,0)*SUMIFS('Regional split'!$F$4:$F$6,'Regional split'!$B$4:$B$6,AA$3)*SUMIFS('Data manipulation'!$V$39:$V$42,'Data manipulation'!$X$39:$X$42,$E201,'Data manipulation'!$Y$39:$Y$42,$D201)</f>
        <v>0</v>
      </c>
      <c r="AB201" s="443">
        <f t="shared" si="285"/>
        <v>1.2543877661357994</v>
      </c>
      <c r="AC201" s="251">
        <f t="shared" si="286"/>
        <v>0</v>
      </c>
      <c r="AD201" s="444">
        <f t="shared" si="287"/>
        <v>0</v>
      </c>
      <c r="AU201" s="260"/>
      <c r="AZ201" s="252"/>
    </row>
    <row r="202" spans="2:52" ht="15" customHeight="1">
      <c r="B202" s="233" t="str">
        <f t="shared" ref="B202:G202" si="300">B122</f>
        <v>CHTRMWPEE1</v>
      </c>
      <c r="C202" s="233" t="str">
        <f t="shared" si="300"/>
        <v>Commercial Heating Technology Rural Multi - Wood pellets - Existing 1</v>
      </c>
      <c r="D202" s="233" t="str">
        <f t="shared" si="300"/>
        <v>Rural</v>
      </c>
      <c r="E202" s="233" t="str">
        <f t="shared" si="300"/>
        <v>Multi storey</v>
      </c>
      <c r="F202" s="233" t="str">
        <f t="shared" si="300"/>
        <v>COMWPE</v>
      </c>
      <c r="G202" s="233" t="str">
        <f t="shared" si="300"/>
        <v>COMHRMB</v>
      </c>
      <c r="H202" s="567">
        <f t="shared" si="262"/>
        <v>2038</v>
      </c>
      <c r="I202" s="250">
        <v>0</v>
      </c>
      <c r="J202" s="250">
        <v>0</v>
      </c>
      <c r="K202" s="250">
        <v>0</v>
      </c>
      <c r="L202" s="460">
        <v>0.67</v>
      </c>
      <c r="M202" s="460">
        <v>0.67</v>
      </c>
      <c r="N202" s="460">
        <v>0.67</v>
      </c>
      <c r="O202" s="244">
        <f>31.536/1000</f>
        <v>3.1536000000000002E-2</v>
      </c>
      <c r="P202" s="458">
        <v>0.2</v>
      </c>
      <c r="Q202" s="245">
        <v>20</v>
      </c>
      <c r="R202" s="227">
        <v>1.05</v>
      </c>
      <c r="T202" s="268">
        <f t="shared" si="273"/>
        <v>0</v>
      </c>
      <c r="U202" s="268"/>
      <c r="W202" s="254" t="s">
        <v>849</v>
      </c>
      <c r="X202" s="246">
        <v>2019</v>
      </c>
      <c r="Y202" s="432">
        <f>_xlfn.IFNA(INDEX('Data manipulation'!$C$23:$O$39,MATCH($V202,'Data manipulation'!$B$23:$B$39,0),MATCH($X202,'Data manipulation'!$C$22:$O$22,0))/1000,0)*SUMIFS('Regional split'!$F$4:$F$6,'Regional split'!$B$4:$B$6,Y$3)*SUMIFS('Data manipulation'!$V$39:$V$42,'Data manipulation'!$X$39:$X$42,$E202,'Data manipulation'!$Y$39:$Y$42,$D202)</f>
        <v>0</v>
      </c>
      <c r="Z202" s="432">
        <f>_xlfn.IFNA(INDEX('Data manipulation'!$C$23:$O$39,MATCH($V202,'Data manipulation'!$B$23:$B$39,0),MATCH($X202,'Data manipulation'!$C$22:$O$22,0))/1000,0)*SUMIFS('Regional split'!$F$4:$F$6,'Regional split'!$B$4:$B$6,Z$3)*SUMIFS('Data manipulation'!$V$39:$V$42,'Data manipulation'!$X$39:$X$42,$E202,'Data manipulation'!$Y$39:$Y$42,$D202)</f>
        <v>0</v>
      </c>
      <c r="AA202" s="432">
        <f>_xlfn.IFNA(INDEX('Data manipulation'!$C$23:$O$39,MATCH($V202,'Data manipulation'!$B$23:$B$39,0),MATCH($X202,'Data manipulation'!$C$22:$O$22,0))/1000,0)*SUMIFS('Regional split'!$F$4:$F$6,'Regional split'!$B$4:$B$6,AA$3)*SUMIFS('Data manipulation'!$V$39:$V$42,'Data manipulation'!$X$39:$X$42,$E202,'Data manipulation'!$Y$39:$Y$42,$D202)</f>
        <v>0</v>
      </c>
      <c r="AB202" s="443">
        <f t="shared" si="285"/>
        <v>0</v>
      </c>
      <c r="AC202" s="251">
        <f t="shared" si="286"/>
        <v>0</v>
      </c>
      <c r="AD202" s="444">
        <f t="shared" si="287"/>
        <v>0</v>
      </c>
      <c r="AU202" s="260"/>
      <c r="AZ202" s="252"/>
    </row>
    <row r="203" spans="2:52" ht="15" customHeight="1">
      <c r="B203" s="233" t="str">
        <f t="shared" ref="B203:G203" si="301">B123</f>
        <v>CHTRMFIWE1</v>
      </c>
      <c r="C203" s="233" t="str">
        <f t="shared" si="301"/>
        <v>Commercial Heating Technology Rural Multi - Fire wood - Existing 1</v>
      </c>
      <c r="D203" s="233" t="str">
        <f t="shared" si="301"/>
        <v>Rural</v>
      </c>
      <c r="E203" s="233" t="str">
        <f t="shared" si="301"/>
        <v>Multi storey</v>
      </c>
      <c r="F203" s="233" t="str">
        <f t="shared" si="301"/>
        <v>COMFIW</v>
      </c>
      <c r="G203" s="233" t="str">
        <f t="shared" si="301"/>
        <v>COMHRMB</v>
      </c>
      <c r="H203" s="567">
        <f t="shared" si="262"/>
        <v>2038</v>
      </c>
      <c r="I203" s="250">
        <v>0</v>
      </c>
      <c r="J203" s="250">
        <v>0</v>
      </c>
      <c r="K203" s="250">
        <v>0</v>
      </c>
      <c r="L203" s="460">
        <v>0.67</v>
      </c>
      <c r="M203" s="460">
        <v>0.67</v>
      </c>
      <c r="N203" s="460">
        <v>0.67</v>
      </c>
      <c r="O203" s="244">
        <f>31.536/1000</f>
        <v>3.1536000000000002E-2</v>
      </c>
      <c r="P203" s="458">
        <v>0.2</v>
      </c>
      <c r="Q203" s="245">
        <v>20</v>
      </c>
      <c r="R203" s="227">
        <v>1.05</v>
      </c>
      <c r="T203" s="268">
        <f t="shared" si="273"/>
        <v>0</v>
      </c>
      <c r="U203" s="268"/>
      <c r="V203" s="589" t="str">
        <f>'Data manipulation'!$B$31</f>
        <v>Primary solid biofuels</v>
      </c>
      <c r="W203" s="254" t="s">
        <v>176</v>
      </c>
      <c r="X203" s="246">
        <v>2019</v>
      </c>
      <c r="Y203" s="432">
        <f>_xlfn.IFNA(INDEX('Data manipulation'!$C$23:$O$39,MATCH($V203,'Data manipulation'!$B$23:$B$39,0),MATCH($X203,'Data manipulation'!$C$22:$O$22,0))/1000,0)*SUMIFS('Regional split'!$F$4:$F$6,'Regional split'!$B$4:$B$6,Y$3)*SUMIFS('Data manipulation'!$V$39:$V$42,'Data manipulation'!$X$39:$X$42,$E203,'Data manipulation'!$Y$39:$Y$42,$D203)</f>
        <v>0.78228319117971945</v>
      </c>
      <c r="Z203" s="432">
        <f>_xlfn.IFNA(INDEX('Data manipulation'!$C$23:$O$39,MATCH($V203,'Data manipulation'!$B$23:$B$39,0),MATCH($X203,'Data manipulation'!$C$22:$O$22,0))/1000,0)*SUMIFS('Regional split'!$F$4:$F$6,'Regional split'!$B$4:$B$6,Z$3)*SUMIFS('Data manipulation'!$V$39:$V$42,'Data manipulation'!$X$39:$X$42,$E203,'Data manipulation'!$Y$39:$Y$42,$D203)</f>
        <v>0</v>
      </c>
      <c r="AA203" s="432">
        <f>_xlfn.IFNA(INDEX('Data manipulation'!$C$23:$O$39,MATCH($V203,'Data manipulation'!$B$23:$B$39,0),MATCH($X203,'Data manipulation'!$C$22:$O$22,0))/1000,0)*SUMIFS('Regional split'!$F$4:$F$6,'Regional split'!$B$4:$B$6,AA$3)*SUMIFS('Data manipulation'!$V$39:$V$42,'Data manipulation'!$X$39:$X$42,$E203,'Data manipulation'!$Y$39:$Y$42,$D203)</f>
        <v>0</v>
      </c>
      <c r="AB203" s="443">
        <f t="shared" si="285"/>
        <v>0.52412973809041208</v>
      </c>
      <c r="AC203" s="251">
        <f t="shared" si="286"/>
        <v>0</v>
      </c>
      <c r="AD203" s="444">
        <f t="shared" si="287"/>
        <v>0</v>
      </c>
      <c r="AU203" s="260"/>
      <c r="AZ203" s="252"/>
    </row>
    <row r="204" spans="2:52" ht="15" customHeight="1">
      <c r="B204" s="233" t="str">
        <f t="shared" ref="B204:G204" si="302">B124</f>
        <v>CHTRMCOAE1</v>
      </c>
      <c r="C204" s="233" t="str">
        <f t="shared" si="302"/>
        <v>Commercial Heating Technology Rural Multi - Coal - Existing 1</v>
      </c>
      <c r="D204" s="233" t="str">
        <f t="shared" si="302"/>
        <v>Rural</v>
      </c>
      <c r="E204" s="233" t="str">
        <f t="shared" si="302"/>
        <v>Multi storey</v>
      </c>
      <c r="F204" s="233" t="str">
        <f t="shared" si="302"/>
        <v>COMCOA</v>
      </c>
      <c r="G204" s="233" t="str">
        <f t="shared" si="302"/>
        <v>COMHRMB</v>
      </c>
      <c r="H204" s="567">
        <f t="shared" si="262"/>
        <v>2038</v>
      </c>
      <c r="I204" s="250">
        <v>0</v>
      </c>
      <c r="J204" s="250">
        <v>0</v>
      </c>
      <c r="K204" s="250">
        <v>0</v>
      </c>
      <c r="L204" s="460">
        <v>0.72</v>
      </c>
      <c r="M204" s="460">
        <v>0.72</v>
      </c>
      <c r="N204" s="460">
        <v>0.72</v>
      </c>
      <c r="O204" s="244">
        <f t="shared" si="290"/>
        <v>3.1536000000000002E-2</v>
      </c>
      <c r="P204" s="458">
        <v>0.2</v>
      </c>
      <c r="Q204" s="245">
        <v>20</v>
      </c>
      <c r="R204" s="227">
        <v>1.05</v>
      </c>
      <c r="T204" s="268">
        <f t="shared" si="273"/>
        <v>0</v>
      </c>
      <c r="U204" s="268"/>
      <c r="V204" s="589" t="str">
        <f>'Data manipulation'!$B$23</f>
        <v>Solid fossil fuels, peat, peat products, oil shale and oil sands</v>
      </c>
      <c r="W204" s="254" t="s">
        <v>846</v>
      </c>
      <c r="X204" s="246">
        <v>2019</v>
      </c>
      <c r="Y204" s="432">
        <f>_xlfn.IFNA(INDEX('Data manipulation'!$C$23:$O$39,MATCH($V204,'Data manipulation'!$B$23:$B$39,0),MATCH($X204,'Data manipulation'!$C$22:$O$22,0))/1000,0)*SUMIFS('Regional split'!$F$4:$F$6,'Regional split'!$B$4:$B$6,Y$3)*SUMIFS('Data manipulation'!$V$39:$V$42,'Data manipulation'!$X$39:$X$42,$E204,'Data manipulation'!$Y$39:$Y$42,$D204)</f>
        <v>1.0778320000000001E-3</v>
      </c>
      <c r="Z204" s="432">
        <f>_xlfn.IFNA(INDEX('Data manipulation'!$C$23:$O$39,MATCH($V204,'Data manipulation'!$B$23:$B$39,0),MATCH($X204,'Data manipulation'!$C$22:$O$22,0))/1000,0)*SUMIFS('Regional split'!$F$4:$F$6,'Regional split'!$B$4:$B$6,Z$3)*SUMIFS('Data manipulation'!$V$39:$V$42,'Data manipulation'!$X$39:$X$42,$E204,'Data manipulation'!$Y$39:$Y$42,$D204)</f>
        <v>0</v>
      </c>
      <c r="AA204" s="432">
        <f>_xlfn.IFNA(INDEX('Data manipulation'!$C$23:$O$39,MATCH($V204,'Data manipulation'!$B$23:$B$39,0),MATCH($X204,'Data manipulation'!$C$22:$O$22,0))/1000,0)*SUMIFS('Regional split'!$F$4:$F$6,'Regional split'!$B$4:$B$6,AA$3)*SUMIFS('Data manipulation'!$V$39:$V$42,'Data manipulation'!$X$39:$X$42,$E204,'Data manipulation'!$Y$39:$Y$42,$D204)</f>
        <v>0</v>
      </c>
      <c r="AB204" s="443">
        <f t="shared" si="285"/>
        <v>7.7603904000000002E-4</v>
      </c>
      <c r="AC204" s="251">
        <f t="shared" si="286"/>
        <v>0</v>
      </c>
      <c r="AD204" s="444">
        <f t="shared" si="287"/>
        <v>0</v>
      </c>
      <c r="AU204" s="260"/>
      <c r="AZ204" s="252"/>
    </row>
    <row r="205" spans="2:52" ht="15" customHeight="1">
      <c r="B205" s="233" t="str">
        <f t="shared" ref="B205:G205" si="303">B125</f>
        <v>CHTRMSOLE1</v>
      </c>
      <c r="C205" s="233" t="str">
        <f t="shared" si="303"/>
        <v>Commercial Heating Technology Rural Multi - Solar - Existing 1</v>
      </c>
      <c r="D205" s="233" t="str">
        <f t="shared" si="303"/>
        <v>Rural</v>
      </c>
      <c r="E205" s="233" t="str">
        <f t="shared" si="303"/>
        <v>Multi storey</v>
      </c>
      <c r="F205" s="233" t="str">
        <f t="shared" si="303"/>
        <v>COMSOL</v>
      </c>
      <c r="G205" s="233" t="str">
        <f t="shared" si="303"/>
        <v>COMHRMB</v>
      </c>
      <c r="H205" s="567">
        <f t="shared" si="262"/>
        <v>2038</v>
      </c>
      <c r="I205" s="250">
        <v>0</v>
      </c>
      <c r="J205" s="250">
        <v>0</v>
      </c>
      <c r="K205" s="250">
        <v>0</v>
      </c>
      <c r="L205" s="460">
        <v>1</v>
      </c>
      <c r="M205" s="460">
        <v>1</v>
      </c>
      <c r="N205" s="460">
        <v>1</v>
      </c>
      <c r="O205" s="244">
        <f t="shared" si="290"/>
        <v>3.1536000000000002E-2</v>
      </c>
      <c r="P205" s="458">
        <v>0.2</v>
      </c>
      <c r="Q205" s="245">
        <v>20</v>
      </c>
      <c r="R205" s="227">
        <v>1.05</v>
      </c>
      <c r="T205" s="268">
        <f t="shared" si="273"/>
        <v>0</v>
      </c>
      <c r="U205" s="268"/>
      <c r="V205" s="589" t="str">
        <f>'Data manipulation'!$B$29</f>
        <v>Solar thermal</v>
      </c>
      <c r="W205" s="254" t="s">
        <v>168</v>
      </c>
      <c r="X205" s="246">
        <v>2019</v>
      </c>
      <c r="Y205" s="432">
        <f>_xlfn.IFNA(INDEX('Data manipulation'!$C$23:$O$39,MATCH($V205,'Data manipulation'!$B$23:$B$39,0),MATCH($X205,'Data manipulation'!$C$22:$O$22,0))/1000,0)*SUMIFS('Regional split'!$F$4:$F$6,'Regional split'!$B$4:$B$6,Y$3)*SUMIFS('Data manipulation'!$V$39:$V$42,'Data manipulation'!$X$39:$X$42,$E205,'Data manipulation'!$Y$39:$Y$42,$D205)</f>
        <v>2.3181760000000004E-3</v>
      </c>
      <c r="Z205" s="432">
        <f>_xlfn.IFNA(INDEX('Data manipulation'!$C$23:$O$39,MATCH($V205,'Data manipulation'!$B$23:$B$39,0),MATCH($X205,'Data manipulation'!$C$22:$O$22,0))/1000,0)*SUMIFS('Regional split'!$F$4:$F$6,'Regional split'!$B$4:$B$6,Z$3)*SUMIFS('Data manipulation'!$V$39:$V$42,'Data manipulation'!$X$39:$X$42,$E205,'Data manipulation'!$Y$39:$Y$42,$D205)</f>
        <v>0</v>
      </c>
      <c r="AA205" s="432">
        <f>_xlfn.IFNA(INDEX('Data manipulation'!$C$23:$O$39,MATCH($V205,'Data manipulation'!$B$23:$B$39,0),MATCH($X205,'Data manipulation'!$C$22:$O$22,0))/1000,0)*SUMIFS('Regional split'!$F$4:$F$6,'Regional split'!$B$4:$B$6,AA$3)*SUMIFS('Data manipulation'!$V$39:$V$42,'Data manipulation'!$X$39:$X$42,$E205,'Data manipulation'!$Y$39:$Y$42,$D205)</f>
        <v>0</v>
      </c>
      <c r="AB205" s="443">
        <f t="shared" si="285"/>
        <v>2.3181760000000004E-3</v>
      </c>
      <c r="AC205" s="251">
        <f t="shared" si="286"/>
        <v>0</v>
      </c>
      <c r="AD205" s="444">
        <f t="shared" si="287"/>
        <v>0</v>
      </c>
      <c r="AU205" s="260"/>
      <c r="AZ205" s="252"/>
    </row>
    <row r="206" spans="2:52" ht="15" customHeight="1">
      <c r="B206" s="233" t="str">
        <f t="shared" ref="B206:G206" si="304">B126</f>
        <v>CHTRMELCHE1</v>
      </c>
      <c r="C206" s="233" t="str">
        <f t="shared" si="304"/>
        <v>Commercial Heating Technology Rural Multi - Electricity Heating - Existing 1</v>
      </c>
      <c r="D206" s="233" t="str">
        <f t="shared" si="304"/>
        <v>Rural</v>
      </c>
      <c r="E206" s="233" t="str">
        <f t="shared" si="304"/>
        <v>Multi storey</v>
      </c>
      <c r="F206" s="233" t="str">
        <f t="shared" si="304"/>
        <v>COMELCH</v>
      </c>
      <c r="G206" s="233" t="str">
        <f t="shared" si="304"/>
        <v>COMHRMB</v>
      </c>
      <c r="H206" s="567">
        <f t="shared" si="262"/>
        <v>2048</v>
      </c>
      <c r="I206" s="250">
        <v>0</v>
      </c>
      <c r="J206" s="250">
        <v>0</v>
      </c>
      <c r="K206" s="250">
        <v>0</v>
      </c>
      <c r="L206" s="460">
        <v>1</v>
      </c>
      <c r="M206" s="460">
        <v>1</v>
      </c>
      <c r="N206" s="460">
        <v>1</v>
      </c>
      <c r="O206" s="244">
        <f t="shared" si="290"/>
        <v>3.1536000000000002E-2</v>
      </c>
      <c r="P206" s="458">
        <v>0.2</v>
      </c>
      <c r="Q206" s="245">
        <v>30</v>
      </c>
      <c r="R206" s="227">
        <v>1.05</v>
      </c>
      <c r="T206" s="268">
        <f t="shared" si="273"/>
        <v>0</v>
      </c>
      <c r="U206" s="268"/>
      <c r="V206" s="589" t="str">
        <f>'Data manipulation'!$B$33</f>
        <v>Electricity</v>
      </c>
      <c r="W206" s="254" t="s">
        <v>169</v>
      </c>
      <c r="X206" s="246">
        <v>2019</v>
      </c>
      <c r="Y206" s="432">
        <f>_xlfn.IFNA(INDEX('Data manipulation'!$C$23:$O$39,MATCH($V206,'Data manipulation'!$B$23:$B$39,0),MATCH($X206,'Data manipulation'!$C$22:$O$22,0))/1000,0)*SUMIFS('Regional split'!$F$4:$F$6,'Regional split'!$B$4:$B$6,Y$3)*SUMIFS('Data manipulation'!$V$39:$V$42,'Data manipulation'!$X$39:$X$42,$E206,'Data manipulation'!$Y$39:$Y$42,$D206)</f>
        <v>0.38627434307857034</v>
      </c>
      <c r="Z206" s="432">
        <f>_xlfn.IFNA(INDEX('Data manipulation'!$C$23:$O$39,MATCH($V206,'Data manipulation'!$B$23:$B$39,0),MATCH($X206,'Data manipulation'!$C$22:$O$22,0))/1000,0)*SUMIFS('Regional split'!$F$4:$F$6,'Regional split'!$B$4:$B$6,Z$3)*SUMIFS('Data manipulation'!$V$39:$V$42,'Data manipulation'!$X$39:$X$42,$E206,'Data manipulation'!$Y$39:$Y$42,$D206)</f>
        <v>0</v>
      </c>
      <c r="AA206" s="432">
        <f>_xlfn.IFNA(INDEX('Data manipulation'!$C$23:$O$39,MATCH($V206,'Data manipulation'!$B$23:$B$39,0),MATCH($X206,'Data manipulation'!$C$22:$O$22,0))/1000,0)*SUMIFS('Regional split'!$F$4:$F$6,'Regional split'!$B$4:$B$6,AA$3)*SUMIFS('Data manipulation'!$V$39:$V$42,'Data manipulation'!$X$39:$X$42,$E206,'Data manipulation'!$Y$39:$Y$42,$D206)</f>
        <v>0</v>
      </c>
      <c r="AB206" s="443">
        <f t="shared" si="285"/>
        <v>0.38627434307857034</v>
      </c>
      <c r="AC206" s="251">
        <f t="shared" si="286"/>
        <v>0</v>
      </c>
      <c r="AD206" s="444">
        <f t="shared" si="287"/>
        <v>0</v>
      </c>
      <c r="AU206" s="260"/>
      <c r="AZ206" s="252"/>
    </row>
    <row r="207" spans="2:52" ht="15" customHeight="1">
      <c r="B207" s="233" t="str">
        <f t="shared" ref="B207:G207" si="305">B127</f>
        <v>CHTRMELCHE2</v>
      </c>
      <c r="C207" s="233" t="str">
        <f t="shared" si="305"/>
        <v>Commercial Heating Technology Rural Multi - Electricity Heating - Existing 2</v>
      </c>
      <c r="D207" s="233" t="str">
        <f t="shared" si="305"/>
        <v>Rural</v>
      </c>
      <c r="E207" s="233" t="str">
        <f t="shared" si="305"/>
        <v>Multi storey</v>
      </c>
      <c r="F207" s="233" t="str">
        <f t="shared" si="305"/>
        <v>COMELCH</v>
      </c>
      <c r="G207" s="233" t="str">
        <f t="shared" si="305"/>
        <v>COMHRMB</v>
      </c>
      <c r="H207" s="567">
        <f t="shared" si="262"/>
        <v>2048</v>
      </c>
      <c r="I207" s="250">
        <v>0</v>
      </c>
      <c r="J207" s="250">
        <v>0</v>
      </c>
      <c r="K207" s="250">
        <v>0</v>
      </c>
      <c r="L207" s="460">
        <v>2.3149999999999999</v>
      </c>
      <c r="M207" s="460">
        <v>2.3149999999999999</v>
      </c>
      <c r="N207" s="460">
        <v>2.3149999999999999</v>
      </c>
      <c r="O207" s="244">
        <f t="shared" si="290"/>
        <v>3.1536000000000002E-2</v>
      </c>
      <c r="P207" s="458">
        <v>0.2</v>
      </c>
      <c r="Q207" s="245">
        <v>30</v>
      </c>
      <c r="R207" s="227">
        <v>1.05</v>
      </c>
      <c r="T207" s="268">
        <f t="shared" si="273"/>
        <v>0</v>
      </c>
      <c r="U207" s="268"/>
      <c r="V207" s="589" t="str">
        <f>'Data manipulation'!$B$30</f>
        <v>Ambient heat (heat pumps)</v>
      </c>
      <c r="W207" s="254" t="s">
        <v>170</v>
      </c>
      <c r="X207" s="246">
        <v>2019</v>
      </c>
      <c r="Y207" s="432">
        <f>_xlfn.IFNA(INDEX('Data manipulation'!$C$23:$O$39,MATCH($V207,'Data manipulation'!$B$23:$B$39,0),MATCH($X207,'Data manipulation'!$C$22:$O$22,0))/1000,0)*SUMIFS('Regional split'!$F$4:$F$6,'Regional split'!$B$4:$B$6,Y$3)*SUMIFS('Data manipulation'!$V$39:$V$42,'Data manipulation'!$X$39:$X$42,$E207,'Data manipulation'!$Y$39:$Y$42,$D207)</f>
        <v>5.3304160000000003E-2</v>
      </c>
      <c r="Z207" s="432">
        <f>_xlfn.IFNA(INDEX('Data manipulation'!$C$23:$O$39,MATCH($V207,'Data manipulation'!$B$23:$B$39,0),MATCH($X207,'Data manipulation'!$C$22:$O$22,0))/1000,0)*SUMIFS('Regional split'!$F$4:$F$6,'Regional split'!$B$4:$B$6,Z$3)*SUMIFS('Data manipulation'!$V$39:$V$42,'Data manipulation'!$X$39:$X$42,$E207,'Data manipulation'!$Y$39:$Y$42,$D207)</f>
        <v>0</v>
      </c>
      <c r="AA207" s="432">
        <f>_xlfn.IFNA(INDEX('Data manipulation'!$C$23:$O$39,MATCH($V207,'Data manipulation'!$B$23:$B$39,0),MATCH($X207,'Data manipulation'!$C$22:$O$22,0))/1000,0)*SUMIFS('Regional split'!$F$4:$F$6,'Regional split'!$B$4:$B$6,AA$3)*SUMIFS('Data manipulation'!$V$39:$V$42,'Data manipulation'!$X$39:$X$42,$E207,'Data manipulation'!$Y$39:$Y$42,$D207)</f>
        <v>0</v>
      </c>
      <c r="AB207" s="443">
        <f t="shared" si="285"/>
        <v>0.1233991304</v>
      </c>
      <c r="AC207" s="251">
        <f t="shared" si="286"/>
        <v>0</v>
      </c>
      <c r="AD207" s="444">
        <f t="shared" si="287"/>
        <v>0</v>
      </c>
      <c r="AU207" s="260"/>
      <c r="AZ207" s="252"/>
    </row>
    <row r="208" spans="2:52" ht="15" customHeight="1">
      <c r="B208" s="233" t="str">
        <f t="shared" ref="B208:G208" si="306">B128</f>
        <v>CHTRMHCEE1</v>
      </c>
      <c r="C208" s="233" t="str">
        <f t="shared" si="306"/>
        <v>Commercial Heating Technology Rural Multi - District heating Central - Existing 1</v>
      </c>
      <c r="D208" s="233" t="str">
        <f t="shared" si="306"/>
        <v>Rural</v>
      </c>
      <c r="E208" s="233" t="str">
        <f t="shared" si="306"/>
        <v>Multi storey</v>
      </c>
      <c r="F208" s="233" t="str">
        <f t="shared" si="306"/>
        <v>COMHDE</v>
      </c>
      <c r="G208" s="233" t="str">
        <f t="shared" si="306"/>
        <v>COMHRMX</v>
      </c>
      <c r="H208" s="569">
        <f t="shared" si="262"/>
        <v>2048</v>
      </c>
      <c r="I208" s="565">
        <v>0</v>
      </c>
      <c r="J208" s="565">
        <v>0</v>
      </c>
      <c r="K208" s="565">
        <v>0</v>
      </c>
      <c r="L208" s="460">
        <v>0.98</v>
      </c>
      <c r="M208" s="460">
        <v>0.98</v>
      </c>
      <c r="N208" s="460">
        <v>0.98</v>
      </c>
      <c r="O208" s="244">
        <f t="shared" si="290"/>
        <v>3.1536000000000002E-2</v>
      </c>
      <c r="P208" s="458">
        <v>0.2</v>
      </c>
      <c r="Q208" s="245">
        <v>30</v>
      </c>
      <c r="R208" s="227">
        <v>1.05</v>
      </c>
      <c r="T208" s="268">
        <f t="shared" si="273"/>
        <v>0</v>
      </c>
      <c r="U208" s="268"/>
      <c r="V208" s="589" t="str">
        <f>'Data manipulation'!$B$34</f>
        <v>Heat</v>
      </c>
      <c r="W208" s="254" t="s">
        <v>171</v>
      </c>
      <c r="X208" s="246">
        <v>2019</v>
      </c>
      <c r="Y208" s="432">
        <f>_xlfn.IFNA(INDEX('Data manipulation'!$C$23:$O$39,MATCH($V208,'Data manipulation'!$B$23:$B$39,0),MATCH($X208,'Data manipulation'!$C$22:$O$22,0))/1000,0)*SUMIFS('Regional split'!$F$4:$F$6,'Regional split'!$B$4:$B$6,Y$3)*SUMIFS('Data manipulation'!$V$39:$V$42,'Data manipulation'!$X$39:$X$42,$E208,'Data manipulation'!$Y$39:$Y$42,$D208)</f>
        <v>0.74129811903737053</v>
      </c>
      <c r="Z208" s="432">
        <f>_xlfn.IFNA(INDEX('Data manipulation'!$C$23:$O$39,MATCH($V208,'Data manipulation'!$B$23:$B$39,0),MATCH($X208,'Data manipulation'!$C$22:$O$22,0))/1000,0)*SUMIFS('Regional split'!$F$4:$F$6,'Regional split'!$B$4:$B$6,Z$3)*SUMIFS('Data manipulation'!$V$39:$V$42,'Data manipulation'!$X$39:$X$42,$E208,'Data manipulation'!$Y$39:$Y$42,$D208)</f>
        <v>0</v>
      </c>
      <c r="AA208" s="432">
        <f>_xlfn.IFNA(INDEX('Data manipulation'!$C$23:$O$39,MATCH($V208,'Data manipulation'!$B$23:$B$39,0),MATCH($X208,'Data manipulation'!$C$22:$O$22,0))/1000,0)*SUMIFS('Regional split'!$F$4:$F$6,'Regional split'!$B$4:$B$6,AA$3)*SUMIFS('Data manipulation'!$V$39:$V$42,'Data manipulation'!$X$39:$X$42,$E208,'Data manipulation'!$Y$39:$Y$42,$D208)</f>
        <v>0</v>
      </c>
      <c r="AB208" s="443">
        <f t="shared" si="285"/>
        <v>0.72647215665662312</v>
      </c>
      <c r="AC208" s="251">
        <f t="shared" si="286"/>
        <v>0</v>
      </c>
      <c r="AD208" s="444">
        <f t="shared" si="287"/>
        <v>0</v>
      </c>
      <c r="AU208" s="260"/>
      <c r="AZ208" s="252"/>
    </row>
    <row r="209" spans="2:52" ht="15" customHeight="1" thickBot="1">
      <c r="B209" s="233" t="str">
        <f t="shared" ref="B209:G209" si="307">B129</f>
        <v>CHTRMLPGE1</v>
      </c>
      <c r="C209" s="233" t="str">
        <f t="shared" si="307"/>
        <v>Commercial Heating Technology Rural Multi - LPG - Existing 1</v>
      </c>
      <c r="D209" s="233" t="str">
        <f t="shared" si="307"/>
        <v>Rural</v>
      </c>
      <c r="E209" s="233" t="str">
        <f t="shared" si="307"/>
        <v>Multi storey</v>
      </c>
      <c r="F209" s="233" t="str">
        <f t="shared" si="307"/>
        <v>COMLPG</v>
      </c>
      <c r="G209" s="233" t="str">
        <f t="shared" si="307"/>
        <v>COMHRMB</v>
      </c>
      <c r="H209" s="569">
        <f t="shared" si="262"/>
        <v>2048</v>
      </c>
      <c r="I209" s="250">
        <v>0</v>
      </c>
      <c r="J209" s="250">
        <v>0</v>
      </c>
      <c r="K209" s="250">
        <v>0</v>
      </c>
      <c r="L209" s="460">
        <v>0.98</v>
      </c>
      <c r="M209" s="460">
        <v>0.98</v>
      </c>
      <c r="N209" s="460">
        <v>0.98</v>
      </c>
      <c r="O209" s="244">
        <f t="shared" si="290"/>
        <v>3.1536000000000002E-2</v>
      </c>
      <c r="P209" s="458">
        <v>0.2</v>
      </c>
      <c r="Q209" s="245">
        <v>30</v>
      </c>
      <c r="R209" s="227">
        <v>1.05</v>
      </c>
      <c r="T209" s="268">
        <f t="shared" si="273"/>
        <v>0</v>
      </c>
      <c r="U209" s="268"/>
      <c r="V209" s="590" t="str">
        <f>'Data manipulation'!$B$25</f>
        <v>Liquefied petroleum gas</v>
      </c>
      <c r="W209" s="427" t="s">
        <v>759</v>
      </c>
      <c r="X209" s="246">
        <v>2019</v>
      </c>
      <c r="Y209" s="432">
        <f>_xlfn.IFNA(INDEX('Data manipulation'!$C$23:$O$39,MATCH($V209,'Data manipulation'!$B$23:$B$39,0),MATCH($X209,'Data manipulation'!$C$22:$O$22,0))/1000,0)*SUMIFS('Regional split'!$F$4:$F$6,'Regional split'!$B$4:$B$6,Y$3)*SUMIFS('Data manipulation'!$V$39:$V$42,'Data manipulation'!$X$39:$X$42,$E209,'Data manipulation'!$Y$39:$Y$42,$D209)</f>
        <v>9.2772095129411772E-2</v>
      </c>
      <c r="Z209" s="432">
        <f>_xlfn.IFNA(INDEX('Data manipulation'!$C$23:$O$39,MATCH($V209,'Data manipulation'!$B$23:$B$39,0),MATCH($X209,'Data manipulation'!$C$22:$O$22,0))/1000,0)*SUMIFS('Regional split'!$F$4:$F$6,'Regional split'!$B$4:$B$6,Z$3)*SUMIFS('Data manipulation'!$V$39:$V$42,'Data manipulation'!$X$39:$X$42,$E209,'Data manipulation'!$Y$39:$Y$42,$D209)</f>
        <v>0</v>
      </c>
      <c r="AA209" s="432">
        <f>_xlfn.IFNA(INDEX('Data manipulation'!$C$23:$O$39,MATCH($V209,'Data manipulation'!$B$23:$B$39,0),MATCH($X209,'Data manipulation'!$C$22:$O$22,0))/1000,0)*SUMIFS('Regional split'!$F$4:$F$6,'Regional split'!$B$4:$B$6,AA$3)*SUMIFS('Data manipulation'!$V$39:$V$42,'Data manipulation'!$X$39:$X$42,$E209,'Data manipulation'!$Y$39:$Y$42,$D209)</f>
        <v>0</v>
      </c>
      <c r="AB209" s="445">
        <f t="shared" si="285"/>
        <v>9.0916653226823532E-2</v>
      </c>
      <c r="AC209" s="431">
        <f t="shared" si="286"/>
        <v>0</v>
      </c>
      <c r="AD209" s="452">
        <f t="shared" si="287"/>
        <v>0</v>
      </c>
      <c r="AU209" s="260"/>
      <c r="AZ209" s="252"/>
    </row>
    <row r="210" spans="2:5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5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5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5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5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5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5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5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5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5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5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5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5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5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52">
      <c r="B224" s="241"/>
      <c r="C224" s="269"/>
      <c r="D224" s="269"/>
      <c r="E224" s="269"/>
      <c r="F224" s="269"/>
      <c r="G224" s="269"/>
      <c r="H224" s="269"/>
      <c r="I224" s="269"/>
      <c r="J224" s="269"/>
      <c r="K224" s="269"/>
      <c r="L224" s="269"/>
      <c r="M224" s="269"/>
      <c r="N224" s="269"/>
      <c r="O224" s="269"/>
      <c r="P224" s="269"/>
      <c r="Q224" s="269"/>
      <c r="R224" s="269"/>
      <c r="S224" s="269"/>
      <c r="T224" s="269"/>
      <c r="U224" s="269"/>
      <c r="V224" s="269"/>
      <c r="W224" s="269"/>
      <c r="X224" s="269"/>
      <c r="Y224" s="269"/>
      <c r="Z224" s="269"/>
      <c r="AA224" s="269"/>
      <c r="AB224" s="269"/>
      <c r="AC224" s="269"/>
      <c r="AD224" s="269"/>
      <c r="AE224" s="269"/>
      <c r="AF224" s="269"/>
      <c r="AG224" s="269"/>
      <c r="AH224" s="269"/>
      <c r="AI224" s="269"/>
      <c r="AJ224" s="269"/>
      <c r="AK224" s="269"/>
      <c r="AL224" s="269"/>
      <c r="AM224" s="269"/>
      <c r="AN224" s="269"/>
      <c r="AO224" s="269"/>
      <c r="AP224" s="269"/>
    </row>
    <row r="225" spans="2:42">
      <c r="B225" s="241"/>
      <c r="C225" s="269"/>
      <c r="D225" s="269"/>
      <c r="E225" s="269"/>
      <c r="F225" s="269"/>
      <c r="G225" s="269"/>
      <c r="H225" s="269"/>
      <c r="I225" s="269"/>
      <c r="J225" s="269"/>
      <c r="K225" s="269"/>
      <c r="L225" s="269"/>
      <c r="M225" s="269"/>
      <c r="N225" s="269"/>
      <c r="O225" s="269"/>
      <c r="P225" s="269"/>
      <c r="Q225" s="269"/>
      <c r="R225" s="269"/>
      <c r="S225" s="269"/>
      <c r="T225" s="269"/>
      <c r="U225" s="269"/>
      <c r="V225" s="269"/>
      <c r="W225" s="269"/>
      <c r="X225" s="269"/>
      <c r="Y225" s="269"/>
      <c r="Z225" s="269"/>
      <c r="AA225" s="269"/>
      <c r="AB225" s="269"/>
      <c r="AC225" s="269"/>
      <c r="AD225" s="269"/>
      <c r="AE225" s="269"/>
      <c r="AF225" s="269"/>
      <c r="AG225" s="269"/>
      <c r="AH225" s="269"/>
      <c r="AI225" s="269"/>
      <c r="AJ225" s="269"/>
      <c r="AK225" s="269"/>
      <c r="AL225" s="269"/>
      <c r="AM225" s="269"/>
      <c r="AN225" s="269"/>
      <c r="AO225" s="269"/>
      <c r="AP225" s="269"/>
    </row>
    <row r="226" spans="2:42">
      <c r="B226" s="241"/>
      <c r="C226" s="269"/>
      <c r="D226" s="269"/>
      <c r="E226" s="269"/>
      <c r="F226" s="269"/>
      <c r="G226" s="269"/>
      <c r="H226" s="269"/>
      <c r="I226" s="269"/>
      <c r="J226" s="269"/>
      <c r="K226" s="269"/>
      <c r="L226" s="269"/>
      <c r="M226" s="269"/>
      <c r="N226" s="269"/>
      <c r="O226" s="269"/>
      <c r="P226" s="269"/>
      <c r="Q226" s="269"/>
      <c r="R226" s="269"/>
      <c r="S226" s="269"/>
      <c r="T226" s="269"/>
      <c r="U226" s="269"/>
      <c r="V226" s="269"/>
      <c r="W226" s="269"/>
      <c r="X226" s="269"/>
      <c r="Y226" s="269"/>
      <c r="Z226" s="269"/>
      <c r="AA226" s="269"/>
      <c r="AB226" s="269"/>
      <c r="AC226" s="269"/>
      <c r="AD226" s="269"/>
      <c r="AE226" s="269"/>
      <c r="AF226" s="269"/>
      <c r="AG226" s="269"/>
      <c r="AH226" s="269"/>
      <c r="AI226" s="269"/>
      <c r="AJ226" s="269"/>
      <c r="AK226" s="269"/>
      <c r="AL226" s="269"/>
      <c r="AM226" s="269"/>
      <c r="AN226" s="269"/>
      <c r="AO226" s="269"/>
      <c r="AP226" s="269"/>
    </row>
    <row r="227" spans="2:42">
      <c r="B227" s="241"/>
      <c r="C227" s="269"/>
      <c r="D227" s="269"/>
      <c r="E227" s="269"/>
      <c r="F227" s="269"/>
      <c r="G227" s="269"/>
      <c r="H227" s="269"/>
      <c r="I227" s="269"/>
      <c r="J227" s="269"/>
      <c r="K227" s="269"/>
      <c r="L227" s="269"/>
      <c r="M227" s="269"/>
      <c r="N227" s="269"/>
      <c r="O227" s="269"/>
      <c r="P227" s="269"/>
      <c r="Q227" s="269"/>
      <c r="R227" s="269"/>
      <c r="S227" s="269"/>
      <c r="T227" s="269"/>
      <c r="U227" s="269"/>
      <c r="V227" s="269"/>
      <c r="W227" s="269"/>
      <c r="X227" s="269"/>
      <c r="Y227" s="269"/>
      <c r="Z227" s="269"/>
      <c r="AA227" s="269"/>
      <c r="AB227" s="269"/>
      <c r="AC227" s="269"/>
      <c r="AD227" s="269"/>
      <c r="AE227" s="269"/>
      <c r="AF227" s="269"/>
      <c r="AG227" s="269"/>
      <c r="AH227" s="269"/>
      <c r="AI227" s="269"/>
      <c r="AJ227" s="269"/>
      <c r="AK227" s="269"/>
      <c r="AL227" s="269"/>
      <c r="AM227" s="269"/>
      <c r="AN227" s="269"/>
      <c r="AO227" s="269"/>
      <c r="AP227" s="269"/>
    </row>
    <row r="228" spans="2:42">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42">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42">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42">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42">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42">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42">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42">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42">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42">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42">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42">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42">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59"/>
      <c r="P248" s="235"/>
      <c r="Q248" s="235"/>
      <c r="R248" s="235"/>
      <c r="S248" s="235"/>
      <c r="AD248" s="227"/>
      <c r="AE248" s="233"/>
    </row>
    <row r="249" spans="2:31">
      <c r="B249" s="241"/>
      <c r="C249" s="241"/>
      <c r="D249" s="241"/>
      <c r="E249" s="241"/>
      <c r="F249" s="259"/>
      <c r="G249" s="259"/>
      <c r="H249" s="259"/>
      <c r="I249" s="259"/>
      <c r="J249" s="259"/>
      <c r="K249" s="259"/>
      <c r="L249" s="259"/>
      <c r="M249" s="259"/>
      <c r="N249" s="259"/>
      <c r="O249" s="259"/>
      <c r="P249" s="235"/>
      <c r="Q249" s="235"/>
      <c r="R249" s="235"/>
      <c r="S249" s="235"/>
      <c r="AD249" s="227"/>
      <c r="AE249" s="233"/>
    </row>
    <row r="250" spans="2:31">
      <c r="B250" s="241"/>
      <c r="C250" s="241"/>
      <c r="D250" s="241"/>
      <c r="E250" s="241"/>
      <c r="F250" s="259"/>
      <c r="G250" s="259"/>
      <c r="H250" s="259"/>
      <c r="I250" s="259"/>
      <c r="J250" s="259"/>
      <c r="K250" s="259"/>
      <c r="L250" s="259"/>
      <c r="M250" s="259"/>
      <c r="N250" s="259"/>
      <c r="O250" s="259"/>
      <c r="P250" s="235"/>
      <c r="Q250" s="235"/>
      <c r="R250" s="235"/>
      <c r="S250" s="235"/>
      <c r="AD250" s="227"/>
      <c r="AE250" s="233"/>
    </row>
    <row r="251" spans="2:31">
      <c r="B251" s="241"/>
      <c r="C251" s="241"/>
      <c r="D251" s="241"/>
      <c r="E251" s="241"/>
      <c r="F251" s="259"/>
      <c r="G251" s="259"/>
      <c r="H251" s="259"/>
      <c r="I251" s="259"/>
      <c r="J251" s="259"/>
      <c r="K251" s="259"/>
      <c r="L251" s="259"/>
      <c r="M251" s="259"/>
      <c r="N251" s="259"/>
      <c r="O251" s="259"/>
      <c r="P251" s="235"/>
      <c r="Q251" s="235"/>
      <c r="R251" s="235"/>
      <c r="S251" s="235"/>
      <c r="AD251" s="227"/>
      <c r="AE251" s="233"/>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row r="1644" spans="2:17">
      <c r="B1644" s="241"/>
      <c r="C1644" s="241"/>
      <c r="D1644" s="241"/>
      <c r="E1644" s="241"/>
      <c r="F1644" s="259"/>
      <c r="G1644" s="259"/>
      <c r="H1644" s="259"/>
      <c r="I1644" s="259"/>
      <c r="J1644" s="259"/>
      <c r="K1644" s="259"/>
      <c r="L1644" s="259"/>
      <c r="M1644" s="259"/>
      <c r="N1644" s="259"/>
      <c r="O1644" s="235"/>
      <c r="P1644" s="235"/>
      <c r="Q1644" s="235"/>
    </row>
    <row r="1645" spans="2:17">
      <c r="B1645" s="241"/>
      <c r="C1645" s="241"/>
      <c r="D1645" s="241"/>
      <c r="E1645" s="241"/>
      <c r="F1645" s="259"/>
      <c r="G1645" s="259"/>
      <c r="H1645" s="259"/>
      <c r="I1645" s="259"/>
      <c r="J1645" s="259"/>
      <c r="K1645" s="259"/>
      <c r="L1645" s="259"/>
      <c r="M1645" s="259"/>
      <c r="N1645" s="259"/>
      <c r="O1645" s="235"/>
      <c r="P1645" s="235"/>
      <c r="Q1645" s="235"/>
    </row>
    <row r="1646" spans="2:17">
      <c r="B1646" s="241"/>
      <c r="C1646" s="241"/>
      <c r="D1646" s="241"/>
      <c r="E1646" s="241"/>
      <c r="F1646" s="259"/>
      <c r="G1646" s="259"/>
      <c r="H1646" s="259"/>
      <c r="I1646" s="259"/>
      <c r="J1646" s="259"/>
      <c r="K1646" s="259"/>
      <c r="L1646" s="259"/>
      <c r="M1646" s="259"/>
      <c r="N1646" s="259"/>
      <c r="O1646" s="235"/>
      <c r="P1646" s="235"/>
      <c r="Q1646" s="235"/>
    </row>
    <row r="1647" spans="2:17">
      <c r="B1647" s="241"/>
      <c r="C1647" s="241"/>
      <c r="D1647" s="241"/>
      <c r="E1647" s="241"/>
      <c r="F1647" s="259"/>
      <c r="G1647" s="259"/>
      <c r="H1647" s="259"/>
      <c r="I1647" s="259"/>
      <c r="J1647" s="259"/>
      <c r="K1647" s="259"/>
      <c r="L1647" s="259"/>
      <c r="M1647" s="259"/>
      <c r="N1647" s="259"/>
      <c r="O1647" s="235"/>
      <c r="P1647" s="235"/>
      <c r="Q1647" s="235"/>
    </row>
  </sheetData>
  <pageMargins left="0.75" right="0.75" top="1" bottom="1" header="0.5" footer="0.5"/>
  <pageSetup paperSize="9" orientation="portrait" horizontalDpi="300" verticalDpi="300"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4731C-248E-4F6C-B1D7-CBE42DEBC9BC}">
  <sheetPr>
    <tabColor theme="3" tint="0.59999389629810485"/>
  </sheetPr>
  <dimension ref="A2:AJ155"/>
  <sheetViews>
    <sheetView topLeftCell="O1" zoomScale="70" zoomScaleNormal="70" workbookViewId="0">
      <selection activeCell="Q41" sqref="Q41"/>
    </sheetView>
  </sheetViews>
  <sheetFormatPr defaultColWidth="8.81640625" defaultRowHeight="12.5"/>
  <cols>
    <col min="2" max="2" width="30.453125" bestFit="1" customWidth="1"/>
    <col min="3" max="3" width="9.1796875" bestFit="1" customWidth="1"/>
    <col min="5" max="5" width="9.1796875" bestFit="1" customWidth="1"/>
    <col min="6" max="6" width="11.81640625" bestFit="1" customWidth="1"/>
    <col min="7" max="7" width="10" customWidth="1"/>
    <col min="8" max="14" width="11.81640625" bestFit="1" customWidth="1"/>
    <col min="15" max="15" width="13.453125" customWidth="1"/>
    <col min="16" max="16" width="9.1796875" bestFit="1" customWidth="1"/>
    <col min="17" max="17" width="16.36328125" customWidth="1"/>
    <col min="18" max="18" width="10.6328125" bestFit="1" customWidth="1"/>
    <col min="21" max="21" width="8.81640625" style="21"/>
    <col min="22" max="22" width="29.36328125" bestFit="1" customWidth="1"/>
    <col min="23" max="23" width="8.36328125" bestFit="1" customWidth="1"/>
    <col min="24" max="24" width="6" bestFit="1" customWidth="1"/>
    <col min="25" max="25" width="5.453125" bestFit="1" customWidth="1"/>
    <col min="26" max="26" width="7.1796875" bestFit="1" customWidth="1"/>
    <col min="27" max="28" width="5.453125" bestFit="1" customWidth="1"/>
    <col min="29" max="29" width="4.1796875" bestFit="1" customWidth="1"/>
    <col min="30" max="30" width="20.81640625" bestFit="1" customWidth="1"/>
    <col min="31" max="32" width="7" bestFit="1" customWidth="1"/>
    <col min="33" max="33" width="5.453125" bestFit="1" customWidth="1"/>
  </cols>
  <sheetData>
    <row r="2" spans="2:32" ht="15">
      <c r="B2" s="359" t="s">
        <v>267</v>
      </c>
      <c r="C2" s="300"/>
      <c r="D2" s="300"/>
      <c r="E2" s="300"/>
      <c r="F2" s="300"/>
      <c r="G2" s="300"/>
      <c r="H2" s="300"/>
      <c r="I2" s="300"/>
      <c r="J2" s="300"/>
      <c r="K2" s="300"/>
      <c r="V2" s="359" t="s">
        <v>974</v>
      </c>
    </row>
    <row r="3" spans="2:32" ht="14">
      <c r="B3" s="300"/>
      <c r="C3" s="300"/>
      <c r="D3" s="300"/>
      <c r="E3" s="300"/>
      <c r="F3" s="300"/>
      <c r="G3" s="300"/>
      <c r="H3" s="300"/>
      <c r="I3" s="300"/>
    </row>
    <row r="4" spans="2:32" ht="14">
      <c r="B4" s="300"/>
      <c r="C4" s="300" t="s">
        <v>92</v>
      </c>
      <c r="D4" s="300" t="s">
        <v>263</v>
      </c>
      <c r="E4" s="300" t="s">
        <v>257</v>
      </c>
      <c r="F4" s="300" t="s">
        <v>264</v>
      </c>
      <c r="G4" s="300" t="s">
        <v>265</v>
      </c>
      <c r="H4" s="300" t="s">
        <v>266</v>
      </c>
      <c r="V4" s="132" t="s">
        <v>975</v>
      </c>
    </row>
    <row r="5" spans="2:32" ht="14">
      <c r="B5" s="300" t="s">
        <v>261</v>
      </c>
      <c r="C5" s="357">
        <f>'Energy balance'!N20</f>
        <v>24117.5</v>
      </c>
      <c r="D5" s="357">
        <f>$C5*D10</f>
        <v>0</v>
      </c>
      <c r="E5" s="357">
        <f t="shared" ref="D5:H9" si="0">$C5*E10</f>
        <v>0</v>
      </c>
      <c r="F5" s="357">
        <f t="shared" si="0"/>
        <v>0</v>
      </c>
      <c r="G5" s="357">
        <f>$C5*G10</f>
        <v>23478.625827814569</v>
      </c>
      <c r="H5" s="357">
        <f>$C5*H10</f>
        <v>638.87417218543044</v>
      </c>
      <c r="V5" s="106" t="s">
        <v>211</v>
      </c>
      <c r="W5" s="474">
        <f>Sources!D15</f>
        <v>1350</v>
      </c>
      <c r="X5" s="474">
        <f>Sources!E15</f>
        <v>1350</v>
      </c>
      <c r="Y5" s="474">
        <f>Sources!F15</f>
        <v>1350</v>
      </c>
      <c r="Z5" s="474">
        <f>Sources!G15</f>
        <v>1350</v>
      </c>
      <c r="AA5" s="474">
        <f>Sources!H15</f>
        <v>1350</v>
      </c>
      <c r="AB5" s="474">
        <f>Sources!I15</f>
        <v>1350</v>
      </c>
      <c r="AC5" s="474">
        <f>Sources!J15</f>
        <v>1350</v>
      </c>
      <c r="AD5" s="474">
        <f>Sources!K15</f>
        <v>1350</v>
      </c>
      <c r="AE5" s="474">
        <f>Sources!L15</f>
        <v>1350</v>
      </c>
      <c r="AF5" s="474">
        <f>Sources!M15</f>
        <v>1350</v>
      </c>
    </row>
    <row r="6" spans="2:32" ht="14">
      <c r="B6" s="300" t="s">
        <v>74</v>
      </c>
      <c r="C6" s="357">
        <f>'Energy balance'!N18+'Energy balance'!N8</f>
        <v>119609.5</v>
      </c>
      <c r="D6" s="357">
        <f>$C6*D11</f>
        <v>83726.649999999994</v>
      </c>
      <c r="E6" s="357">
        <f t="shared" si="0"/>
        <v>10472.984928229665</v>
      </c>
      <c r="F6" s="357">
        <f t="shared" si="0"/>
        <v>25409.865071770331</v>
      </c>
      <c r="G6" s="357">
        <f t="shared" si="0"/>
        <v>0</v>
      </c>
      <c r="H6" s="357">
        <f t="shared" si="0"/>
        <v>0</v>
      </c>
    </row>
    <row r="7" spans="2:32" ht="14">
      <c r="B7" s="300" t="s">
        <v>199</v>
      </c>
      <c r="C7" s="357">
        <f>'Energy balance'!N21</f>
        <v>470.8</v>
      </c>
      <c r="D7" s="357">
        <f t="shared" si="0"/>
        <v>470.8</v>
      </c>
      <c r="E7" s="357">
        <f t="shared" si="0"/>
        <v>0</v>
      </c>
      <c r="F7" s="357">
        <f t="shared" si="0"/>
        <v>0</v>
      </c>
      <c r="G7" s="357">
        <f t="shared" si="0"/>
        <v>0</v>
      </c>
      <c r="H7" s="357">
        <f t="shared" si="0"/>
        <v>0</v>
      </c>
    </row>
    <row r="8" spans="2:32" ht="14">
      <c r="B8" s="300" t="s">
        <v>262</v>
      </c>
      <c r="C8" s="357">
        <f>'Energy balance'!N12+'Energy balance'!N11+'Energy balance'!N9</f>
        <v>371.4</v>
      </c>
      <c r="D8" s="357">
        <f>$C8*D13</f>
        <v>371.4</v>
      </c>
      <c r="E8" s="357">
        <f t="shared" si="0"/>
        <v>0</v>
      </c>
      <c r="F8" s="357">
        <f t="shared" si="0"/>
        <v>0</v>
      </c>
      <c r="G8" s="357">
        <f t="shared" si="0"/>
        <v>0</v>
      </c>
      <c r="H8" s="357">
        <f t="shared" si="0"/>
        <v>0</v>
      </c>
    </row>
    <row r="9" spans="2:32" ht="14">
      <c r="B9" s="300" t="s">
        <v>198</v>
      </c>
      <c r="C9" s="357">
        <f>'Energy balance'!N19</f>
        <v>5051.2</v>
      </c>
      <c r="D9" s="357">
        <f t="shared" si="0"/>
        <v>5051.2</v>
      </c>
      <c r="E9" s="357">
        <f t="shared" si="0"/>
        <v>0</v>
      </c>
      <c r="F9" s="357">
        <f t="shared" si="0"/>
        <v>0</v>
      </c>
      <c r="G9" s="357">
        <f t="shared" si="0"/>
        <v>0</v>
      </c>
      <c r="H9" s="357">
        <f t="shared" si="0"/>
        <v>0</v>
      </c>
      <c r="V9" s="420" t="s">
        <v>976</v>
      </c>
      <c r="W9" s="420"/>
      <c r="X9" s="420"/>
    </row>
    <row r="10" spans="2:32" ht="14">
      <c r="B10" s="300"/>
      <c r="C10" s="357"/>
      <c r="D10" s="358">
        <v>0</v>
      </c>
      <c r="E10" s="358">
        <v>0</v>
      </c>
      <c r="F10" s="358">
        <v>0</v>
      </c>
      <c r="G10" s="358">
        <f>1-H10-SUM(D10:F10)</f>
        <v>0.97350993377483441</v>
      </c>
      <c r="H10" s="358">
        <f>Sources!B95/SUM(Sources!B91:B92)</f>
        <v>2.6490066225165563E-2</v>
      </c>
      <c r="V10" s="207" t="s">
        <v>711</v>
      </c>
      <c r="W10" s="300" t="s">
        <v>704</v>
      </c>
      <c r="X10" s="300" t="s">
        <v>705</v>
      </c>
      <c r="AD10" s="106" t="s">
        <v>708</v>
      </c>
      <c r="AE10" s="106" t="s">
        <v>704</v>
      </c>
      <c r="AF10" s="106" t="s">
        <v>705</v>
      </c>
    </row>
    <row r="11" spans="2:32" ht="14">
      <c r="B11" s="300"/>
      <c r="C11" s="357"/>
      <c r="D11" s="358">
        <v>0.7</v>
      </c>
      <c r="E11" s="358">
        <f>0.3*Sources!B93/SUM(Sources!B93:B94)</f>
        <v>8.7559808612440199E-2</v>
      </c>
      <c r="F11" s="358">
        <f>0.3*Sources!B94/SUM(Sources!B93:B94)</f>
        <v>0.21244019138755979</v>
      </c>
      <c r="G11" s="358">
        <v>0</v>
      </c>
      <c r="H11" s="358">
        <v>0</v>
      </c>
      <c r="V11" t="s">
        <v>709</v>
      </c>
      <c r="W11" s="419">
        <v>0.58780727940076094</v>
      </c>
      <c r="X11" s="419">
        <f>SUM(Sources!E65:E66)/100</f>
        <v>0.95100000000000007</v>
      </c>
      <c r="AC11" s="106" t="s">
        <v>938</v>
      </c>
      <c r="AD11">
        <f>SUMIFS(Sources!C$134:C$653,Sources!$A$134:$A$653,$AC11)</f>
        <v>8586.6999999999989</v>
      </c>
      <c r="AE11">
        <f>SUMIFS(Sources!F$134:F$653,Sources!$A$134:$A$653,'Data manipulation'!$AC11)</f>
        <v>4862.3</v>
      </c>
      <c r="AF11">
        <f>SUMIFS(Sources!I$134:I$653,Sources!$A$134:$A$653,'Data manipulation'!$AC11)</f>
        <v>3724.4</v>
      </c>
    </row>
    <row r="12" spans="2:32" ht="14">
      <c r="B12" s="300"/>
      <c r="C12" s="357"/>
      <c r="D12" s="358">
        <v>1</v>
      </c>
      <c r="E12" s="358">
        <v>0</v>
      </c>
      <c r="F12" s="358">
        <v>0</v>
      </c>
      <c r="G12" s="358">
        <v>0</v>
      </c>
      <c r="H12" s="358">
        <v>0</v>
      </c>
      <c r="V12" t="s">
        <v>710</v>
      </c>
      <c r="W12" s="419">
        <v>0.41219272059923912</v>
      </c>
      <c r="X12" s="419">
        <f>SUM(Sources!E67:E69)/100</f>
        <v>4.8999999999999995E-2</v>
      </c>
      <c r="AC12" s="106" t="s">
        <v>948</v>
      </c>
      <c r="AD12">
        <f>SUMIFS(Sources!C$134:C$653,Sources!$A$134:$A$653,$AC12)</f>
        <v>938.7</v>
      </c>
      <c r="AE12">
        <f>SUMIFS(Sources!F$134:F$653,Sources!$A$134:$A$653,'Data manipulation'!$AC12)</f>
        <v>277.09999999999997</v>
      </c>
      <c r="AF12">
        <f>SUMIFS(Sources!I$134:I$653,Sources!$A$134:$A$653,'Data manipulation'!$AC12)</f>
        <v>661.59999999999991</v>
      </c>
    </row>
    <row r="13" spans="2:32" ht="14">
      <c r="B13" s="300"/>
      <c r="C13" s="357"/>
      <c r="D13" s="358">
        <v>1</v>
      </c>
      <c r="E13" s="358">
        <v>0</v>
      </c>
      <c r="F13" s="358">
        <v>0</v>
      </c>
      <c r="G13" s="358">
        <v>0</v>
      </c>
      <c r="H13" s="358">
        <v>0</v>
      </c>
      <c r="AC13" s="106" t="s">
        <v>951</v>
      </c>
      <c r="AD13">
        <f>SUMIFS(Sources!C$134:C$653,Sources!$A$134:$A$653,$AC13)</f>
        <v>456.09999999999991</v>
      </c>
      <c r="AE13">
        <f>SUMIFS(Sources!F$134:F$653,Sources!$A$134:$A$653,'Data manipulation'!$AC13)</f>
        <v>134.5</v>
      </c>
      <c r="AF13">
        <f>SUMIFS(Sources!I$134:I$653,Sources!$A$134:$A$653,'Data manipulation'!$AC13)</f>
        <v>321.60000000000002</v>
      </c>
    </row>
    <row r="14" spans="2:32" ht="14">
      <c r="B14" s="300"/>
      <c r="C14" s="357"/>
      <c r="D14" s="358">
        <v>1</v>
      </c>
      <c r="E14" s="358">
        <v>0</v>
      </c>
      <c r="F14" s="358">
        <v>0</v>
      </c>
      <c r="G14" s="358">
        <v>0</v>
      </c>
      <c r="H14" s="358">
        <v>0</v>
      </c>
      <c r="V14" s="132" t="s">
        <v>712</v>
      </c>
      <c r="W14" t="s">
        <v>704</v>
      </c>
      <c r="X14" t="s">
        <v>705</v>
      </c>
    </row>
    <row r="15" spans="2:32" ht="14">
      <c r="B15" s="300" t="s">
        <v>977</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938</v>
      </c>
      <c r="W15" s="9">
        <v>0.68</v>
      </c>
      <c r="X15" s="9">
        <v>0.32</v>
      </c>
      <c r="Y15" t="s">
        <v>985</v>
      </c>
    </row>
    <row r="16" spans="2:32">
      <c r="V16" t="s">
        <v>948</v>
      </c>
      <c r="W16" s="9">
        <f>'Regional split'!C5*AE12/AD12</f>
        <v>0</v>
      </c>
      <c r="X16" s="9">
        <f>'Regional split'!C5*AF12/AD12</f>
        <v>0</v>
      </c>
    </row>
    <row r="17" spans="1:36">
      <c r="V17" t="s">
        <v>951</v>
      </c>
      <c r="W17" s="9">
        <f>'Regional split'!C6*AE13/AD13</f>
        <v>0</v>
      </c>
      <c r="X17" s="9">
        <f>'Regional split'!C6*AF13/AD13</f>
        <v>0</v>
      </c>
    </row>
    <row r="19" spans="1:36">
      <c r="F19" s="593"/>
      <c r="G19" s="593"/>
      <c r="H19" s="593"/>
      <c r="I19" s="593"/>
      <c r="J19" s="593"/>
      <c r="K19" s="593"/>
      <c r="L19" s="593"/>
      <c r="M19" s="593"/>
      <c r="N19" s="593"/>
      <c r="O19" s="593"/>
      <c r="V19" s="106" t="s">
        <v>713</v>
      </c>
      <c r="Y19" s="127"/>
      <c r="Z19" s="127"/>
    </row>
    <row r="20" spans="1:36">
      <c r="F20" s="593"/>
      <c r="G20" s="593"/>
      <c r="H20" s="593"/>
      <c r="I20" s="593"/>
      <c r="J20" s="593"/>
      <c r="K20" s="593"/>
      <c r="L20" s="593"/>
      <c r="M20" s="593"/>
      <c r="N20" s="593"/>
      <c r="O20" s="593"/>
      <c r="X20" t="s">
        <v>938</v>
      </c>
      <c r="Y20" t="s">
        <v>948</v>
      </c>
      <c r="Z20" t="s">
        <v>951</v>
      </c>
    </row>
    <row r="21" spans="1:36" ht="16" thickBot="1">
      <c r="B21" s="356" t="s">
        <v>964</v>
      </c>
      <c r="V21" s="106" t="s">
        <v>704</v>
      </c>
      <c r="W21" s="106" t="s">
        <v>709</v>
      </c>
      <c r="X21" s="474">
        <f t="shared" ref="X21:Z21" si="1">INDEX($W$15:$X$17,MATCH(X$20,$V$15:$V$17,0),MATCH($V21,$W$14:$X$14,0))*INDEX($W$11:$X$12,MATCH($W21,$V$11:$V$12,0),MATCH($V21,$W$10:$X$10,0))</f>
        <v>0.39970894999251749</v>
      </c>
      <c r="Y21" s="474">
        <f t="shared" si="1"/>
        <v>0</v>
      </c>
      <c r="Z21" s="474">
        <f t="shared" si="1"/>
        <v>0</v>
      </c>
      <c r="AC21" s="106"/>
      <c r="AD21" s="106"/>
    </row>
    <row r="22" spans="1:36" ht="14.5"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962</v>
      </c>
      <c r="Q22" s="1"/>
      <c r="V22" s="127" t="s">
        <v>705</v>
      </c>
      <c r="W22" s="106" t="s">
        <v>709</v>
      </c>
      <c r="X22" s="474">
        <f t="shared" ref="X22:Z24" si="2">INDEX($W$15:$X$17,MATCH(X$20,$V$15:$V$17,0),MATCH($V22,$W$14:$X$14,0))*INDEX($W$11:$X$12,MATCH($W22,$V$11:$V$12,0),MATCH($V22,$W$10:$X$10,0))</f>
        <v>0.30432000000000003</v>
      </c>
      <c r="Y22" s="474">
        <f t="shared" si="2"/>
        <v>0</v>
      </c>
      <c r="Z22" s="474">
        <f t="shared" si="2"/>
        <v>0</v>
      </c>
      <c r="AC22" s="106"/>
      <c r="AD22" s="106"/>
    </row>
    <row r="23" spans="1:36" ht="14">
      <c r="A23" s="106" t="s">
        <v>728</v>
      </c>
      <c r="B23" s="699" t="s">
        <v>823</v>
      </c>
      <c r="C23" s="475">
        <f>IFERROR('Energy balance'!C5*'Data manipulation'!$Q23,0)</f>
        <v>0</v>
      </c>
      <c r="D23" s="475">
        <f>IFERROR('Energy balance'!D5*'Data manipulation'!$Q23,0)</f>
        <v>0</v>
      </c>
      <c r="E23" s="475">
        <f>IFERROR('Energy balance'!E5*'Data manipulation'!$Q23,0)</f>
        <v>0</v>
      </c>
      <c r="F23" s="588">
        <f>IFERROR(#REF!,0)</f>
        <v>0</v>
      </c>
      <c r="G23" s="588">
        <f>IFERROR(Raw_Data!C10,0)*$P23</f>
        <v>4046.067</v>
      </c>
      <c r="H23" s="588">
        <f>IFERROR(Raw_Data!D10,0)*$P23</f>
        <v>4315.299</v>
      </c>
      <c r="I23" s="588">
        <f>IFERROR(Raw_Data!E10,0)*$P23</f>
        <v>1912.432</v>
      </c>
      <c r="J23" s="588">
        <f>IFERROR(Raw_Data!F10,0)*$P23</f>
        <v>2233.6880000000001</v>
      </c>
      <c r="K23" s="588">
        <f>IFERROR(Raw_Data!G10,0)*$P23</f>
        <v>7701.82</v>
      </c>
      <c r="L23" s="588">
        <f>IFERROR(Raw_Data!H10,0)*$P23</f>
        <v>1147.6759999999999</v>
      </c>
      <c r="M23" s="588">
        <f>IFERROR(Raw_Data!I10,0)*$P23</f>
        <v>765.21400000000006</v>
      </c>
      <c r="N23" s="588">
        <f>IFERROR(Raw_Data!J10,0)*$P23</f>
        <v>875.53099999999995</v>
      </c>
      <c r="O23" s="588">
        <f>IFERROR(Raw_Data!K10,0)*$Q23</f>
        <v>76.988</v>
      </c>
      <c r="P23">
        <v>1</v>
      </c>
      <c r="Q23" s="639">
        <f>P23+P44+P66+P88+P110</f>
        <v>1</v>
      </c>
      <c r="R23" s="1"/>
      <c r="S23" s="635"/>
      <c r="V23" s="106" t="s">
        <v>704</v>
      </c>
      <c r="W23" s="106" t="s">
        <v>710</v>
      </c>
      <c r="X23" s="474">
        <f t="shared" si="2"/>
        <v>0.28029105000748261</v>
      </c>
      <c r="Y23" s="474">
        <f t="shared" si="2"/>
        <v>0</v>
      </c>
      <c r="Z23" s="474">
        <f t="shared" si="2"/>
        <v>0</v>
      </c>
    </row>
    <row r="24" spans="1:36" ht="14">
      <c r="A24" s="106" t="s">
        <v>728</v>
      </c>
      <c r="B24" s="591" t="s">
        <v>74</v>
      </c>
      <c r="C24" s="476">
        <f>IFERROR('Energy balance'!C6*'Data manipulation'!$Q24,0)</f>
        <v>0</v>
      </c>
      <c r="D24" s="476">
        <f>IFERROR('Energy balance'!D6*'Data manipulation'!$Q24,0)</f>
        <v>0</v>
      </c>
      <c r="E24" s="476">
        <f>IFERROR('Energy balance'!E6*'Data manipulation'!$Q24,0)</f>
        <v>0</v>
      </c>
      <c r="F24" s="588">
        <f>IFERROR(#REF!,0)</f>
        <v>0</v>
      </c>
      <c r="G24" s="588">
        <f>IFERROR(Raw_Data!C29,0)*$P24</f>
        <v>264317.64801129571</v>
      </c>
      <c r="H24" s="588">
        <f>IFERROR(Raw_Data!D29,0)*$P24</f>
        <v>271814.34801000333</v>
      </c>
      <c r="I24" s="588">
        <f>IFERROR(Raw_Data!E29,0)*$P24</f>
        <v>325699.88091850164</v>
      </c>
      <c r="J24" s="588">
        <f>IFERROR(Raw_Data!F29,0)*$P24</f>
        <v>297875.54484860739</v>
      </c>
      <c r="K24" s="588">
        <f>IFERROR(Raw_Data!G29,0)*$P24</f>
        <v>315412.68645705376</v>
      </c>
      <c r="L24" s="588">
        <f>IFERROR(Raw_Data!H29,0)*$P24</f>
        <v>313202.12771901372</v>
      </c>
      <c r="M24" s="588">
        <f>IFERROR(Raw_Data!I29,0)*$P24</f>
        <v>314075.50703473773</v>
      </c>
      <c r="N24" s="588">
        <f>IFERROR(Raw_Data!J29,0)*$P24</f>
        <v>351226.96981058514</v>
      </c>
      <c r="O24" s="588">
        <f>IFERROR(Raw_Data!K29,0)*$P24</f>
        <v>310418.1336558953</v>
      </c>
      <c r="P24">
        <v>0.78308632957832913</v>
      </c>
      <c r="Q24" s="639">
        <f t="shared" ref="Q24:Q39" si="3">P24+P45+P67+P89+P111</f>
        <v>1</v>
      </c>
      <c r="R24" s="1"/>
      <c r="S24" s="636"/>
      <c r="V24" s="127" t="s">
        <v>705</v>
      </c>
      <c r="W24" s="106" t="s">
        <v>710</v>
      </c>
      <c r="X24" s="474">
        <f t="shared" si="2"/>
        <v>1.5679999999999999E-2</v>
      </c>
      <c r="Y24" s="474">
        <f t="shared" si="2"/>
        <v>0</v>
      </c>
      <c r="Z24" s="474">
        <f t="shared" si="2"/>
        <v>0</v>
      </c>
    </row>
    <row r="25" spans="1:36" ht="14">
      <c r="A25" s="106" t="s">
        <v>728</v>
      </c>
      <c r="B25" s="699" t="s">
        <v>996</v>
      </c>
      <c r="C25" s="476">
        <f>IFERROR('Energy balance'!C7*'Data manipulation'!$Q25,0)</f>
        <v>0</v>
      </c>
      <c r="D25" s="476">
        <f>IFERROR('Energy balance'!D7*'Data manipulation'!$Q25,0)</f>
        <v>0</v>
      </c>
      <c r="E25" s="476">
        <f>IFERROR('Energy balance'!E7*'Data manipulation'!$Q25,0)</f>
        <v>0</v>
      </c>
      <c r="F25" s="588">
        <f>IFERROR(#REF!,0)</f>
        <v>0</v>
      </c>
      <c r="G25" s="588">
        <f>IFERROR(Raw_Data!C31,0)*$P25</f>
        <v>13028.373296042379</v>
      </c>
      <c r="H25" s="588">
        <f>IFERROR(Raw_Data!D31,0)*$P25</f>
        <v>13654.361202158529</v>
      </c>
      <c r="I25" s="588">
        <f>IFERROR(Raw_Data!E31,0)*$P25</f>
        <v>16471.306779681203</v>
      </c>
      <c r="J25" s="588">
        <f>IFERROR(Raw_Data!F31,0)*$P25</f>
        <v>14186.056883566449</v>
      </c>
      <c r="K25" s="588">
        <f>IFERROR(Raw_Data!G31,0)*$P25</f>
        <v>11914.738587581425</v>
      </c>
      <c r="L25" s="588">
        <f>IFERROR(Raw_Data!H31,0)*$P25</f>
        <v>14973.870129411764</v>
      </c>
      <c r="M25" s="588">
        <f>IFERROR(Raw_Data!I31,0)*$P25</f>
        <v>9811.729082352942</v>
      </c>
      <c r="N25" s="588">
        <f>IFERROR(Raw_Data!J31,0)*$P25</f>
        <v>6223.8580000000002</v>
      </c>
      <c r="O25" s="588">
        <f>IFERROR(Raw_Data!K31,0)*$P25</f>
        <v>6626.5782235294118</v>
      </c>
      <c r="P25">
        <v>0.84995425109729084</v>
      </c>
      <c r="Q25" s="639">
        <f t="shared" si="3"/>
        <v>1</v>
      </c>
      <c r="R25" s="1"/>
      <c r="S25" s="636"/>
    </row>
    <row r="26" spans="1:36" ht="14">
      <c r="A26" s="106" t="s">
        <v>728</v>
      </c>
      <c r="B26" s="591" t="s">
        <v>821</v>
      </c>
      <c r="C26" s="477">
        <v>0</v>
      </c>
      <c r="D26" s="477">
        <v>0</v>
      </c>
      <c r="E26" s="477">
        <v>0</v>
      </c>
      <c r="F26" s="588">
        <f>IFERROR(#REF!,0)</f>
        <v>0</v>
      </c>
      <c r="G26" s="588">
        <v>0</v>
      </c>
      <c r="H26" s="588">
        <v>0</v>
      </c>
      <c r="I26" s="588">
        <v>0</v>
      </c>
      <c r="J26" s="588">
        <v>0</v>
      </c>
      <c r="K26" s="588">
        <v>0</v>
      </c>
      <c r="L26" s="588">
        <v>0</v>
      </c>
      <c r="M26" s="588">
        <v>0</v>
      </c>
      <c r="N26" s="588">
        <v>0</v>
      </c>
      <c r="O26" s="588">
        <v>0</v>
      </c>
      <c r="P26">
        <v>0.84217325936770249</v>
      </c>
      <c r="Q26" s="639">
        <f t="shared" si="3"/>
        <v>1</v>
      </c>
      <c r="R26" s="1"/>
      <c r="S26" s="636"/>
      <c r="V26" s="187"/>
      <c r="W26" s="187"/>
      <c r="X26" s="187"/>
      <c r="Y26" s="187"/>
      <c r="Z26" s="187"/>
      <c r="AA26" s="187"/>
      <c r="AB26" s="187"/>
      <c r="AC26" s="187"/>
      <c r="AD26" s="187"/>
      <c r="AE26" s="187"/>
      <c r="AF26" s="187"/>
      <c r="AG26" s="187"/>
      <c r="AH26" s="187"/>
      <c r="AI26" s="187"/>
      <c r="AJ26" s="187"/>
    </row>
    <row r="27" spans="1:36" ht="14">
      <c r="A27" s="106" t="s">
        <v>728</v>
      </c>
      <c r="B27" s="591" t="s">
        <v>191</v>
      </c>
      <c r="C27" s="477">
        <v>0</v>
      </c>
      <c r="D27" s="477">
        <v>0</v>
      </c>
      <c r="E27" s="477">
        <v>0</v>
      </c>
      <c r="F27" s="594">
        <v>0</v>
      </c>
      <c r="G27" s="588">
        <v>0</v>
      </c>
      <c r="H27" s="588">
        <v>0</v>
      </c>
      <c r="I27" s="588">
        <v>0</v>
      </c>
      <c r="J27" s="588">
        <v>0</v>
      </c>
      <c r="K27" s="588">
        <v>0</v>
      </c>
      <c r="L27" s="588">
        <v>0</v>
      </c>
      <c r="M27" s="588">
        <v>0</v>
      </c>
      <c r="N27" s="588">
        <v>0</v>
      </c>
      <c r="O27" s="588">
        <v>0</v>
      </c>
      <c r="P27">
        <v>0</v>
      </c>
      <c r="Q27" s="639">
        <f t="shared" si="3"/>
        <v>1</v>
      </c>
      <c r="R27" s="1"/>
      <c r="S27" s="636"/>
      <c r="V27" s="106" t="s">
        <v>722</v>
      </c>
    </row>
    <row r="28" spans="1:36" ht="14">
      <c r="A28" s="106" t="s">
        <v>728</v>
      </c>
      <c r="B28" s="700" t="s">
        <v>965</v>
      </c>
      <c r="C28" s="477">
        <f>IFERROR('Energy balance'!C10*'Data manipulation'!$Q28,0)</f>
        <v>0</v>
      </c>
      <c r="D28" s="477">
        <f>IFERROR('Energy balance'!D10*'Data manipulation'!$Q28,0)</f>
        <v>0</v>
      </c>
      <c r="E28" s="477">
        <f>IFERROR('Energy balance'!E10*'Data manipulation'!$Q28,0)</f>
        <v>0</v>
      </c>
      <c r="F28" s="588">
        <f>IFERROR(#REF!,0)</f>
        <v>0</v>
      </c>
      <c r="G28" s="588">
        <f>SUM(Raw_Data!C32:C33)*$P28+G39</f>
        <v>242497.0179701077</v>
      </c>
      <c r="H28" s="588">
        <f>SUM(Raw_Data!D32:D33)*$P28+H39</f>
        <v>253980.08956315444</v>
      </c>
      <c r="I28" s="588">
        <f>SUM(Raw_Data!E32:E33)*$P28+I39</f>
        <v>268397.67290879716</v>
      </c>
      <c r="J28" s="588">
        <f>SUM(Raw_Data!F32:F33)*$P28+J39</f>
        <v>247409.67648378242</v>
      </c>
      <c r="K28" s="588">
        <f>SUM(Raw_Data!G32:G33)*$P28+K39</f>
        <v>243390.83988106015</v>
      </c>
      <c r="L28" s="588">
        <f>SUM(Raw_Data!H32:H33)*$P28+L39</f>
        <v>241674.38063107786</v>
      </c>
      <c r="M28" s="588">
        <f>SUM(Raw_Data!I32:I33)*$P28+M39</f>
        <v>244759.8758203208</v>
      </c>
      <c r="N28" s="588">
        <f>SUM(Raw_Data!J32:J33)*$P28+N39</f>
        <v>110108.9793837274</v>
      </c>
      <c r="O28" s="588">
        <f>SUM(Raw_Data!K32:K33)*$P28+O39</f>
        <v>113416.61538298365</v>
      </c>
      <c r="P28">
        <v>0.84995488916768336</v>
      </c>
      <c r="Q28" s="639">
        <f t="shared" si="3"/>
        <v>1</v>
      </c>
      <c r="R28" s="1"/>
      <c r="S28" s="636"/>
    </row>
    <row r="29" spans="1:36" ht="14">
      <c r="A29" s="106" t="s">
        <v>728</v>
      </c>
      <c r="B29" s="699" t="s">
        <v>818</v>
      </c>
      <c r="C29" s="477">
        <v>0</v>
      </c>
      <c r="D29" s="477">
        <v>0</v>
      </c>
      <c r="E29" s="477">
        <v>0</v>
      </c>
      <c r="F29" s="588">
        <f>IFERROR(#REF!,0)</f>
        <v>0</v>
      </c>
      <c r="G29" s="588">
        <f>IFERROR(Raw_Data!C36,0)*$P29</f>
        <v>149.864</v>
      </c>
      <c r="H29" s="588">
        <f>IFERROR(Raw_Data!D36,0)*$P29</f>
        <v>149.471</v>
      </c>
      <c r="I29" s="588">
        <f>IFERROR(Raw_Data!E36,0)*$P29</f>
        <v>145.672</v>
      </c>
      <c r="J29" s="588">
        <f>IFERROR(Raw_Data!F36,0)*$P29</f>
        <v>152.09100000000001</v>
      </c>
      <c r="K29" s="588">
        <f>IFERROR(Raw_Data!G36,0)*$P29</f>
        <v>158.64100000000002</v>
      </c>
      <c r="L29" s="588">
        <f>IFERROR(Raw_Data!H36,0)*$P29</f>
        <v>155.75900000000001</v>
      </c>
      <c r="M29" s="588">
        <f>IFERROR(Raw_Data!I36,0)*$P29</f>
        <v>156.54500000000002</v>
      </c>
      <c r="N29" s="588">
        <f>IFERROR(Raw_Data!J36,0)*$P29</f>
        <v>174.88500000000002</v>
      </c>
      <c r="O29" s="588">
        <f>IFERROR(Raw_Data!K36,0)*$P29</f>
        <v>165.584</v>
      </c>
      <c r="P29">
        <v>0.13100000000000001</v>
      </c>
      <c r="Q29" s="639">
        <f t="shared" si="3"/>
        <v>1</v>
      </c>
      <c r="R29" s="1"/>
      <c r="S29" s="637"/>
      <c r="U29" s="196"/>
      <c r="V29" s="169">
        <v>1.94169475643413</v>
      </c>
      <c r="W29" s="463" t="s">
        <v>720</v>
      </c>
    </row>
    <row r="30" spans="1:36" ht="14">
      <c r="A30" s="106" t="s">
        <v>728</v>
      </c>
      <c r="B30" s="699" t="s">
        <v>817</v>
      </c>
      <c r="C30" s="476">
        <f>IFERROR('Energy balance'!C13*'Data manipulation'!$Q30,0)</f>
        <v>0</v>
      </c>
      <c r="D30" s="476">
        <f>IFERROR('Energy balance'!D13*'Data manipulation'!$Q30,0)</f>
        <v>0</v>
      </c>
      <c r="E30" s="476">
        <f>IFERROR('Energy balance'!E13*'Data manipulation'!$Q30,0)</f>
        <v>0</v>
      </c>
      <c r="F30" s="588">
        <f>IFERROR(#REF!,0)</f>
        <v>0</v>
      </c>
      <c r="G30" s="588">
        <f>IFERROR(Raw_Data!C37,0)*$P30</f>
        <v>1469.65</v>
      </c>
      <c r="H30" s="588">
        <f>IFERROR(Raw_Data!D37,0)*$P30</f>
        <v>1643.46</v>
      </c>
      <c r="I30" s="588">
        <f>IFERROR(Raw_Data!E37,0)*$P30</f>
        <v>1819.0900000000001</v>
      </c>
      <c r="J30" s="588">
        <f>IFERROR(Raw_Data!F37,0)*$P30</f>
        <v>2022.02</v>
      </c>
      <c r="K30" s="588">
        <f>IFERROR(Raw_Data!G37,0)*$P30</f>
        <v>2234.96</v>
      </c>
      <c r="L30" s="588">
        <f>IFERROR(Raw_Data!H37,0)*$P30</f>
        <v>2556.19</v>
      </c>
      <c r="M30" s="588">
        <f>IFERROR(Raw_Data!I37,0)*$P30</f>
        <v>2942.94</v>
      </c>
      <c r="N30" s="588">
        <f>IFERROR(Raw_Data!J37,0)*$P30</f>
        <v>3331.51</v>
      </c>
      <c r="O30" s="588">
        <f>IFERROR(Raw_Data!K37,0)*$P30</f>
        <v>3807.44</v>
      </c>
      <c r="P30">
        <v>0.91</v>
      </c>
      <c r="Q30" s="639">
        <f t="shared" si="3"/>
        <v>1</v>
      </c>
      <c r="R30" s="1"/>
      <c r="S30" s="637"/>
      <c r="V30" s="169">
        <v>2.3104234107113255</v>
      </c>
      <c r="W30" s="191" t="s">
        <v>721</v>
      </c>
    </row>
    <row r="31" spans="1:36" ht="14">
      <c r="A31" s="106" t="s">
        <v>728</v>
      </c>
      <c r="B31" s="699" t="s">
        <v>816</v>
      </c>
      <c r="C31" s="476">
        <f>IFERROR('Energy balance'!C14*'Data manipulation'!$Q31,0)</f>
        <v>0</v>
      </c>
      <c r="D31" s="476">
        <f>IFERROR('Energy balance'!D14*'Data manipulation'!$Q31,0)</f>
        <v>0</v>
      </c>
      <c r="E31" s="476">
        <f>IFERROR('Energy balance'!E14*'Data manipulation'!$Q31,0)</f>
        <v>0</v>
      </c>
      <c r="F31" s="588">
        <f>IFERROR(#REF!,0)</f>
        <v>0</v>
      </c>
      <c r="G31" s="588">
        <f>(Raw_Data!C38+Raw_Data!C39)*$P31</f>
        <v>45256.02367030883</v>
      </c>
      <c r="H31" s="588">
        <f>(Raw_Data!D38+Raw_Data!D39)*$P31</f>
        <v>49705.542137721262</v>
      </c>
      <c r="I31" s="588">
        <f>(Raw_Data!E38+Raw_Data!E39)*$P31</f>
        <v>53065.045833202683</v>
      </c>
      <c r="J31" s="588">
        <f>(Raw_Data!F38+Raw_Data!F39)*$P31</f>
        <v>41862.647005819206</v>
      </c>
      <c r="K31" s="588">
        <f>(Raw_Data!G38+Raw_Data!G39)*$P31</f>
        <v>48038.818354983719</v>
      </c>
      <c r="L31" s="588">
        <f>(Raw_Data!H38+Raw_Data!H39)*$P31</f>
        <v>46335.615990237326</v>
      </c>
      <c r="M31" s="588">
        <f>(Raw_Data!I38+Raw_Data!I39)*$P31</f>
        <v>48244.66178203364</v>
      </c>
      <c r="N31" s="588">
        <f>(Raw_Data!J38+Raw_Data!J39)*$P31</f>
        <v>53884.076853067978</v>
      </c>
      <c r="O31" s="588">
        <f>(Raw_Data!K38+Raw_Data!K39)*$P31</f>
        <v>55877.37079855139</v>
      </c>
      <c r="P31">
        <v>0.8685376668773046</v>
      </c>
      <c r="Q31" s="639">
        <f t="shared" si="3"/>
        <v>0.99999999999999989</v>
      </c>
      <c r="R31" s="1"/>
      <c r="S31" s="636"/>
    </row>
    <row r="32" spans="1:36" ht="14">
      <c r="A32" s="106" t="s">
        <v>728</v>
      </c>
      <c r="B32" s="591" t="s">
        <v>815</v>
      </c>
      <c r="C32" s="476">
        <f>IFERROR('Energy balance'!C15*'Data manipulation'!$Q32,0)</f>
        <v>0</v>
      </c>
      <c r="D32" s="476">
        <f>IFERROR('Energy balance'!D15*'Data manipulation'!$Q32,0)</f>
        <v>0</v>
      </c>
      <c r="E32" s="476">
        <f>IFERROR('Energy balance'!E15*'Data manipulation'!$Q32,0)</f>
        <v>0</v>
      </c>
      <c r="F32" s="588">
        <f>IFERROR(#REF!,0)</f>
        <v>0</v>
      </c>
      <c r="G32" s="588">
        <f>IFERROR(Raw_Data!C42,0)*$P32</f>
        <v>10230.505064858893</v>
      </c>
      <c r="H32" s="588">
        <f>IFERROR(Raw_Data!D42,0)*$P32</f>
        <v>11373.500621812311</v>
      </c>
      <c r="I32" s="588">
        <f>IFERROR(Raw_Data!E42,0)*$P32</f>
        <v>11548.076690921456</v>
      </c>
      <c r="J32" s="588">
        <f>IFERROR(Raw_Data!F42,0)*$P32</f>
        <v>12638.091450782049</v>
      </c>
      <c r="K32" s="588">
        <f>IFERROR(Raw_Data!G42,0)*$P32</f>
        <v>13621.276078799729</v>
      </c>
      <c r="L32" s="588">
        <f>IFERROR(Raw_Data!H42,0)*$P32</f>
        <v>14239.674890768447</v>
      </c>
      <c r="M32" s="588">
        <f>IFERROR(Raw_Data!I42,0)*$P32</f>
        <v>14583.615803043183</v>
      </c>
      <c r="N32" s="588">
        <f>IFERROR(Raw_Data!J42,0)*$P32</f>
        <v>14997.908265555934</v>
      </c>
      <c r="O32" s="588">
        <f>IFERROR(Raw_Data!K42,0)*$P32</f>
        <v>14639.202213107788</v>
      </c>
      <c r="P32">
        <v>0.86853765725943566</v>
      </c>
      <c r="Q32" s="639">
        <f t="shared" si="3"/>
        <v>1</v>
      </c>
      <c r="R32" s="1"/>
      <c r="S32" s="636"/>
      <c r="V32" s="9">
        <f>SUM(Dem!F41:H44)</f>
        <v>1350.0000000000002</v>
      </c>
      <c r="W32" s="106" t="s">
        <v>724</v>
      </c>
    </row>
    <row r="33" spans="1:25" ht="14">
      <c r="A33" s="106" t="s">
        <v>728</v>
      </c>
      <c r="B33" s="699" t="s">
        <v>73</v>
      </c>
      <c r="C33" s="476">
        <f>IFERROR('Energy balance'!C16*'Data manipulation'!$Q33,0)</f>
        <v>0</v>
      </c>
      <c r="D33" s="476">
        <f>IFERROR('Energy balance'!D16*'Data manipulation'!$Q33,0)</f>
        <v>0</v>
      </c>
      <c r="E33" s="476">
        <f>IFERROR('Energy balance'!E16*'Data manipulation'!$Q33,0)</f>
        <v>0</v>
      </c>
      <c r="F33" s="588">
        <f>IFERROR(#REF!,0)</f>
        <v>0</v>
      </c>
      <c r="G33" s="588">
        <f>IFERROR(Raw_Data!C46,0)*$P33</f>
        <v>28935.18847047849</v>
      </c>
      <c r="H33" s="588">
        <f>IFERROR(Raw_Data!D46,0)*$P33</f>
        <v>29551.652803070378</v>
      </c>
      <c r="I33" s="588">
        <f>IFERROR(Raw_Data!E46,0)*$P33</f>
        <v>30157.078518136514</v>
      </c>
      <c r="J33" s="588">
        <f>IFERROR(Raw_Data!F46,0)*$P33</f>
        <v>27918.149690365641</v>
      </c>
      <c r="K33" s="588">
        <f>IFERROR(Raw_Data!G46,0)*$P33</f>
        <v>29875.593771229887</v>
      </c>
      <c r="L33" s="588">
        <f>IFERROR(Raw_Data!H46,0)*$P33</f>
        <v>30055.820430448384</v>
      </c>
      <c r="M33" s="588">
        <f>IFERROR(Raw_Data!I46,0)*$P33</f>
        <v>29455.064899720066</v>
      </c>
      <c r="N33" s="588">
        <f>IFERROR(Raw_Data!J46,0)*$P33</f>
        <v>28333.159253112586</v>
      </c>
      <c r="O33" s="588">
        <f>IFERROR(Raw_Data!K46,0)*$P33</f>
        <v>27591.024505612164</v>
      </c>
      <c r="P33">
        <v>5.8966973962339825E-2</v>
      </c>
      <c r="Q33" s="639">
        <f>P33+P54+P76+P98+P120</f>
        <v>1.0011458778719897</v>
      </c>
      <c r="R33" s="1"/>
      <c r="S33" s="636"/>
      <c r="V33" s="9">
        <f>SUM(Dem!F41:H41)</f>
        <v>539.60708248989863</v>
      </c>
      <c r="W33" s="106" t="s">
        <v>738</v>
      </c>
    </row>
    <row r="34" spans="1:25" ht="14">
      <c r="A34" s="106" t="s">
        <v>728</v>
      </c>
      <c r="B34" s="699" t="s">
        <v>198</v>
      </c>
      <c r="C34" s="476">
        <f>IFERROR('Energy balance'!C17*'Data manipulation'!$Q34,0)</f>
        <v>0</v>
      </c>
      <c r="D34" s="476">
        <f>IFERROR('Energy balance'!D17*'Data manipulation'!$Q34,0)</f>
        <v>0</v>
      </c>
      <c r="E34" s="476">
        <f>IFERROR('Energy balance'!E17*'Data manipulation'!$Q34,0)</f>
        <v>0</v>
      </c>
      <c r="F34" s="588">
        <f>IFERROR(#REF!,0)</f>
        <v>0</v>
      </c>
      <c r="G34" s="588">
        <f>IFERROR(Raw_Data!C47,0)*$P34</f>
        <v>77573.181865398568</v>
      </c>
      <c r="H34" s="588">
        <f>IFERROR(Raw_Data!D47,0)*$P34</f>
        <v>89424.438009210338</v>
      </c>
      <c r="I34" s="588">
        <f>IFERROR(Raw_Data!E47,0)*$P34</f>
        <v>55268.253411701691</v>
      </c>
      <c r="J34" s="588">
        <f>IFERROR(Raw_Data!F47,0)*$P34</f>
        <v>50494.995083069327</v>
      </c>
      <c r="K34" s="588">
        <f>IFERROR(Raw_Data!G47,0)*$P34</f>
        <v>52630.495902226816</v>
      </c>
      <c r="L34" s="588">
        <f>IFERROR(Raw_Data!H47,0)*$P34</f>
        <v>41448.005460196357</v>
      </c>
      <c r="M34" s="588">
        <f>IFERROR(Raw_Data!I47,0)*$P34</f>
        <v>48178.427087511191</v>
      </c>
      <c r="N34" s="588">
        <f>IFERROR(Raw_Data!J47,0)*$P34</f>
        <v>50981.783723141445</v>
      </c>
      <c r="O34" s="588">
        <f>IFERROR(Raw_Data!K47,0)*$P34</f>
        <v>52949.865645526465</v>
      </c>
      <c r="P34">
        <v>0.90988530854600924</v>
      </c>
      <c r="Q34" s="639">
        <f t="shared" si="3"/>
        <v>0.99736904418501493</v>
      </c>
      <c r="R34" s="1"/>
      <c r="S34" s="636"/>
      <c r="V34" s="9">
        <f>SUM(Dem!F42:H42)</f>
        <v>410.83200000000005</v>
      </c>
      <c r="W34" s="106" t="s">
        <v>740</v>
      </c>
    </row>
    <row r="35" spans="1:25" ht="14">
      <c r="A35" s="106" t="s">
        <v>728</v>
      </c>
      <c r="B35" s="592" t="s">
        <v>842</v>
      </c>
      <c r="C35" s="476">
        <f>IFERROR('Energy balance'!C18*'Data manipulation'!$Q109,0)</f>
        <v>0</v>
      </c>
      <c r="D35" s="476">
        <f>IFERROR('Energy balance'!D18*'Data manipulation'!$Q109,0)</f>
        <v>0</v>
      </c>
      <c r="E35" s="533">
        <f>IFERROR('Energy balance'!E18*'Data manipulation'!$Q109,0)</f>
        <v>0</v>
      </c>
      <c r="F35" s="594">
        <f t="shared" ref="F35" si="4">SUM(F26:F28)</f>
        <v>0</v>
      </c>
      <c r="G35" s="588">
        <v>0</v>
      </c>
      <c r="H35" s="588">
        <v>0</v>
      </c>
      <c r="I35" s="588">
        <v>0</v>
      </c>
      <c r="J35" s="588">
        <v>0</v>
      </c>
      <c r="K35" s="588">
        <v>0</v>
      </c>
      <c r="L35" s="588">
        <v>0</v>
      </c>
      <c r="M35" s="588">
        <v>0</v>
      </c>
      <c r="N35" s="588">
        <v>0</v>
      </c>
      <c r="O35" s="588">
        <v>0</v>
      </c>
      <c r="P35">
        <v>0.8456838680624601</v>
      </c>
      <c r="Q35" s="639">
        <f t="shared" si="3"/>
        <v>0.99999999999999989</v>
      </c>
      <c r="R35" s="1"/>
      <c r="S35" s="636"/>
      <c r="V35" s="9">
        <f>SUM(Dem!F43:H43)</f>
        <v>378.39291751010154</v>
      </c>
      <c r="W35" s="106" t="s">
        <v>739</v>
      </c>
    </row>
    <row r="36" spans="1:25" ht="14">
      <c r="A36" s="106" t="s">
        <v>728</v>
      </c>
      <c r="B36" s="698" t="s">
        <v>843</v>
      </c>
      <c r="C36" s="476">
        <f>IFERROR('Energy balance'!C19*'Data manipulation'!$Q110,0)</f>
        <v>0</v>
      </c>
      <c r="D36" s="476">
        <f>IFERROR('Energy balance'!D19*'Data manipulation'!$Q110,0)</f>
        <v>0</v>
      </c>
      <c r="E36" s="476">
        <f>IFERROR('Energy balance'!E19*'Data manipulation'!$Q110,0)</f>
        <v>0</v>
      </c>
      <c r="F36" s="595">
        <f t="shared" ref="F36" si="5">F24+F32</f>
        <v>0</v>
      </c>
      <c r="G36" s="588">
        <f>(G148)*$P36</f>
        <v>275179.17533287517</v>
      </c>
      <c r="H36" s="588">
        <f t="shared" ref="H36:O36" si="6">(H148)*$P36</f>
        <v>283757.46516490163</v>
      </c>
      <c r="I36" s="588">
        <f t="shared" si="6"/>
        <v>338123.9257592705</v>
      </c>
      <c r="J36" s="588">
        <f t="shared" si="6"/>
        <v>311121.67635862151</v>
      </c>
      <c r="K36" s="588">
        <f t="shared" si="6"/>
        <v>329655.56431163684</v>
      </c>
      <c r="L36" s="588">
        <f t="shared" si="6"/>
        <v>327992.66736913839</v>
      </c>
      <c r="M36" s="588">
        <f t="shared" si="6"/>
        <v>329183.23376835848</v>
      </c>
      <c r="N36" s="588">
        <f t="shared" si="6"/>
        <v>366932.8716291493</v>
      </c>
      <c r="O36" s="588">
        <f t="shared" si="6"/>
        <v>325554.38312325237</v>
      </c>
      <c r="P36">
        <v>0.78777426594522793</v>
      </c>
      <c r="Q36" s="639">
        <f t="shared" si="3"/>
        <v>1</v>
      </c>
      <c r="R36" s="1"/>
      <c r="S36" s="636"/>
      <c r="V36" s="9">
        <f>SUM(Dem!F44:H44)</f>
        <v>21.167999999999999</v>
      </c>
      <c r="W36" s="106" t="s">
        <v>741</v>
      </c>
    </row>
    <row r="37" spans="1:25" ht="14">
      <c r="A37" s="106" t="s">
        <v>728</v>
      </c>
      <c r="B37" s="591" t="s">
        <v>819</v>
      </c>
      <c r="C37" s="477">
        <v>0</v>
      </c>
      <c r="D37" s="477">
        <v>0</v>
      </c>
      <c r="E37" s="477">
        <v>0</v>
      </c>
      <c r="F37" s="588">
        <f>IFERROR(#REF!,0)</f>
        <v>0</v>
      </c>
      <c r="G37" s="588">
        <f>IFERROR(Raw_Data!C34,0)*$P37</f>
        <v>59894.028453932333</v>
      </c>
      <c r="H37" s="588">
        <f>IFERROR(Raw_Data!D34,0)*$P37</f>
        <v>65022.439742963084</v>
      </c>
      <c r="I37" s="588">
        <f>IFERROR(Raw_Data!E34,0)*$P37</f>
        <v>68215.144525843003</v>
      </c>
      <c r="J37" s="588">
        <f>IFERROR(Raw_Data!F34,0)*$P37</f>
        <v>59982.90213163774</v>
      </c>
      <c r="K37" s="588">
        <f>IFERROR(Raw_Data!G34,0)*$P37</f>
        <v>65917.846996216365</v>
      </c>
      <c r="L37" s="588">
        <f>IFERROR(Raw_Data!H34,0)*$P37</f>
        <v>65396.368920734341</v>
      </c>
      <c r="M37" s="588">
        <f>IFERROR(Raw_Data!I34,0)*$P37</f>
        <v>68185.872523170605</v>
      </c>
      <c r="N37" s="588">
        <f>IFERROR(Raw_Data!J34,0)*$P37</f>
        <v>70104.443189891288</v>
      </c>
      <c r="O37" s="588">
        <f>IFERROR(Raw_Data!K34,0)*$P37</f>
        <v>71714.51387528381</v>
      </c>
      <c r="P37">
        <v>0.79524036709475443</v>
      </c>
      <c r="Q37" s="639">
        <f t="shared" si="3"/>
        <v>1</v>
      </c>
      <c r="R37" s="1"/>
      <c r="S37" s="636"/>
      <c r="V37" s="106" t="s">
        <v>723</v>
      </c>
    </row>
    <row r="38" spans="1:25" ht="14">
      <c r="A38" s="106" t="s">
        <v>728</v>
      </c>
      <c r="B38" s="699" t="s">
        <v>891</v>
      </c>
      <c r="C38" s="476">
        <f>IFERROR('Energy balance'!C21*'Data manipulation'!$Q112,0)</f>
        <v>0</v>
      </c>
      <c r="D38" s="476">
        <f>IFERROR('Energy balance'!D21*'Data manipulation'!$Q112,0)</f>
        <v>0</v>
      </c>
      <c r="E38" s="477">
        <f>IFERROR('Energy balance'!E21*'Data manipulation'!$Q112,0)</f>
        <v>0</v>
      </c>
      <c r="F38" s="477">
        <f>IFERROR('Energy balance'!F21*'Data manipulation'!$Q112,0)</f>
        <v>0</v>
      </c>
      <c r="G38" s="649">
        <f>Raw_Data!C35*$P38</f>
        <v>1883</v>
      </c>
      <c r="H38" s="647">
        <f>Raw_Data!D35*$P38</f>
        <v>1930</v>
      </c>
      <c r="I38" s="647">
        <f>Raw_Data!E35*$P38</f>
        <v>1994</v>
      </c>
      <c r="J38" s="647">
        <f>Raw_Data!F35*$P38</f>
        <v>2633</v>
      </c>
      <c r="K38" s="647">
        <f>Raw_Data!G35*$P38</f>
        <v>1901</v>
      </c>
      <c r="L38" s="647">
        <f>Raw_Data!H35*$P38</f>
        <v>2083</v>
      </c>
      <c r="M38" s="647">
        <f>Raw_Data!I35*$P38</f>
        <v>2399</v>
      </c>
      <c r="N38" s="647">
        <f>Raw_Data!J35*$P38</f>
        <v>2596</v>
      </c>
      <c r="O38" s="647">
        <f>Raw_Data!K35*$P38</f>
        <v>2330</v>
      </c>
      <c r="P38">
        <v>1</v>
      </c>
      <c r="Q38" s="639">
        <f t="shared" si="3"/>
        <v>1</v>
      </c>
      <c r="R38" s="1"/>
      <c r="S38" s="636"/>
      <c r="V38" s="9">
        <f>($V$33/V29+$V$34/$V$29+$V$35/V30+$V$36/$V$30)</f>
        <v>662.42783728105951</v>
      </c>
      <c r="W38" s="106" t="s">
        <v>725</v>
      </c>
    </row>
    <row r="39" spans="1:25" ht="14.5" thickBot="1">
      <c r="A39" s="106" t="s">
        <v>728</v>
      </c>
      <c r="B39" s="591" t="s">
        <v>922</v>
      </c>
      <c r="C39" s="479">
        <f>IFERROR('Energy balance'!C22*'Data manipulation'!$Q113,0)</f>
        <v>0</v>
      </c>
      <c r="D39" s="479">
        <f>IFERROR('Energy balance'!D22*'Data manipulation'!$Q113,0)</f>
        <v>0</v>
      </c>
      <c r="E39" s="479">
        <f>IFERROR('Energy balance'!E22*'Data manipulation'!$Q113,0)</f>
        <v>0</v>
      </c>
      <c r="F39" s="479">
        <f>IFERROR('Energy balance'!F22*'Data manipulation'!$Q113,0)</f>
        <v>0</v>
      </c>
      <c r="G39" s="650">
        <f>SUM(Raw_Data!C40:C41)*$P39</f>
        <v>5710.531567053783</v>
      </c>
      <c r="H39" s="648">
        <f>SUM(Raw_Data!D40:D41)*$P39</f>
        <v>5578.6882645558708</v>
      </c>
      <c r="I39" s="648">
        <f>SUM(Raw_Data!E40:E41)*$P39</f>
        <v>5338.8029463214079</v>
      </c>
      <c r="J39" s="648">
        <f>SUM(Raw_Data!F40:F41)*$P39</f>
        <v>5661.8775993331583</v>
      </c>
      <c r="K39" s="648">
        <f>SUM(Raw_Data!G40:G41)*$P39</f>
        <v>5379.7631223852877</v>
      </c>
      <c r="L39" s="648">
        <f>SUM(Raw_Data!H40:H41)*$P39</f>
        <v>5447.9728521958832</v>
      </c>
      <c r="M39" s="648">
        <f>SUM(Raw_Data!I40:I41)*$P39</f>
        <v>5589.701980009705</v>
      </c>
      <c r="N39" s="648">
        <f>SUM(Raw_Data!J40:J41)*$P39</f>
        <v>1066.7239842814527</v>
      </c>
      <c r="O39" s="648">
        <f>SUM(Raw_Data!K40:K41)*$P39</f>
        <v>1029.8648405578069</v>
      </c>
      <c r="P39">
        <v>0.84995488916768336</v>
      </c>
      <c r="Q39" s="639">
        <f t="shared" si="3"/>
        <v>0.99924604996510669</v>
      </c>
      <c r="R39" s="1"/>
      <c r="S39" s="636"/>
      <c r="V39" s="473">
        <f>ROUND((V33/V29)/V38,3)</f>
        <v>0.42</v>
      </c>
      <c r="W39" s="106" t="s">
        <v>748</v>
      </c>
      <c r="X39" s="106" t="s">
        <v>102</v>
      </c>
      <c r="Y39" s="106" t="s">
        <v>704</v>
      </c>
    </row>
    <row r="40" spans="1:25" ht="14">
      <c r="A40" s="106" t="s">
        <v>728</v>
      </c>
      <c r="B40" s="362" t="s">
        <v>92</v>
      </c>
      <c r="C40" s="363">
        <f t="shared" ref="C40:N40" si="7">SUM(C23:C39)</f>
        <v>0</v>
      </c>
      <c r="D40" s="363">
        <f t="shared" si="7"/>
        <v>0</v>
      </c>
      <c r="E40" s="363">
        <f t="shared" si="7"/>
        <v>0</v>
      </c>
      <c r="F40" s="593">
        <f t="shared" si="7"/>
        <v>0</v>
      </c>
      <c r="G40" s="593">
        <f>G23+G36+G25+G28+G29+G30+G31+G33+G34+G38</f>
        <v>690017.5416052111</v>
      </c>
      <c r="H40" s="593">
        <f t="shared" ref="H40:O40" si="8">H23+H36+H25+H28+H29+H30+H31+H33+H34+H38</f>
        <v>728111.77888021665</v>
      </c>
      <c r="I40" s="593">
        <f t="shared" si="8"/>
        <v>767354.47721078957</v>
      </c>
      <c r="J40" s="593">
        <f t="shared" si="8"/>
        <v>700034.00050522469</v>
      </c>
      <c r="K40" s="593">
        <f t="shared" si="8"/>
        <v>727502.47180871863</v>
      </c>
      <c r="L40" s="593">
        <f t="shared" si="8"/>
        <v>708422.98501051008</v>
      </c>
      <c r="M40" s="593">
        <f t="shared" si="8"/>
        <v>715896.69144029706</v>
      </c>
      <c r="N40" s="593">
        <f t="shared" si="8"/>
        <v>623442.65484219883</v>
      </c>
      <c r="O40" s="593">
        <f t="shared" si="8"/>
        <v>588395.84967945539</v>
      </c>
      <c r="R40">
        <f>O40/O152</f>
        <v>0.51041308122611395</v>
      </c>
      <c r="V40" s="473">
        <f>ROUND((V34/V29)/V38,3)</f>
        <v>0.31900000000000001</v>
      </c>
      <c r="W40" s="106" t="s">
        <v>748</v>
      </c>
      <c r="X40" s="106" t="s">
        <v>102</v>
      </c>
      <c r="Y40" s="106" t="s">
        <v>705</v>
      </c>
    </row>
    <row r="41" spans="1:25">
      <c r="G41" s="363"/>
      <c r="V41" s="473">
        <f>ROUND((V35/V30)/V38,3)</f>
        <v>0.247</v>
      </c>
      <c r="W41" s="106" t="s">
        <v>748</v>
      </c>
      <c r="X41" s="106" t="s">
        <v>747</v>
      </c>
      <c r="Y41" s="106" t="s">
        <v>704</v>
      </c>
    </row>
    <row r="42" spans="1:25" ht="16" thickBot="1">
      <c r="B42" s="356" t="s">
        <v>978</v>
      </c>
      <c r="V42" s="473">
        <f>ROUND((V36/V30)/V38,3)</f>
        <v>1.4E-2</v>
      </c>
      <c r="W42" s="106" t="s">
        <v>748</v>
      </c>
      <c r="X42" s="106" t="s">
        <v>747</v>
      </c>
      <c r="Y42" s="106" t="s">
        <v>705</v>
      </c>
    </row>
    <row r="43" spans="1:25" ht="14.5"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15"/>
    </row>
    <row r="44" spans="1:25" ht="14">
      <c r="A44" s="106" t="s">
        <v>264</v>
      </c>
      <c r="B44" s="581" t="s">
        <v>823</v>
      </c>
      <c r="C44" s="475">
        <f>IFERROR('Energy balance'!C26*'Data manipulation'!$P44,0)</f>
        <v>0</v>
      </c>
      <c r="D44" s="475">
        <f>IFERROR('Energy balance'!D26*'Data manipulation'!$P44,0)</f>
        <v>0</v>
      </c>
      <c r="E44" s="475">
        <f>IFERROR('Energy balance'!E26*'Data manipulation'!$P44,0)</f>
        <v>0</v>
      </c>
      <c r="F44" s="588">
        <f>IFERROR(#REF!,0)</f>
        <v>0</v>
      </c>
      <c r="G44" s="588">
        <f t="shared" ref="G44:G55" si="9">G135*$P44</f>
        <v>0</v>
      </c>
      <c r="H44" s="588">
        <f t="shared" ref="H44:O44" si="10">H135*$P44</f>
        <v>0</v>
      </c>
      <c r="I44" s="588">
        <f t="shared" si="10"/>
        <v>0</v>
      </c>
      <c r="J44" s="588">
        <f t="shared" si="10"/>
        <v>0</v>
      </c>
      <c r="K44" s="588">
        <f t="shared" si="10"/>
        <v>0</v>
      </c>
      <c r="L44" s="588">
        <f t="shared" si="10"/>
        <v>0</v>
      </c>
      <c r="M44" s="588">
        <f t="shared" si="10"/>
        <v>0</v>
      </c>
      <c r="N44" s="588">
        <f t="shared" si="10"/>
        <v>0</v>
      </c>
      <c r="O44" s="588">
        <f t="shared" si="10"/>
        <v>0</v>
      </c>
      <c r="P44">
        <v>0</v>
      </c>
    </row>
    <row r="45" spans="1:25" ht="14">
      <c r="A45" s="106" t="s">
        <v>264</v>
      </c>
      <c r="B45" s="631" t="s">
        <v>74</v>
      </c>
      <c r="C45" s="476">
        <f>IFERROR('Energy balance'!C27*'Data manipulation'!$P45,0)</f>
        <v>0</v>
      </c>
      <c r="D45" s="476">
        <f>IFERROR('Energy balance'!D27*'Data manipulation'!$P45,0)</f>
        <v>0</v>
      </c>
      <c r="E45" s="476">
        <f>IFERROR('Energy balance'!E27*'Data manipulation'!$P45,0)</f>
        <v>0</v>
      </c>
      <c r="F45" s="588">
        <f>IFERROR(#REF!,0)</f>
        <v>0</v>
      </c>
      <c r="G45" s="588">
        <f t="shared" si="9"/>
        <v>71641.416687243822</v>
      </c>
      <c r="H45" s="588">
        <f t="shared" ref="H45:O45" si="11">H136*$P45</f>
        <v>73673.343849230834</v>
      </c>
      <c r="I45" s="588">
        <f t="shared" si="11"/>
        <v>88278.633906695875</v>
      </c>
      <c r="J45" s="588">
        <f t="shared" si="11"/>
        <v>80737.045709966696</v>
      </c>
      <c r="K45" s="588">
        <f t="shared" si="11"/>
        <v>85490.363087473845</v>
      </c>
      <c r="L45" s="588">
        <f t="shared" si="11"/>
        <v>84891.206879573612</v>
      </c>
      <c r="M45" s="588">
        <f t="shared" si="11"/>
        <v>85127.930125087398</v>
      </c>
      <c r="N45" s="588">
        <f t="shared" si="11"/>
        <v>95197.569611102226</v>
      </c>
      <c r="O45" s="588">
        <f t="shared" si="11"/>
        <v>84136.62510937659</v>
      </c>
      <c r="P45">
        <v>0.21224997445879179</v>
      </c>
      <c r="V45" s="511" t="s">
        <v>742</v>
      </c>
      <c r="W45" s="106" t="s">
        <v>743</v>
      </c>
    </row>
    <row r="46" spans="1:25" ht="14">
      <c r="A46" s="106" t="s">
        <v>264</v>
      </c>
      <c r="B46" s="631" t="s">
        <v>996</v>
      </c>
      <c r="C46" s="476">
        <f>IFERROR('Energy balance'!C28*'Data manipulation'!$P46,0)</f>
        <v>0</v>
      </c>
      <c r="D46" s="476">
        <f>IFERROR('Energy balance'!D28*'Data manipulation'!$P46,0)</f>
        <v>0</v>
      </c>
      <c r="E46" s="476">
        <f>IFERROR('Energy balance'!E28*'Data manipulation'!$P46,0)</f>
        <v>0</v>
      </c>
      <c r="F46" s="588">
        <f>IFERROR(#REF!,0)</f>
        <v>0</v>
      </c>
      <c r="G46" s="588">
        <f t="shared" si="9"/>
        <v>2299.9497039576213</v>
      </c>
      <c r="H46" s="588">
        <f t="shared" ref="H46:O46" si="12">H137*$P46</f>
        <v>2410.4577978414709</v>
      </c>
      <c r="I46" s="588">
        <f t="shared" si="12"/>
        <v>2907.7442203187943</v>
      </c>
      <c r="J46" s="588">
        <f t="shared" si="12"/>
        <v>2504.3201164335519</v>
      </c>
      <c r="K46" s="588">
        <f t="shared" si="12"/>
        <v>2103.3554124185735</v>
      </c>
      <c r="L46" s="588">
        <f t="shared" si="12"/>
        <v>2643.3958705882351</v>
      </c>
      <c r="M46" s="588">
        <f t="shared" si="12"/>
        <v>1732.1029176470586</v>
      </c>
      <c r="N46" s="588">
        <f t="shared" si="12"/>
        <v>1098.7219999999998</v>
      </c>
      <c r="O46" s="588">
        <f t="shared" si="12"/>
        <v>1169.8157764705882</v>
      </c>
      <c r="P46">
        <v>0.15004574890270914</v>
      </c>
      <c r="V46" s="473">
        <f>V39</f>
        <v>0.42</v>
      </c>
      <c r="W46" s="106" t="s">
        <v>749</v>
      </c>
      <c r="X46" s="106" t="s">
        <v>102</v>
      </c>
      <c r="Y46" s="106" t="s">
        <v>704</v>
      </c>
    </row>
    <row r="47" spans="1:25" ht="14">
      <c r="A47" s="106" t="s">
        <v>264</v>
      </c>
      <c r="B47" s="631" t="s">
        <v>821</v>
      </c>
      <c r="C47" s="477">
        <f>IFERROR('Energy balance'!C29*'Data manipulation'!$P47,0)</f>
        <v>0</v>
      </c>
      <c r="D47" s="477">
        <f>IFERROR('Energy balance'!D29*'Data manipulation'!$P47,0)</f>
        <v>0</v>
      </c>
      <c r="E47" s="477">
        <f>IFERROR('Energy balance'!E29*'Data manipulation'!$P47,0)</f>
        <v>0</v>
      </c>
      <c r="F47" s="588">
        <f>IFERROR(#REF!,0)</f>
        <v>0</v>
      </c>
      <c r="G47" s="588">
        <f t="shared" si="9"/>
        <v>0</v>
      </c>
      <c r="H47" s="588">
        <f t="shared" ref="H47:O47" si="13">H138*$P47</f>
        <v>0</v>
      </c>
      <c r="I47" s="588">
        <f t="shared" si="13"/>
        <v>0</v>
      </c>
      <c r="J47" s="588">
        <f t="shared" si="13"/>
        <v>0</v>
      </c>
      <c r="K47" s="588">
        <f t="shared" si="13"/>
        <v>0</v>
      </c>
      <c r="L47" s="588">
        <f t="shared" si="13"/>
        <v>0</v>
      </c>
      <c r="M47" s="588">
        <f t="shared" si="13"/>
        <v>0</v>
      </c>
      <c r="N47" s="588">
        <f t="shared" si="13"/>
        <v>0</v>
      </c>
      <c r="O47" s="588">
        <f t="shared" si="13"/>
        <v>0</v>
      </c>
      <c r="P47">
        <v>0.14867144669971888</v>
      </c>
      <c r="V47" s="473">
        <f>V40</f>
        <v>0.31900000000000001</v>
      </c>
      <c r="W47" s="106" t="s">
        <v>749</v>
      </c>
      <c r="X47" s="106" t="s">
        <v>102</v>
      </c>
      <c r="Y47" s="106" t="s">
        <v>705</v>
      </c>
    </row>
    <row r="48" spans="1:25" ht="14">
      <c r="A48" s="106" t="s">
        <v>264</v>
      </c>
      <c r="B48" s="631" t="s">
        <v>191</v>
      </c>
      <c r="C48" s="477">
        <f>IFERROR('Energy balance'!C30*'Data manipulation'!$P48,0)</f>
        <v>0</v>
      </c>
      <c r="D48" s="477">
        <f>IFERROR('Energy balance'!D30*'Data manipulation'!$P48,0)</f>
        <v>0</v>
      </c>
      <c r="E48" s="477">
        <f>IFERROR('Energy balance'!E30*'Data manipulation'!$P48,0)</f>
        <v>0</v>
      </c>
      <c r="F48" s="594">
        <f>IFERROR('Energy balance'!F30*'Data manipulation'!$P48,0)</f>
        <v>0</v>
      </c>
      <c r="G48" s="588">
        <f t="shared" si="9"/>
        <v>0</v>
      </c>
      <c r="H48" s="588">
        <f t="shared" ref="H48:O48" si="14">H139*$P48</f>
        <v>0</v>
      </c>
      <c r="I48" s="588">
        <f t="shared" si="14"/>
        <v>0</v>
      </c>
      <c r="J48" s="588">
        <f t="shared" si="14"/>
        <v>0</v>
      </c>
      <c r="K48" s="588">
        <f t="shared" si="14"/>
        <v>0</v>
      </c>
      <c r="L48" s="588">
        <f t="shared" si="14"/>
        <v>0</v>
      </c>
      <c r="M48" s="588">
        <f t="shared" si="14"/>
        <v>0</v>
      </c>
      <c r="N48" s="588">
        <f t="shared" si="14"/>
        <v>0</v>
      </c>
      <c r="O48" s="588">
        <f t="shared" si="14"/>
        <v>0</v>
      </c>
      <c r="P48">
        <v>0</v>
      </c>
      <c r="V48" s="473">
        <f>V41</f>
        <v>0.247</v>
      </c>
      <c r="W48" s="106" t="s">
        <v>749</v>
      </c>
      <c r="X48" s="106" t="s">
        <v>747</v>
      </c>
      <c r="Y48" s="106" t="s">
        <v>704</v>
      </c>
    </row>
    <row r="49" spans="1:25" ht="14">
      <c r="A49" s="106" t="s">
        <v>264</v>
      </c>
      <c r="B49" s="631" t="s">
        <v>820</v>
      </c>
      <c r="C49" s="477">
        <f>IFERROR('Energy balance'!C31*'Data manipulation'!$P49,0)</f>
        <v>0</v>
      </c>
      <c r="D49" s="477">
        <f>IFERROR('Energy balance'!D31*'Data manipulation'!$P49,0)</f>
        <v>0</v>
      </c>
      <c r="E49" s="477">
        <f>IFERROR('Energy balance'!E31*'Data manipulation'!$P49,0)</f>
        <v>0</v>
      </c>
      <c r="F49" s="588">
        <f>IFERROR(#REF!,0)</f>
        <v>0</v>
      </c>
      <c r="G49" s="588">
        <f>G140*$P49+G60</f>
        <v>42803.667519323353</v>
      </c>
      <c r="H49" s="588">
        <f t="shared" ref="H49:O49" si="15">H140*$P49+H60</f>
        <v>44830.925877498063</v>
      </c>
      <c r="I49" s="588">
        <f t="shared" si="15"/>
        <v>47376.318321435589</v>
      </c>
      <c r="J49" s="588">
        <f t="shared" si="15"/>
        <v>43670.957164010462</v>
      </c>
      <c r="K49" s="588">
        <f t="shared" si="15"/>
        <v>42961.750015566409</v>
      </c>
      <c r="L49" s="588">
        <f t="shared" si="15"/>
        <v>42658.677760304512</v>
      </c>
      <c r="M49" s="588">
        <f t="shared" si="15"/>
        <v>43203.243850647181</v>
      </c>
      <c r="N49" s="588">
        <f t="shared" si="15"/>
        <v>19436.92538183662</v>
      </c>
      <c r="O49" s="588">
        <f t="shared" si="15"/>
        <v>20020.865078377556</v>
      </c>
      <c r="P49">
        <v>0.15004511083231664</v>
      </c>
      <c r="V49" s="473">
        <f>V42</f>
        <v>1.4E-2</v>
      </c>
      <c r="W49" s="106" t="s">
        <v>749</v>
      </c>
      <c r="X49" s="106" t="s">
        <v>747</v>
      </c>
      <c r="Y49" s="106" t="s">
        <v>705</v>
      </c>
    </row>
    <row r="50" spans="1:25" ht="14">
      <c r="A50" s="106" t="s">
        <v>264</v>
      </c>
      <c r="B50" s="631" t="s">
        <v>818</v>
      </c>
      <c r="C50" s="477">
        <f>IFERROR('Energy balance'!C33*'Data manipulation'!$P50,0)</f>
        <v>0</v>
      </c>
      <c r="D50" s="477">
        <f>IFERROR('Energy balance'!D33*'Data manipulation'!$P50,0)</f>
        <v>0</v>
      </c>
      <c r="E50" s="477">
        <f>IFERROR('Energy balance'!E33*'Data manipulation'!$P50,0)</f>
        <v>0</v>
      </c>
      <c r="F50" s="588">
        <f>IFERROR(#REF!,0)</f>
        <v>0</v>
      </c>
      <c r="G50" s="588">
        <f t="shared" si="9"/>
        <v>994.13599999999997</v>
      </c>
      <c r="H50" s="588">
        <f t="shared" ref="H50:O50" si="16">H141*$P50</f>
        <v>991.529</v>
      </c>
      <c r="I50" s="588">
        <f t="shared" si="16"/>
        <v>966.32799999999997</v>
      </c>
      <c r="J50" s="588">
        <f t="shared" si="16"/>
        <v>1008.909</v>
      </c>
      <c r="K50" s="588">
        <f t="shared" si="16"/>
        <v>1052.3589999999999</v>
      </c>
      <c r="L50" s="588">
        <f t="shared" si="16"/>
        <v>1033.241</v>
      </c>
      <c r="M50" s="588">
        <f t="shared" si="16"/>
        <v>1038.4549999999999</v>
      </c>
      <c r="N50" s="588">
        <f t="shared" si="16"/>
        <v>1160.115</v>
      </c>
      <c r="O50" s="588">
        <f t="shared" si="16"/>
        <v>1098.4159999999999</v>
      </c>
      <c r="P50">
        <v>0.86899999999999999</v>
      </c>
    </row>
    <row r="51" spans="1:25" ht="14">
      <c r="A51" s="106" t="s">
        <v>264</v>
      </c>
      <c r="B51" s="631" t="s">
        <v>817</v>
      </c>
      <c r="C51" s="476">
        <f>IFERROR('Energy balance'!C34*'Data manipulation'!$P51,0)</f>
        <v>0</v>
      </c>
      <c r="D51" s="476">
        <f>IFERROR('Energy balance'!D34*'Data manipulation'!$P51,0)</f>
        <v>0</v>
      </c>
      <c r="E51" s="476">
        <f>IFERROR('Energy balance'!E34*'Data manipulation'!$P51,0)</f>
        <v>0</v>
      </c>
      <c r="F51" s="588">
        <f>IFERROR(#REF!,0)</f>
        <v>0</v>
      </c>
      <c r="G51" s="588">
        <f t="shared" si="9"/>
        <v>145.35000000000002</v>
      </c>
      <c r="H51" s="588">
        <f t="shared" ref="H51:O51" si="17">H142*$P51</f>
        <v>162.54000000000002</v>
      </c>
      <c r="I51" s="588">
        <f t="shared" si="17"/>
        <v>179.91000000000003</v>
      </c>
      <c r="J51" s="588">
        <f t="shared" si="17"/>
        <v>199.98000000000002</v>
      </c>
      <c r="K51" s="588">
        <f t="shared" si="17"/>
        <v>221.04000000000002</v>
      </c>
      <c r="L51" s="588">
        <f t="shared" si="17"/>
        <v>252.81000000000003</v>
      </c>
      <c r="M51" s="588">
        <f t="shared" si="17"/>
        <v>291.06000000000006</v>
      </c>
      <c r="N51" s="588">
        <f t="shared" si="17"/>
        <v>329.49000000000007</v>
      </c>
      <c r="O51" s="588">
        <f t="shared" si="17"/>
        <v>376.56000000000006</v>
      </c>
      <c r="P51">
        <v>9.0000000000000011E-2</v>
      </c>
    </row>
    <row r="52" spans="1:25" ht="14">
      <c r="A52" s="106" t="s">
        <v>264</v>
      </c>
      <c r="B52" s="631" t="s">
        <v>816</v>
      </c>
      <c r="C52" s="476">
        <f>IFERROR('Energy balance'!C35*'Data manipulation'!$P52,0)</f>
        <v>0</v>
      </c>
      <c r="D52" s="476">
        <f>IFERROR('Energy balance'!D35*'Data manipulation'!$P52,0)</f>
        <v>0</v>
      </c>
      <c r="E52" s="476">
        <f>IFERROR('Energy balance'!E35*'Data manipulation'!$P52,0)</f>
        <v>0</v>
      </c>
      <c r="F52" s="588">
        <f>IFERROR(#REF!,0)</f>
        <v>0</v>
      </c>
      <c r="G52" s="588">
        <f t="shared" si="9"/>
        <v>6849.9763296911624</v>
      </c>
      <c r="H52" s="588">
        <f t="shared" ref="H52:O52" si="18">H143*$P52</f>
        <v>7523.4578622787303</v>
      </c>
      <c r="I52" s="588">
        <f t="shared" si="18"/>
        <v>8031.9541667973153</v>
      </c>
      <c r="J52" s="588">
        <f t="shared" si="18"/>
        <v>6336.352994180791</v>
      </c>
      <c r="K52" s="588">
        <f t="shared" si="18"/>
        <v>7271.1816450162778</v>
      </c>
      <c r="L52" s="588">
        <f t="shared" si="18"/>
        <v>7013.3840097626726</v>
      </c>
      <c r="M52" s="588">
        <f t="shared" si="18"/>
        <v>7302.3382179663568</v>
      </c>
      <c r="N52" s="588">
        <f t="shared" si="18"/>
        <v>8155.9231469320175</v>
      </c>
      <c r="O52" s="588">
        <f t="shared" si="18"/>
        <v>8457.6292014486025</v>
      </c>
      <c r="P52">
        <v>0.13146233312269531</v>
      </c>
    </row>
    <row r="53" spans="1:25" ht="14">
      <c r="A53" s="106" t="s">
        <v>264</v>
      </c>
      <c r="B53" s="631" t="s">
        <v>815</v>
      </c>
      <c r="C53" s="476">
        <f>IFERROR('Energy balance'!C36*'Data manipulation'!$P53,0)</f>
        <v>0</v>
      </c>
      <c r="D53" s="476">
        <f>IFERROR('Energy balance'!D36*'Data manipulation'!$P53,0)</f>
        <v>0</v>
      </c>
      <c r="E53" s="476">
        <f>IFERROR('Energy balance'!E36*'Data manipulation'!$P53,0)</f>
        <v>0</v>
      </c>
      <c r="F53" s="588">
        <f>IFERROR(#REF!,0)</f>
        <v>0</v>
      </c>
      <c r="G53" s="588">
        <f t="shared" si="9"/>
        <v>1548.4949351411083</v>
      </c>
      <c r="H53" s="588">
        <f t="shared" ref="H53:O53" si="19">H144*$P53</f>
        <v>1721.499378187691</v>
      </c>
      <c r="I53" s="588">
        <f t="shared" si="19"/>
        <v>1747.9233090785447</v>
      </c>
      <c r="J53" s="588">
        <f t="shared" si="19"/>
        <v>1912.9085492179529</v>
      </c>
      <c r="K53" s="588">
        <f t="shared" si="19"/>
        <v>2061.7239212002719</v>
      </c>
      <c r="L53" s="588">
        <f t="shared" si="19"/>
        <v>2155.3251092315536</v>
      </c>
      <c r="M53" s="588">
        <f t="shared" si="19"/>
        <v>2207.384196956817</v>
      </c>
      <c r="N53" s="588">
        <f t="shared" si="19"/>
        <v>2270.0917344440663</v>
      </c>
      <c r="O53" s="588">
        <f t="shared" si="19"/>
        <v>2215.7977868922135</v>
      </c>
      <c r="P53">
        <v>0.13146234274056443</v>
      </c>
    </row>
    <row r="54" spans="1:25" ht="14">
      <c r="A54" s="106" t="s">
        <v>264</v>
      </c>
      <c r="B54" s="631" t="s">
        <v>73</v>
      </c>
      <c r="C54" s="476">
        <f>IFERROR('Energy balance'!C37*'Data manipulation'!$P54,0)</f>
        <v>0</v>
      </c>
      <c r="D54" s="476">
        <f>IFERROR('Energy balance'!D37*'Data manipulation'!$P54,0)</f>
        <v>0</v>
      </c>
      <c r="E54" s="476">
        <f>IFERROR('Energy balance'!E37*'Data manipulation'!$P54,0)</f>
        <v>0</v>
      </c>
      <c r="F54" s="588">
        <f>IFERROR(#REF!,0)</f>
        <v>0</v>
      </c>
      <c r="G54" s="588">
        <f>G145*$P54</f>
        <v>56365.85700920727</v>
      </c>
      <c r="H54" s="588">
        <f t="shared" ref="H54:O54" si="20">H145*$P54</f>
        <v>57566.731869849784</v>
      </c>
      <c r="I54" s="588">
        <f t="shared" si="20"/>
        <v>58746.103461637809</v>
      </c>
      <c r="J54" s="588">
        <f t="shared" si="20"/>
        <v>54384.661603787761</v>
      </c>
      <c r="K54" s="588">
        <f t="shared" si="20"/>
        <v>58197.770105848562</v>
      </c>
      <c r="L54" s="588">
        <f t="shared" si="20"/>
        <v>58548.852322338062</v>
      </c>
      <c r="M54" s="588">
        <f t="shared" si="20"/>
        <v>57378.578267373079</v>
      </c>
      <c r="N54" s="588">
        <f t="shared" si="20"/>
        <v>55193.101807836007</v>
      </c>
      <c r="O54" s="588">
        <f t="shared" si="20"/>
        <v>53747.42050177326</v>
      </c>
      <c r="P54">
        <v>0.1148678891799156</v>
      </c>
    </row>
    <row r="55" spans="1:25" ht="14">
      <c r="A55" s="106" t="s">
        <v>264</v>
      </c>
      <c r="B55" s="631" t="s">
        <v>198</v>
      </c>
      <c r="C55" s="476">
        <f>IFERROR('Energy balance'!C38*'Data manipulation'!$P55,0)</f>
        <v>0</v>
      </c>
      <c r="D55" s="476">
        <f>IFERROR('Energy balance'!D38*'Data manipulation'!$P55,0)</f>
        <v>0</v>
      </c>
      <c r="E55" s="476">
        <f>IFERROR('Energy balance'!E38*'Data manipulation'!$P55,0)</f>
        <v>0</v>
      </c>
      <c r="F55" s="588">
        <f>IFERROR(#REF!,0)</f>
        <v>0</v>
      </c>
      <c r="G55" s="588">
        <f t="shared" si="9"/>
        <v>7458.513365639069</v>
      </c>
      <c r="H55" s="588">
        <f t="shared" ref="H55:O55" si="21">H146*$P55</f>
        <v>8597.9890223371185</v>
      </c>
      <c r="I55" s="588">
        <f t="shared" si="21"/>
        <v>5313.9370701844837</v>
      </c>
      <c r="J55" s="588">
        <f t="shared" si="21"/>
        <v>4854.9973930222595</v>
      </c>
      <c r="K55" s="588">
        <f t="shared" si="21"/>
        <v>5060.3217205670062</v>
      </c>
      <c r="L55" s="588">
        <f t="shared" si="21"/>
        <v>3985.146609563626</v>
      </c>
      <c r="M55" s="588">
        <f t="shared" si="21"/>
        <v>4632.263802085351</v>
      </c>
      <c r="N55" s="588">
        <f t="shared" si="21"/>
        <v>4901.8011915891275</v>
      </c>
      <c r="O55" s="588">
        <f t="shared" si="21"/>
        <v>5091.0285117762969</v>
      </c>
      <c r="P55">
        <v>8.7483735639005689E-2</v>
      </c>
    </row>
    <row r="56" spans="1:25" ht="14">
      <c r="A56" s="106" t="s">
        <v>264</v>
      </c>
      <c r="B56" s="632" t="s">
        <v>842</v>
      </c>
      <c r="C56" s="476">
        <f>IFERROR('Energy balance'!C39*'Data manipulation'!$Q130,0)</f>
        <v>0</v>
      </c>
      <c r="D56" s="476">
        <f>IFERROR('Energy balance'!D39*'Data manipulation'!$Q130,0)</f>
        <v>0</v>
      </c>
      <c r="E56" s="533">
        <f>IFERROR('Energy balance'!E39*'Data manipulation'!$Q130,0)</f>
        <v>0</v>
      </c>
      <c r="F56" s="594">
        <f t="shared" ref="F56" si="22">SUM(F47:F49)</f>
        <v>0</v>
      </c>
      <c r="G56" s="588">
        <f t="shared" ref="G56:O60" si="23">G147*$P56</f>
        <v>0</v>
      </c>
      <c r="H56" s="588">
        <f t="shared" si="23"/>
        <v>0</v>
      </c>
      <c r="I56" s="588">
        <f t="shared" si="23"/>
        <v>0</v>
      </c>
      <c r="J56" s="588">
        <f t="shared" si="23"/>
        <v>0</v>
      </c>
      <c r="K56" s="588">
        <f t="shared" si="23"/>
        <v>0</v>
      </c>
      <c r="L56" s="588">
        <f t="shared" si="23"/>
        <v>0</v>
      </c>
      <c r="M56" s="588">
        <f t="shared" si="23"/>
        <v>0</v>
      </c>
      <c r="N56" s="588">
        <f t="shared" si="23"/>
        <v>0</v>
      </c>
      <c r="O56" s="588">
        <f t="shared" si="23"/>
        <v>0</v>
      </c>
      <c r="P56">
        <v>0.14929116079742336</v>
      </c>
    </row>
    <row r="57" spans="1:25" ht="14">
      <c r="A57" s="106" t="s">
        <v>264</v>
      </c>
      <c r="B57" s="632" t="s">
        <v>843</v>
      </c>
      <c r="C57" s="476">
        <f>IFERROR('Energy balance'!C40*'Data manipulation'!$Q131,0)</f>
        <v>0</v>
      </c>
      <c r="D57" s="476">
        <f>IFERROR('Energy balance'!D40*'Data manipulation'!$Q131,0)</f>
        <v>0</v>
      </c>
      <c r="E57" s="476">
        <f>IFERROR('Energy balance'!E40*'Data manipulation'!$Q131,0)</f>
        <v>0</v>
      </c>
      <c r="F57" s="595">
        <f t="shared" ref="F57" si="24">F45+F53</f>
        <v>0</v>
      </c>
      <c r="G57" s="588">
        <f t="shared" si="23"/>
        <v>74133.041667124809</v>
      </c>
      <c r="H57" s="588">
        <f t="shared" si="23"/>
        <v>76444.025835098349</v>
      </c>
      <c r="I57" s="588">
        <f t="shared" si="23"/>
        <v>91090.305240729489</v>
      </c>
      <c r="J57" s="588">
        <f t="shared" si="23"/>
        <v>83815.92164137846</v>
      </c>
      <c r="K57" s="588">
        <f t="shared" si="23"/>
        <v>88808.935688363141</v>
      </c>
      <c r="L57" s="588">
        <f t="shared" si="23"/>
        <v>88360.952630861604</v>
      </c>
      <c r="M57" s="588">
        <f t="shared" si="23"/>
        <v>88681.690231641522</v>
      </c>
      <c r="N57" s="588">
        <f t="shared" si="23"/>
        <v>98851.411370850663</v>
      </c>
      <c r="O57" s="588">
        <f t="shared" si="23"/>
        <v>87704.080876747568</v>
      </c>
      <c r="P57">
        <v>0.21222573405477202</v>
      </c>
    </row>
    <row r="58" spans="1:25" ht="14">
      <c r="A58" s="106" t="s">
        <v>264</v>
      </c>
      <c r="B58" s="631" t="s">
        <v>819</v>
      </c>
      <c r="C58" s="477">
        <f>IFERROR('Energy balance'!C32*'Data manipulation'!$P58,0)</f>
        <v>0</v>
      </c>
      <c r="D58" s="477">
        <f>IFERROR('Energy balance'!D32*'Data manipulation'!$P58,0)</f>
        <v>0</v>
      </c>
      <c r="E58" s="477">
        <f>IFERROR('Energy balance'!E32*'Data manipulation'!$P58,0)</f>
        <v>0</v>
      </c>
      <c r="F58" s="588">
        <f>IFERROR(#REF!,0)</f>
        <v>0</v>
      </c>
      <c r="G58" s="588">
        <f t="shared" si="23"/>
        <v>13935.739292662585</v>
      </c>
      <c r="H58" s="588">
        <f t="shared" si="23"/>
        <v>15128.983503384698</v>
      </c>
      <c r="I58" s="588">
        <f t="shared" si="23"/>
        <v>15871.840556769794</v>
      </c>
      <c r="J58" s="588">
        <f t="shared" si="23"/>
        <v>13956.417821632051</v>
      </c>
      <c r="K58" s="588">
        <f t="shared" si="23"/>
        <v>15337.320834571134</v>
      </c>
      <c r="L58" s="588">
        <f t="shared" si="23"/>
        <v>15215.986826918828</v>
      </c>
      <c r="M58" s="588">
        <f t="shared" si="23"/>
        <v>15865.029744267336</v>
      </c>
      <c r="N58" s="588">
        <f t="shared" si="23"/>
        <v>16311.429849856058</v>
      </c>
      <c r="O58" s="588">
        <f t="shared" si="23"/>
        <v>16686.050256824452</v>
      </c>
      <c r="P58">
        <v>0.18503117450778489</v>
      </c>
    </row>
    <row r="59" spans="1:25" ht="14">
      <c r="A59" s="106" t="s">
        <v>264</v>
      </c>
      <c r="B59" s="581" t="s">
        <v>891</v>
      </c>
      <c r="C59" s="476">
        <f>IFERROR('Energy balance'!C42*'Data manipulation'!$Q133,0)</f>
        <v>0</v>
      </c>
      <c r="D59" s="476">
        <f>IFERROR('Energy balance'!D42*'Data manipulation'!$Q133,0)</f>
        <v>0</v>
      </c>
      <c r="E59" s="477">
        <f>IFERROR('Energy balance'!E42*'Data manipulation'!$Q133,0)</f>
        <v>0</v>
      </c>
      <c r="F59" s="477">
        <f>IFERROR('Energy balance'!F42*'Data manipulation'!$Q133,0)</f>
        <v>0</v>
      </c>
      <c r="G59" s="588">
        <f t="shared" si="23"/>
        <v>0</v>
      </c>
      <c r="H59" s="588">
        <f t="shared" si="23"/>
        <v>0</v>
      </c>
      <c r="I59" s="588">
        <f t="shared" si="23"/>
        <v>0</v>
      </c>
      <c r="J59" s="588">
        <f t="shared" si="23"/>
        <v>0</v>
      </c>
      <c r="K59" s="588">
        <f t="shared" si="23"/>
        <v>0</v>
      </c>
      <c r="L59" s="588">
        <f t="shared" si="23"/>
        <v>0</v>
      </c>
      <c r="M59" s="588">
        <f t="shared" si="23"/>
        <v>0</v>
      </c>
      <c r="N59" s="588">
        <f t="shared" si="23"/>
        <v>0</v>
      </c>
      <c r="O59" s="588">
        <f t="shared" si="23"/>
        <v>0</v>
      </c>
    </row>
    <row r="60" spans="1:25" ht="14.5" thickBot="1">
      <c r="A60" s="106" t="s">
        <v>264</v>
      </c>
      <c r="B60" s="581" t="s">
        <v>922</v>
      </c>
      <c r="C60" s="479">
        <f>IFERROR('Energy balance'!C43*'Data manipulation'!$Q134,0)</f>
        <v>0</v>
      </c>
      <c r="D60" s="479">
        <f>IFERROR('Energy balance'!D43*'Data manipulation'!$Q134,0)</f>
        <v>0</v>
      </c>
      <c r="E60" s="479">
        <f>IFERROR('Energy balance'!E43*'Data manipulation'!$Q134,0)</f>
        <v>0</v>
      </c>
      <c r="F60" s="479">
        <f>IFERROR('Energy balance'!F43*'Data manipulation'!$Q134,0)</f>
        <v>0</v>
      </c>
      <c r="G60" s="588">
        <f t="shared" si="23"/>
        <v>1003.0319223772317</v>
      </c>
      <c r="H60" s="588">
        <f t="shared" si="23"/>
        <v>979.87417609665704</v>
      </c>
      <c r="I60" s="588">
        <f t="shared" si="23"/>
        <v>937.73928391131778</v>
      </c>
      <c r="J60" s="588">
        <f t="shared" si="23"/>
        <v>994.48604845970488</v>
      </c>
      <c r="K60" s="588">
        <f t="shared" si="23"/>
        <v>944.93377424130642</v>
      </c>
      <c r="L60" s="588">
        <f t="shared" si="23"/>
        <v>956.91453918646039</v>
      </c>
      <c r="M60" s="588">
        <f t="shared" si="23"/>
        <v>981.80869095826995</v>
      </c>
      <c r="N60" s="588">
        <f t="shared" si="23"/>
        <v>187.36578128255502</v>
      </c>
      <c r="O60" s="588">
        <f t="shared" si="23"/>
        <v>180.89162080341396</v>
      </c>
      <c r="P60">
        <v>0.14929116079742336</v>
      </c>
    </row>
    <row r="61" spans="1:25" ht="14.5" thickBot="1">
      <c r="A61" s="106" t="s">
        <v>264</v>
      </c>
      <c r="B61" s="326"/>
      <c r="C61" s="479">
        <f>IFERROR('Energy balance'!C22*$Q61,0)</f>
        <v>0</v>
      </c>
      <c r="D61" s="479">
        <f>IFERROR('Energy balance'!D22*$Q61,0)</f>
        <v>0</v>
      </c>
      <c r="E61" s="479">
        <f>IFERROR('Energy balance'!E22*$Q61,0)</f>
        <v>0</v>
      </c>
      <c r="F61" s="479">
        <f>IFERROR('Energy balance'!F22*$Q61,0)</f>
        <v>0</v>
      </c>
      <c r="G61" s="588"/>
      <c r="H61" s="479">
        <f>IFERROR('Energy balance'!H22*$Q61,0)</f>
        <v>0</v>
      </c>
      <c r="I61" s="479">
        <f>IFERROR('Energy balance'!I22*$Q61,0)</f>
        <v>0</v>
      </c>
      <c r="J61" s="479">
        <f>IFERROR('Energy balance'!J22*$Q61,0)</f>
        <v>0</v>
      </c>
      <c r="K61" s="479">
        <f>IFERROR('Energy balance'!K22*$Q61,0)</f>
        <v>0</v>
      </c>
      <c r="L61" s="479">
        <f>IFERROR('Energy balance'!L22*$Q61,0)</f>
        <v>0</v>
      </c>
      <c r="M61" s="480">
        <f>IFERROR('Energy balance'!M22*$Q61,0)</f>
        <v>0</v>
      </c>
      <c r="N61" s="481">
        <f>IFERROR('Energy balance'!N22*$Q61,0)</f>
        <v>0</v>
      </c>
      <c r="O61" s="481">
        <f>IFERROR('Energy balance'!O22*$Q61,0)</f>
        <v>0</v>
      </c>
      <c r="Q61" s="106"/>
    </row>
    <row r="62" spans="1:25" ht="14">
      <c r="A62" s="106" t="s">
        <v>264</v>
      </c>
      <c r="B62" s="362" t="s">
        <v>92</v>
      </c>
      <c r="C62" s="363">
        <f>SUM(C44:C61)</f>
        <v>0</v>
      </c>
      <c r="D62" s="363">
        <f t="shared" ref="D62" si="25">SUM(D44:D61)</f>
        <v>0</v>
      </c>
      <c r="E62" s="363">
        <f t="shared" ref="E62" si="26">SUM(E44:E61)</f>
        <v>0</v>
      </c>
      <c r="F62" s="363">
        <f t="shared" ref="F62" si="27">SUM(F44:F61)</f>
        <v>0</v>
      </c>
      <c r="G62" s="363">
        <f t="shared" ref="G62" si="28">SUM(G44:G61)</f>
        <v>279179.17443236808</v>
      </c>
      <c r="H62" s="363">
        <f t="shared" ref="H62" si="29">SUM(H44:H61)</f>
        <v>290031.35817180335</v>
      </c>
      <c r="I62" s="363">
        <f t="shared" ref="I62" si="30">SUM(I44:I61)</f>
        <v>321448.73753755901</v>
      </c>
      <c r="J62" s="363">
        <f t="shared" ref="J62" si="31">SUM(J44:J61)</f>
        <v>294376.95804208971</v>
      </c>
      <c r="K62" s="363">
        <f t="shared" ref="K62" si="32">SUM(K44:K61)</f>
        <v>309511.05520526652</v>
      </c>
      <c r="L62" s="363">
        <f t="shared" ref="L62" si="33">SUM(L44:L61)</f>
        <v>307715.8935583292</v>
      </c>
      <c r="M62" s="363">
        <f t="shared" ref="M62" si="34">SUM(M44:M61)</f>
        <v>308441.88504463033</v>
      </c>
      <c r="N62" s="363">
        <f t="shared" ref="N62:O62" si="35">SUM(N44:N61)</f>
        <v>303093.94687572937</v>
      </c>
      <c r="O62" s="363">
        <f t="shared" si="35"/>
        <v>280885.18072049052</v>
      </c>
      <c r="R62">
        <f>O62/O152</f>
        <v>0.24365819480270426</v>
      </c>
    </row>
    <row r="64" spans="1:25" ht="16" thickBot="1">
      <c r="B64" s="356" t="s">
        <v>979</v>
      </c>
    </row>
    <row r="65" spans="1:16" ht="14.5" thickBot="1">
      <c r="B65" s="303"/>
      <c r="C65" s="304">
        <v>2007</v>
      </c>
      <c r="D65" s="305">
        <v>2008</v>
      </c>
      <c r="E65" s="305">
        <v>2009</v>
      </c>
      <c r="F65" s="305">
        <v>2010</v>
      </c>
      <c r="G65" s="305">
        <v>2011</v>
      </c>
      <c r="H65" s="305">
        <v>2012</v>
      </c>
      <c r="I65" s="305">
        <v>2013</v>
      </c>
      <c r="J65" s="305">
        <v>2014</v>
      </c>
      <c r="K65" s="305">
        <v>2015</v>
      </c>
      <c r="L65" s="305">
        <v>2016</v>
      </c>
      <c r="M65" s="306">
        <v>2017</v>
      </c>
      <c r="N65" s="307">
        <v>2018</v>
      </c>
      <c r="O65" s="307">
        <v>2019</v>
      </c>
    </row>
    <row r="66" spans="1:16" ht="14">
      <c r="A66" s="106" t="s">
        <v>257</v>
      </c>
      <c r="B66" s="581" t="s">
        <v>823</v>
      </c>
      <c r="C66" s="475">
        <f>IFERROR('Energy balance'!C5*$Q66,0)</f>
        <v>0</v>
      </c>
      <c r="D66" s="475">
        <f>IFERROR('Energy balance'!D5*$Q66,0)</f>
        <v>0</v>
      </c>
      <c r="E66" s="475">
        <f>IFERROR('Energy balance'!E5*$Q66,0)</f>
        <v>0</v>
      </c>
      <c r="F66" s="475">
        <f>IFERROR(#REF!,0)</f>
        <v>0</v>
      </c>
      <c r="G66" s="588">
        <f>G135*$P66</f>
        <v>0</v>
      </c>
      <c r="H66" s="588">
        <f t="shared" ref="H66:O66" si="36">H135*$P66</f>
        <v>0</v>
      </c>
      <c r="I66" s="588">
        <f t="shared" si="36"/>
        <v>0</v>
      </c>
      <c r="J66" s="588">
        <f t="shared" si="36"/>
        <v>0</v>
      </c>
      <c r="K66" s="588">
        <f t="shared" si="36"/>
        <v>0</v>
      </c>
      <c r="L66" s="588">
        <f t="shared" si="36"/>
        <v>0</v>
      </c>
      <c r="M66" s="588">
        <f t="shared" si="36"/>
        <v>0</v>
      </c>
      <c r="N66" s="588">
        <f t="shared" si="36"/>
        <v>0</v>
      </c>
      <c r="O66" s="588">
        <f t="shared" si="36"/>
        <v>0</v>
      </c>
      <c r="P66">
        <v>0</v>
      </c>
    </row>
    <row r="67" spans="1:16" ht="14">
      <c r="A67" s="106" t="s">
        <v>257</v>
      </c>
      <c r="B67" s="631" t="s">
        <v>74</v>
      </c>
      <c r="C67" s="476">
        <f>IFERROR('Energy balance'!C6*#REF!,0)</f>
        <v>0</v>
      </c>
      <c r="D67" s="476">
        <f>IFERROR('Energy balance'!D6*#REF!,0)</f>
        <v>0</v>
      </c>
      <c r="E67" s="476">
        <f>IFERROR('Energy balance'!E6*#REF!,0)</f>
        <v>0</v>
      </c>
      <c r="F67" s="475">
        <f>IFERROR(#REF!,0)</f>
        <v>0</v>
      </c>
      <c r="G67" s="588">
        <f t="shared" ref="G67:O82" si="37">G136*$P67</f>
        <v>1574.1523014604768</v>
      </c>
      <c r="H67" s="588">
        <f t="shared" si="37"/>
        <v>1618.7991407658117</v>
      </c>
      <c r="I67" s="588">
        <f t="shared" si="37"/>
        <v>1939.7161748024944</v>
      </c>
      <c r="J67" s="588">
        <f t="shared" si="37"/>
        <v>1774.0074414258943</v>
      </c>
      <c r="K67" s="588">
        <f t="shared" si="37"/>
        <v>1878.4504554723662</v>
      </c>
      <c r="L67" s="588">
        <f t="shared" si="37"/>
        <v>1865.2854014126742</v>
      </c>
      <c r="M67" s="588">
        <f t="shared" si="37"/>
        <v>1870.486840174857</v>
      </c>
      <c r="N67" s="588">
        <f t="shared" si="37"/>
        <v>2091.7435783126152</v>
      </c>
      <c r="O67" s="588">
        <f t="shared" si="37"/>
        <v>1848.7052347280689</v>
      </c>
      <c r="P67">
        <v>4.6636959628790454E-3</v>
      </c>
    </row>
    <row r="68" spans="1:16" ht="14">
      <c r="A68" s="106" t="s">
        <v>257</v>
      </c>
      <c r="B68" s="631" t="s">
        <v>996</v>
      </c>
      <c r="C68" s="476">
        <f>IFERROR('Energy balance'!C7*#REF!,0)</f>
        <v>0</v>
      </c>
      <c r="D68" s="476">
        <f>IFERROR('Energy balance'!D7*#REF!,0)</f>
        <v>0</v>
      </c>
      <c r="E68" s="476">
        <f>IFERROR('Energy balance'!E7*#REF!,0)</f>
        <v>0</v>
      </c>
      <c r="F68" s="475">
        <f>IFERROR(#REF!,0)</f>
        <v>0</v>
      </c>
      <c r="G68" s="588">
        <f t="shared" si="37"/>
        <v>0</v>
      </c>
      <c r="H68" s="588">
        <f t="shared" si="37"/>
        <v>0</v>
      </c>
      <c r="I68" s="588">
        <f t="shared" si="37"/>
        <v>0</v>
      </c>
      <c r="J68" s="588">
        <f t="shared" si="37"/>
        <v>0</v>
      </c>
      <c r="K68" s="588">
        <f t="shared" si="37"/>
        <v>0</v>
      </c>
      <c r="L68" s="588">
        <f t="shared" si="37"/>
        <v>0</v>
      </c>
      <c r="M68" s="588">
        <f t="shared" si="37"/>
        <v>0</v>
      </c>
      <c r="N68" s="588">
        <f t="shared" si="37"/>
        <v>0</v>
      </c>
      <c r="O68" s="588">
        <f t="shared" si="37"/>
        <v>0</v>
      </c>
      <c r="P68">
        <v>0</v>
      </c>
    </row>
    <row r="69" spans="1:16" ht="14">
      <c r="A69" s="106" t="s">
        <v>257</v>
      </c>
      <c r="B69" s="631" t="s">
        <v>821</v>
      </c>
      <c r="C69" s="477">
        <f>IFERROR('Energy balance'!C8*#REF!,0)</f>
        <v>0</v>
      </c>
      <c r="D69" s="477">
        <f>IFERROR('Energy balance'!D8*#REF!,0)</f>
        <v>0</v>
      </c>
      <c r="E69" s="477">
        <f>IFERROR('Energy balance'!E8*#REF!,0)</f>
        <v>0</v>
      </c>
      <c r="F69" s="475">
        <f>IFERROR(#REF!,0)</f>
        <v>0</v>
      </c>
      <c r="G69" s="588">
        <f t="shared" si="37"/>
        <v>0</v>
      </c>
      <c r="H69" s="588">
        <f t="shared" si="37"/>
        <v>0</v>
      </c>
      <c r="I69" s="588">
        <f t="shared" si="37"/>
        <v>0</v>
      </c>
      <c r="J69" s="588">
        <f t="shared" si="37"/>
        <v>0</v>
      </c>
      <c r="K69" s="588">
        <f t="shared" si="37"/>
        <v>0</v>
      </c>
      <c r="L69" s="588">
        <f t="shared" si="37"/>
        <v>0</v>
      </c>
      <c r="M69" s="588">
        <f t="shared" si="37"/>
        <v>0</v>
      </c>
      <c r="N69" s="588">
        <f t="shared" si="37"/>
        <v>0</v>
      </c>
      <c r="O69" s="588">
        <f t="shared" si="37"/>
        <v>0</v>
      </c>
      <c r="P69">
        <v>0</v>
      </c>
    </row>
    <row r="70" spans="1:16" ht="14">
      <c r="A70" s="106" t="s">
        <v>257</v>
      </c>
      <c r="B70" s="631" t="s">
        <v>191</v>
      </c>
      <c r="C70" s="477">
        <f>IFERROR('Energy balance'!C9*#REF!,0)</f>
        <v>0</v>
      </c>
      <c r="D70" s="477">
        <f>IFERROR('Energy balance'!D9*#REF!,0)</f>
        <v>0</v>
      </c>
      <c r="E70" s="477">
        <f>IFERROR('Energy balance'!E9*#REF!,0)</f>
        <v>0</v>
      </c>
      <c r="F70" s="475">
        <f>IFERROR(#REF!,0)</f>
        <v>0</v>
      </c>
      <c r="G70" s="588">
        <f t="shared" si="37"/>
        <v>0</v>
      </c>
      <c r="H70" s="588">
        <f t="shared" si="37"/>
        <v>0</v>
      </c>
      <c r="I70" s="588">
        <f t="shared" si="37"/>
        <v>0</v>
      </c>
      <c r="J70" s="588">
        <f t="shared" si="37"/>
        <v>0</v>
      </c>
      <c r="K70" s="588">
        <f t="shared" si="37"/>
        <v>0</v>
      </c>
      <c r="L70" s="588">
        <f t="shared" si="37"/>
        <v>0</v>
      </c>
      <c r="M70" s="588">
        <f t="shared" si="37"/>
        <v>0</v>
      </c>
      <c r="N70" s="588">
        <f t="shared" si="37"/>
        <v>0</v>
      </c>
      <c r="O70" s="588">
        <f t="shared" si="37"/>
        <v>0</v>
      </c>
      <c r="P70">
        <v>0</v>
      </c>
    </row>
    <row r="71" spans="1:16" ht="14">
      <c r="A71" s="106" t="s">
        <v>257</v>
      </c>
      <c r="B71" s="631" t="s">
        <v>820</v>
      </c>
      <c r="C71" s="477">
        <f>IFERROR('Energy balance'!C10*#REF!,0)</f>
        <v>0</v>
      </c>
      <c r="D71" s="477">
        <f>IFERROR('Energy balance'!D10*#REF!,0)</f>
        <v>0</v>
      </c>
      <c r="E71" s="477">
        <f>IFERROR('Energy balance'!E10*#REF!,0)</f>
        <v>0</v>
      </c>
      <c r="F71" s="475">
        <f>IFERROR(#REF!,0)</f>
        <v>0</v>
      </c>
      <c r="G71" s="588">
        <f t="shared" si="37"/>
        <v>0</v>
      </c>
      <c r="H71" s="588">
        <f t="shared" si="37"/>
        <v>0</v>
      </c>
      <c r="I71" s="588">
        <f t="shared" si="37"/>
        <v>0</v>
      </c>
      <c r="J71" s="588">
        <f t="shared" si="37"/>
        <v>0</v>
      </c>
      <c r="K71" s="588">
        <f t="shared" si="37"/>
        <v>0</v>
      </c>
      <c r="L71" s="588">
        <f t="shared" si="37"/>
        <v>0</v>
      </c>
      <c r="M71" s="588">
        <f t="shared" si="37"/>
        <v>0</v>
      </c>
      <c r="N71" s="588">
        <f t="shared" si="37"/>
        <v>0</v>
      </c>
      <c r="O71" s="588">
        <f t="shared" si="37"/>
        <v>0</v>
      </c>
      <c r="P71">
        <v>0</v>
      </c>
    </row>
    <row r="72" spans="1:16" ht="14">
      <c r="A72" s="106" t="s">
        <v>257</v>
      </c>
      <c r="B72" s="631" t="s">
        <v>818</v>
      </c>
      <c r="C72" s="477">
        <f>IFERROR('Energy balance'!C11*#REF!,0)</f>
        <v>0</v>
      </c>
      <c r="D72" s="477">
        <f>IFERROR('Energy balance'!D11*#REF!,0)</f>
        <v>0</v>
      </c>
      <c r="E72" s="477">
        <f>IFERROR('Energy balance'!E11*#REF!,0)</f>
        <v>0</v>
      </c>
      <c r="F72" s="475">
        <f>IFERROR(#REF!,0)</f>
        <v>0</v>
      </c>
      <c r="G72" s="588">
        <f t="shared" si="37"/>
        <v>0</v>
      </c>
      <c r="H72" s="588">
        <f t="shared" si="37"/>
        <v>0</v>
      </c>
      <c r="I72" s="588">
        <f t="shared" si="37"/>
        <v>0</v>
      </c>
      <c r="J72" s="588">
        <f t="shared" si="37"/>
        <v>0</v>
      </c>
      <c r="K72" s="588">
        <f t="shared" si="37"/>
        <v>0</v>
      </c>
      <c r="L72" s="588">
        <f t="shared" si="37"/>
        <v>0</v>
      </c>
      <c r="M72" s="588">
        <f t="shared" si="37"/>
        <v>0</v>
      </c>
      <c r="N72" s="588">
        <f t="shared" si="37"/>
        <v>0</v>
      </c>
      <c r="O72" s="588">
        <f t="shared" si="37"/>
        <v>0</v>
      </c>
      <c r="P72">
        <v>0</v>
      </c>
    </row>
    <row r="73" spans="1:16" ht="14">
      <c r="A73" s="106" t="s">
        <v>257</v>
      </c>
      <c r="B73" s="631" t="s">
        <v>817</v>
      </c>
      <c r="C73" s="477">
        <f>IFERROR('Energy balance'!C12*#REF!,0)</f>
        <v>0</v>
      </c>
      <c r="D73" s="477">
        <f>IFERROR('Energy balance'!D12*#REF!,0)</f>
        <v>0</v>
      </c>
      <c r="E73" s="477">
        <f>IFERROR('Energy balance'!E12*#REF!,0)</f>
        <v>0</v>
      </c>
      <c r="F73" s="475">
        <f>IFERROR(#REF!,0)</f>
        <v>0</v>
      </c>
      <c r="G73" s="588">
        <f t="shared" si="37"/>
        <v>0</v>
      </c>
      <c r="H73" s="588">
        <f t="shared" si="37"/>
        <v>0</v>
      </c>
      <c r="I73" s="588">
        <f t="shared" si="37"/>
        <v>0</v>
      </c>
      <c r="J73" s="588">
        <f t="shared" si="37"/>
        <v>0</v>
      </c>
      <c r="K73" s="588">
        <f t="shared" si="37"/>
        <v>0</v>
      </c>
      <c r="L73" s="588">
        <f t="shared" si="37"/>
        <v>0</v>
      </c>
      <c r="M73" s="588">
        <f t="shared" si="37"/>
        <v>0</v>
      </c>
      <c r="N73" s="588">
        <f t="shared" si="37"/>
        <v>0</v>
      </c>
      <c r="O73" s="588">
        <f t="shared" si="37"/>
        <v>0</v>
      </c>
      <c r="P73">
        <v>0</v>
      </c>
    </row>
    <row r="74" spans="1:16" ht="14">
      <c r="A74" s="106" t="s">
        <v>257</v>
      </c>
      <c r="B74" s="631" t="s">
        <v>816</v>
      </c>
      <c r="C74" s="476">
        <f>IFERROR('Energy balance'!C13*#REF!,0)</f>
        <v>0</v>
      </c>
      <c r="D74" s="476">
        <f>IFERROR('Energy balance'!D13*#REF!,0)</f>
        <v>0</v>
      </c>
      <c r="E74" s="476">
        <f>IFERROR('Energy balance'!E13*#REF!,0)</f>
        <v>0</v>
      </c>
      <c r="F74" s="475">
        <f>IFERROR(#REF!,0)</f>
        <v>0</v>
      </c>
      <c r="G74" s="588">
        <f t="shared" si="37"/>
        <v>0</v>
      </c>
      <c r="H74" s="588">
        <f t="shared" si="37"/>
        <v>0</v>
      </c>
      <c r="I74" s="588">
        <f t="shared" si="37"/>
        <v>0</v>
      </c>
      <c r="J74" s="588">
        <f t="shared" si="37"/>
        <v>0</v>
      </c>
      <c r="K74" s="588">
        <f t="shared" si="37"/>
        <v>0</v>
      </c>
      <c r="L74" s="588">
        <f t="shared" si="37"/>
        <v>0</v>
      </c>
      <c r="M74" s="588">
        <f t="shared" si="37"/>
        <v>0</v>
      </c>
      <c r="N74" s="588">
        <f t="shared" si="37"/>
        <v>0</v>
      </c>
      <c r="O74" s="588">
        <f t="shared" si="37"/>
        <v>0</v>
      </c>
      <c r="P74">
        <v>0</v>
      </c>
    </row>
    <row r="75" spans="1:16" ht="14">
      <c r="A75" s="106" t="s">
        <v>257</v>
      </c>
      <c r="B75" s="631" t="s">
        <v>815</v>
      </c>
      <c r="C75" s="476">
        <f>IFERROR('Energy balance'!C14*#REF!,0)</f>
        <v>0</v>
      </c>
      <c r="D75" s="476">
        <f>IFERROR('Energy balance'!D14*#REF!,0)</f>
        <v>0</v>
      </c>
      <c r="E75" s="476">
        <f>IFERROR('Energy balance'!E14*#REF!,0)</f>
        <v>0</v>
      </c>
      <c r="F75" s="475">
        <f>IFERROR(#REF!,0)</f>
        <v>0</v>
      </c>
      <c r="G75" s="588">
        <f t="shared" si="37"/>
        <v>0</v>
      </c>
      <c r="H75" s="588">
        <f t="shared" si="37"/>
        <v>0</v>
      </c>
      <c r="I75" s="588">
        <f t="shared" si="37"/>
        <v>0</v>
      </c>
      <c r="J75" s="588">
        <f t="shared" si="37"/>
        <v>0</v>
      </c>
      <c r="K75" s="588">
        <f t="shared" si="37"/>
        <v>0</v>
      </c>
      <c r="L75" s="588">
        <f t="shared" si="37"/>
        <v>0</v>
      </c>
      <c r="M75" s="588">
        <f t="shared" si="37"/>
        <v>0</v>
      </c>
      <c r="N75" s="588">
        <f t="shared" si="37"/>
        <v>0</v>
      </c>
      <c r="O75" s="588">
        <f t="shared" si="37"/>
        <v>0</v>
      </c>
      <c r="P75">
        <v>0</v>
      </c>
    </row>
    <row r="76" spans="1:16" ht="14">
      <c r="A76" s="106" t="s">
        <v>257</v>
      </c>
      <c r="B76" s="631" t="s">
        <v>73</v>
      </c>
      <c r="C76" s="476">
        <f>IFERROR('Energy balance'!C15*#REF!,0)</f>
        <v>0</v>
      </c>
      <c r="D76" s="476">
        <f>IFERROR('Energy balance'!D15*#REF!,0)</f>
        <v>0</v>
      </c>
      <c r="E76" s="476">
        <f>IFERROR('Energy balance'!E15*#REF!,0)</f>
        <v>0</v>
      </c>
      <c r="F76" s="475">
        <f>IFERROR(#REF!,0)</f>
        <v>0</v>
      </c>
      <c r="G76" s="588">
        <f t="shared" si="37"/>
        <v>150006.09594679344</v>
      </c>
      <c r="H76" s="588">
        <f t="shared" si="37"/>
        <v>153201.97655828149</v>
      </c>
      <c r="I76" s="588">
        <f t="shared" si="37"/>
        <v>156340.63065744261</v>
      </c>
      <c r="J76" s="588">
        <f t="shared" si="37"/>
        <v>144733.55324374966</v>
      </c>
      <c r="K76" s="588">
        <f t="shared" si="37"/>
        <v>154881.35459310611</v>
      </c>
      <c r="L76" s="588">
        <f t="shared" si="37"/>
        <v>155815.68745782835</v>
      </c>
      <c r="M76" s="588">
        <f t="shared" si="37"/>
        <v>152701.24457542092</v>
      </c>
      <c r="N76" s="588">
        <f t="shared" si="37"/>
        <v>146885.05000527139</v>
      </c>
      <c r="O76" s="588">
        <f t="shared" si="37"/>
        <v>143037.66756113843</v>
      </c>
      <c r="P76">
        <v>0.305697181233551</v>
      </c>
    </row>
    <row r="77" spans="1:16" ht="14">
      <c r="A77" s="106" t="s">
        <v>257</v>
      </c>
      <c r="B77" s="631" t="s">
        <v>198</v>
      </c>
      <c r="C77" s="476">
        <f>IFERROR('Energy balance'!C16*#REF!,0)</f>
        <v>0</v>
      </c>
      <c r="D77" s="476">
        <f>IFERROR('Energy balance'!D16*#REF!,0)</f>
        <v>0</v>
      </c>
      <c r="E77" s="476">
        <f>IFERROR('Energy balance'!E16*#REF!,0)</f>
        <v>0</v>
      </c>
      <c r="F77" s="475">
        <f>IFERROR(#REF!,0)</f>
        <v>0</v>
      </c>
      <c r="G77" s="588">
        <f t="shared" si="37"/>
        <v>0</v>
      </c>
      <c r="H77" s="588">
        <f t="shared" si="37"/>
        <v>0</v>
      </c>
      <c r="I77" s="588">
        <f t="shared" si="37"/>
        <v>0</v>
      </c>
      <c r="J77" s="588">
        <f t="shared" si="37"/>
        <v>0</v>
      </c>
      <c r="K77" s="588">
        <f t="shared" si="37"/>
        <v>0</v>
      </c>
      <c r="L77" s="588">
        <f t="shared" si="37"/>
        <v>0</v>
      </c>
      <c r="M77" s="588">
        <f t="shared" si="37"/>
        <v>0</v>
      </c>
      <c r="N77" s="588">
        <f t="shared" si="37"/>
        <v>0</v>
      </c>
      <c r="O77" s="588">
        <f t="shared" si="37"/>
        <v>0</v>
      </c>
      <c r="P77">
        <v>0</v>
      </c>
    </row>
    <row r="78" spans="1:16" ht="14">
      <c r="A78" s="106" t="s">
        <v>257</v>
      </c>
      <c r="B78" s="632" t="s">
        <v>842</v>
      </c>
      <c r="C78" s="476">
        <f>IFERROR('Energy balance'!C17*#REF!,0)</f>
        <v>0</v>
      </c>
      <c r="D78" s="476">
        <f>IFERROR('Energy balance'!D17*#REF!,0)</f>
        <v>0</v>
      </c>
      <c r="E78" s="476">
        <f>IFERROR('Energy balance'!E17*#REF!,0)</f>
        <v>0</v>
      </c>
      <c r="F78" s="475">
        <f>IFERROR(#REF!,0)</f>
        <v>0</v>
      </c>
      <c r="G78" s="588">
        <f t="shared" si="37"/>
        <v>0</v>
      </c>
      <c r="H78" s="588">
        <f t="shared" si="37"/>
        <v>0</v>
      </c>
      <c r="I78" s="588">
        <f t="shared" si="37"/>
        <v>0</v>
      </c>
      <c r="J78" s="588">
        <f t="shared" si="37"/>
        <v>0</v>
      </c>
      <c r="K78" s="588">
        <f t="shared" si="37"/>
        <v>0</v>
      </c>
      <c r="L78" s="588">
        <f t="shared" si="37"/>
        <v>0</v>
      </c>
      <c r="M78" s="588">
        <f t="shared" si="37"/>
        <v>0</v>
      </c>
      <c r="N78" s="588">
        <f t="shared" si="37"/>
        <v>0</v>
      </c>
      <c r="O78" s="588">
        <f t="shared" si="37"/>
        <v>0</v>
      </c>
      <c r="P78">
        <v>0</v>
      </c>
    </row>
    <row r="79" spans="1:16" ht="14">
      <c r="A79" s="106" t="s">
        <v>257</v>
      </c>
      <c r="B79" s="632" t="s">
        <v>843</v>
      </c>
      <c r="C79" s="476">
        <f>IFERROR('Energy balance'!C18*#REF!,0)</f>
        <v>0</v>
      </c>
      <c r="D79" s="476">
        <f>IFERROR('Energy balance'!D18*#REF!,0)</f>
        <v>0</v>
      </c>
      <c r="E79" s="477">
        <f>IFERROR('Energy balance'!E18*#REF!,0)</f>
        <v>0</v>
      </c>
      <c r="F79" s="477">
        <f>IFERROR('Energy balance'!F18*#REF!,0)</f>
        <v>0</v>
      </c>
      <c r="G79" s="588">
        <f t="shared" si="37"/>
        <v>0</v>
      </c>
      <c r="H79" s="588">
        <f t="shared" si="37"/>
        <v>0</v>
      </c>
      <c r="I79" s="588">
        <f t="shared" si="37"/>
        <v>0</v>
      </c>
      <c r="J79" s="588">
        <f t="shared" si="37"/>
        <v>0</v>
      </c>
      <c r="K79" s="588">
        <f t="shared" si="37"/>
        <v>0</v>
      </c>
      <c r="L79" s="588">
        <f t="shared" si="37"/>
        <v>0</v>
      </c>
      <c r="M79" s="588">
        <f t="shared" si="37"/>
        <v>0</v>
      </c>
      <c r="N79" s="588">
        <f t="shared" si="37"/>
        <v>0</v>
      </c>
      <c r="O79" s="588">
        <f t="shared" si="37"/>
        <v>0</v>
      </c>
      <c r="P79">
        <v>0</v>
      </c>
    </row>
    <row r="80" spans="1:16" ht="14">
      <c r="A80" s="106" t="s">
        <v>257</v>
      </c>
      <c r="B80" s="631" t="s">
        <v>819</v>
      </c>
      <c r="C80" s="476">
        <f>IFERROR('Energy balance'!C19*#REF!,0)</f>
        <v>0</v>
      </c>
      <c r="D80" s="476">
        <f>IFERROR('Energy balance'!D19*#REF!,0)</f>
        <v>0</v>
      </c>
      <c r="E80" s="476">
        <f>IFERROR('Energy balance'!E19*#REF!,0)</f>
        <v>0</v>
      </c>
      <c r="F80" s="476">
        <f>IFERROR('Energy balance'!F19*#REF!,0)</f>
        <v>0</v>
      </c>
      <c r="G80" s="588">
        <f t="shared" si="37"/>
        <v>1485.8612534050822</v>
      </c>
      <c r="H80" s="588">
        <f t="shared" si="37"/>
        <v>1613.087753652215</v>
      </c>
      <c r="I80" s="588">
        <f t="shared" si="37"/>
        <v>1692.292917387213</v>
      </c>
      <c r="J80" s="588">
        <f t="shared" si="37"/>
        <v>1488.0660467302071</v>
      </c>
      <c r="K80" s="588">
        <f t="shared" si="37"/>
        <v>1635.3011692125031</v>
      </c>
      <c r="L80" s="588">
        <f t="shared" si="37"/>
        <v>1622.3642523468266</v>
      </c>
      <c r="M80" s="588">
        <f t="shared" si="37"/>
        <v>1691.5667325620607</v>
      </c>
      <c r="N80" s="588">
        <f t="shared" si="37"/>
        <v>1739.1629602526471</v>
      </c>
      <c r="O80" s="588">
        <f t="shared" si="37"/>
        <v>1779.1058678917316</v>
      </c>
      <c r="P80">
        <v>1.9728458397460666E-2</v>
      </c>
    </row>
    <row r="81" spans="1:18" ht="14">
      <c r="A81" s="106" t="s">
        <v>257</v>
      </c>
      <c r="B81" s="581" t="s">
        <v>891</v>
      </c>
      <c r="C81" s="478">
        <f>IFERROR('Energy balance'!C20*#REF!,0)</f>
        <v>0</v>
      </c>
      <c r="D81" s="476">
        <f>IFERROR('Energy balance'!D20*#REF!,0)</f>
        <v>0</v>
      </c>
      <c r="E81" s="476">
        <f>IFERROR('Energy balance'!E20*#REF!,0)</f>
        <v>0</v>
      </c>
      <c r="F81" s="476">
        <f>IFERROR('Energy balance'!F20*#REF!,0)</f>
        <v>0</v>
      </c>
      <c r="G81" s="588">
        <f t="shared" si="37"/>
        <v>0</v>
      </c>
      <c r="H81" s="588">
        <f t="shared" si="37"/>
        <v>0</v>
      </c>
      <c r="I81" s="588">
        <f t="shared" si="37"/>
        <v>0</v>
      </c>
      <c r="J81" s="588">
        <f t="shared" si="37"/>
        <v>0</v>
      </c>
      <c r="K81" s="588">
        <f t="shared" si="37"/>
        <v>0</v>
      </c>
      <c r="L81" s="588">
        <f t="shared" si="37"/>
        <v>0</v>
      </c>
      <c r="M81" s="588">
        <f t="shared" si="37"/>
        <v>0</v>
      </c>
      <c r="N81" s="588">
        <f t="shared" si="37"/>
        <v>0</v>
      </c>
      <c r="O81" s="588">
        <f t="shared" si="37"/>
        <v>0</v>
      </c>
    </row>
    <row r="82" spans="1:18" ht="14">
      <c r="A82" s="106" t="s">
        <v>257</v>
      </c>
      <c r="B82" s="581" t="s">
        <v>922</v>
      </c>
      <c r="C82" s="476">
        <f>IFERROR('Energy balance'!C21*#REF!,0)</f>
        <v>0</v>
      </c>
      <c r="D82" s="476">
        <f>IFERROR('Energy balance'!D21*#REF!,0)</f>
        <v>0</v>
      </c>
      <c r="E82" s="477">
        <f>IFERROR('Energy balance'!E21*#REF!,0)</f>
        <v>0</v>
      </c>
      <c r="F82" s="477">
        <f>IFERROR('Energy balance'!F21*#REF!,0)</f>
        <v>0</v>
      </c>
      <c r="G82" s="588">
        <f t="shared" si="37"/>
        <v>0</v>
      </c>
      <c r="H82" s="588">
        <f t="shared" si="37"/>
        <v>0</v>
      </c>
      <c r="I82" s="588">
        <f t="shared" si="37"/>
        <v>0</v>
      </c>
      <c r="J82" s="588">
        <f t="shared" si="37"/>
        <v>0</v>
      </c>
      <c r="K82" s="588">
        <f t="shared" si="37"/>
        <v>0</v>
      </c>
      <c r="L82" s="588">
        <f t="shared" si="37"/>
        <v>0</v>
      </c>
      <c r="M82" s="588">
        <f t="shared" si="37"/>
        <v>0</v>
      </c>
      <c r="N82" s="588">
        <f t="shared" si="37"/>
        <v>0</v>
      </c>
      <c r="O82" s="588">
        <f t="shared" si="37"/>
        <v>0</v>
      </c>
    </row>
    <row r="83" spans="1:18" ht="14.5" thickBot="1">
      <c r="A83" s="106" t="s">
        <v>257</v>
      </c>
      <c r="B83" s="326"/>
      <c r="C83" s="479">
        <f>IFERROR('Energy balance'!C22*#REF!,0)</f>
        <v>0</v>
      </c>
      <c r="D83" s="479">
        <f>IFERROR('Energy balance'!D22*#REF!,0)</f>
        <v>0</v>
      </c>
      <c r="E83" s="479">
        <f>IFERROR('Energy balance'!E22*#REF!,0)</f>
        <v>0</v>
      </c>
      <c r="F83" s="479">
        <f>IFERROR('Energy balance'!F22*#REF!,0)</f>
        <v>0</v>
      </c>
      <c r="G83" s="588"/>
      <c r="H83" s="588"/>
      <c r="I83" s="588"/>
      <c r="J83" s="588"/>
      <c r="K83" s="588"/>
      <c r="L83" s="588"/>
      <c r="M83" s="588"/>
      <c r="N83" s="588"/>
      <c r="O83" s="588"/>
    </row>
    <row r="84" spans="1:18" ht="14">
      <c r="B84" s="362" t="s">
        <v>92</v>
      </c>
      <c r="C84" s="363">
        <f>SUM(C66:C83)</f>
        <v>0</v>
      </c>
      <c r="D84" s="363">
        <f t="shared" ref="D84" si="38">SUM(D66:D83)</f>
        <v>0</v>
      </c>
      <c r="E84" s="363">
        <f t="shared" ref="E84" si="39">SUM(E66:E83)</f>
        <v>0</v>
      </c>
      <c r="F84" s="363">
        <f t="shared" ref="F84" si="40">SUM(F66:F83)</f>
        <v>0</v>
      </c>
      <c r="G84" s="363">
        <f t="shared" ref="G84" si="41">SUM(G66:G83)</f>
        <v>153066.109501659</v>
      </c>
      <c r="H84" s="363">
        <f t="shared" ref="H84" si="42">SUM(H66:H83)</f>
        <v>156433.8634526995</v>
      </c>
      <c r="I84" s="363">
        <f t="shared" ref="I84" si="43">SUM(I66:I83)</f>
        <v>159972.6397496323</v>
      </c>
      <c r="J84" s="363">
        <f t="shared" ref="J84" si="44">SUM(J66:J83)</f>
        <v>147995.62673190577</v>
      </c>
      <c r="K84" s="363">
        <f t="shared" ref="K84" si="45">SUM(K66:K83)</f>
        <v>158395.10621779098</v>
      </c>
      <c r="L84" s="363">
        <f t="shared" ref="L84" si="46">SUM(L66:L83)</f>
        <v>159303.33711158784</v>
      </c>
      <c r="M84" s="363">
        <f t="shared" ref="M84" si="47">SUM(M66:M83)</f>
        <v>156263.29814815783</v>
      </c>
      <c r="N84" s="363">
        <f t="shared" ref="N84" si="48">SUM(N66:N83)</f>
        <v>150715.95654383666</v>
      </c>
      <c r="O84" s="363">
        <f>SUM(O66:O83)</f>
        <v>146665.4786637582</v>
      </c>
      <c r="R84">
        <f>O84/O152</f>
        <v>0.12722723811708342</v>
      </c>
    </row>
    <row r="86" spans="1:18" ht="16" thickBot="1">
      <c r="B86" s="356" t="s">
        <v>980</v>
      </c>
    </row>
    <row r="87" spans="1:18" ht="14.5" thickBot="1">
      <c r="B87" s="303"/>
      <c r="C87" s="304">
        <v>2007</v>
      </c>
      <c r="D87" s="305">
        <v>2008</v>
      </c>
      <c r="E87" s="305">
        <v>2009</v>
      </c>
      <c r="F87" s="305">
        <v>2010</v>
      </c>
      <c r="G87" s="305">
        <v>2011</v>
      </c>
      <c r="H87" s="305">
        <v>2012</v>
      </c>
      <c r="I87" s="305">
        <v>2013</v>
      </c>
      <c r="J87" s="305">
        <v>2014</v>
      </c>
      <c r="K87" s="305">
        <v>2015</v>
      </c>
      <c r="L87" s="305">
        <v>2016</v>
      </c>
      <c r="M87" s="306">
        <v>2017</v>
      </c>
      <c r="N87" s="307">
        <v>2018</v>
      </c>
      <c r="O87" s="307">
        <v>2019</v>
      </c>
    </row>
    <row r="88" spans="1:18" ht="14">
      <c r="A88" s="106" t="s">
        <v>265</v>
      </c>
      <c r="B88" s="581" t="s">
        <v>823</v>
      </c>
      <c r="C88" s="475">
        <f>IFERROR('Energy balance'!C5*#REF!,0)</f>
        <v>0</v>
      </c>
      <c r="D88" s="475">
        <f>IFERROR('Energy balance'!D5*#REF!,0)</f>
        <v>0</v>
      </c>
      <c r="E88" s="475">
        <f>IFERROR('Energy balance'!E5*#REF!,0)</f>
        <v>0</v>
      </c>
      <c r="F88" s="588">
        <f>(IFERROR(#REF!,0))+(IFERROR(#REF!,0))</f>
        <v>0</v>
      </c>
      <c r="G88" s="588">
        <f>G135*$P88</f>
        <v>0</v>
      </c>
      <c r="H88" s="588">
        <f t="shared" ref="H88:O88" si="49">H135*$P88</f>
        <v>0</v>
      </c>
      <c r="I88" s="588">
        <f t="shared" si="49"/>
        <v>0</v>
      </c>
      <c r="J88" s="588">
        <f t="shared" si="49"/>
        <v>0</v>
      </c>
      <c r="K88" s="588">
        <f t="shared" si="49"/>
        <v>0</v>
      </c>
      <c r="L88" s="588">
        <f t="shared" si="49"/>
        <v>0</v>
      </c>
      <c r="M88" s="588">
        <f t="shared" si="49"/>
        <v>0</v>
      </c>
      <c r="N88" s="588">
        <f t="shared" si="49"/>
        <v>0</v>
      </c>
      <c r="O88" s="588">
        <f t="shared" si="49"/>
        <v>0</v>
      </c>
      <c r="P88">
        <v>0</v>
      </c>
    </row>
    <row r="89" spans="1:18" ht="14">
      <c r="A89" s="106" t="s">
        <v>265</v>
      </c>
      <c r="B89" s="631" t="s">
        <v>74</v>
      </c>
      <c r="C89" s="476">
        <f>IFERROR('Energy balance'!C6*#REF!,0)</f>
        <v>0</v>
      </c>
      <c r="D89" s="476">
        <f>IFERROR('Energy balance'!D6*#REF!,0)</f>
        <v>0</v>
      </c>
      <c r="E89" s="476">
        <f>IFERROR('Energy balance'!E6*#REF!,0)</f>
        <v>0</v>
      </c>
      <c r="F89" s="587">
        <f>(IFERROR(#REF!,0))+(IFERROR(#REF!,0))</f>
        <v>0</v>
      </c>
      <c r="G89" s="588">
        <f t="shared" ref="G89:O104" si="50">G136*$P89</f>
        <v>0</v>
      </c>
      <c r="H89" s="588">
        <f t="shared" si="50"/>
        <v>0</v>
      </c>
      <c r="I89" s="588">
        <f t="shared" si="50"/>
        <v>0</v>
      </c>
      <c r="J89" s="588">
        <f t="shared" si="50"/>
        <v>0</v>
      </c>
      <c r="K89" s="588">
        <f t="shared" si="50"/>
        <v>0</v>
      </c>
      <c r="L89" s="588">
        <f t="shared" si="50"/>
        <v>0</v>
      </c>
      <c r="M89" s="588">
        <f t="shared" si="50"/>
        <v>0</v>
      </c>
      <c r="N89" s="588">
        <f t="shared" si="50"/>
        <v>0</v>
      </c>
      <c r="O89" s="588">
        <f t="shared" si="50"/>
        <v>0</v>
      </c>
      <c r="P89">
        <v>0</v>
      </c>
    </row>
    <row r="90" spans="1:18" ht="14">
      <c r="A90" s="106" t="s">
        <v>265</v>
      </c>
      <c r="B90" s="631" t="s">
        <v>822</v>
      </c>
      <c r="C90" s="476">
        <f>IFERROR('Energy balance'!C7*#REF!,0)</f>
        <v>0</v>
      </c>
      <c r="D90" s="476">
        <f>IFERROR('Energy balance'!D7*#REF!,0)</f>
        <v>0</v>
      </c>
      <c r="E90" s="476">
        <f>IFERROR('Energy balance'!E7*#REF!,0)</f>
        <v>0</v>
      </c>
      <c r="F90" s="587">
        <f>(IFERROR(#REF!,0))+(IFERROR(#REF!,0))</f>
        <v>0</v>
      </c>
      <c r="G90" s="588">
        <f t="shared" si="50"/>
        <v>0</v>
      </c>
      <c r="H90" s="588">
        <f t="shared" si="50"/>
        <v>0</v>
      </c>
      <c r="I90" s="588">
        <f t="shared" si="50"/>
        <v>0</v>
      </c>
      <c r="J90" s="588">
        <f t="shared" si="50"/>
        <v>0</v>
      </c>
      <c r="K90" s="588">
        <f t="shared" si="50"/>
        <v>0</v>
      </c>
      <c r="L90" s="588">
        <f t="shared" si="50"/>
        <v>0</v>
      </c>
      <c r="M90" s="588">
        <f t="shared" si="50"/>
        <v>0</v>
      </c>
      <c r="N90" s="588">
        <f t="shared" si="50"/>
        <v>0</v>
      </c>
      <c r="O90" s="588">
        <f t="shared" si="50"/>
        <v>0</v>
      </c>
      <c r="P90">
        <v>0</v>
      </c>
    </row>
    <row r="91" spans="1:18" ht="14">
      <c r="A91" s="106" t="s">
        <v>265</v>
      </c>
      <c r="B91" s="631" t="s">
        <v>821</v>
      </c>
      <c r="C91" s="477">
        <f>IFERROR('Energy balance'!C8*#REF!,0)</f>
        <v>0</v>
      </c>
      <c r="D91" s="477">
        <f>IFERROR('Energy balance'!D8*#REF!,0)</f>
        <v>0</v>
      </c>
      <c r="E91" s="477">
        <f>IFERROR('Energy balance'!E8*#REF!,0)</f>
        <v>0</v>
      </c>
      <c r="F91" s="587">
        <f>(IFERROR(#REF!,0))+(IFERROR(#REF!,0))</f>
        <v>0</v>
      </c>
      <c r="G91" s="588">
        <f t="shared" si="50"/>
        <v>0</v>
      </c>
      <c r="H91" s="588">
        <f t="shared" si="50"/>
        <v>0</v>
      </c>
      <c r="I91" s="588">
        <f t="shared" si="50"/>
        <v>0</v>
      </c>
      <c r="J91" s="588">
        <f t="shared" si="50"/>
        <v>0</v>
      </c>
      <c r="K91" s="588">
        <f t="shared" si="50"/>
        <v>0</v>
      </c>
      <c r="L91" s="588">
        <f t="shared" si="50"/>
        <v>0</v>
      </c>
      <c r="M91" s="588">
        <f t="shared" si="50"/>
        <v>0</v>
      </c>
      <c r="N91" s="588">
        <f t="shared" si="50"/>
        <v>0</v>
      </c>
      <c r="O91" s="588">
        <f t="shared" si="50"/>
        <v>0</v>
      </c>
      <c r="P91">
        <v>9.1552939325786151E-3</v>
      </c>
    </row>
    <row r="92" spans="1:18" ht="14">
      <c r="A92" s="106" t="s">
        <v>265</v>
      </c>
      <c r="B92" s="631" t="s">
        <v>191</v>
      </c>
      <c r="C92" s="477">
        <f>IFERROR('Energy balance'!C9*#REF!,0)</f>
        <v>0</v>
      </c>
      <c r="D92" s="477">
        <f>IFERROR('Energy balance'!D9*#REF!,0)</f>
        <v>0</v>
      </c>
      <c r="E92" s="477">
        <f>IFERROR('Energy balance'!E9*#REF!,0)</f>
        <v>0</v>
      </c>
      <c r="F92" s="587">
        <f>(IFERROR(#REF!,0))+(IFERROR(#REF!,0))</f>
        <v>0</v>
      </c>
      <c r="G92" s="588">
        <f t="shared" si="50"/>
        <v>0</v>
      </c>
      <c r="H92" s="588">
        <f t="shared" si="50"/>
        <v>0</v>
      </c>
      <c r="I92" s="588">
        <f t="shared" si="50"/>
        <v>0</v>
      </c>
      <c r="J92" s="588">
        <f t="shared" si="50"/>
        <v>0</v>
      </c>
      <c r="K92" s="588">
        <f t="shared" si="50"/>
        <v>0</v>
      </c>
      <c r="L92" s="588">
        <f t="shared" si="50"/>
        <v>0</v>
      </c>
      <c r="M92" s="588">
        <f t="shared" si="50"/>
        <v>0</v>
      </c>
      <c r="N92" s="588">
        <f t="shared" si="50"/>
        <v>0</v>
      </c>
      <c r="O92" s="588">
        <f t="shared" si="50"/>
        <v>0</v>
      </c>
      <c r="P92">
        <v>1</v>
      </c>
    </row>
    <row r="93" spans="1:18" ht="14">
      <c r="A93" s="106" t="s">
        <v>265</v>
      </c>
      <c r="B93" s="631" t="s">
        <v>820</v>
      </c>
      <c r="C93" s="477">
        <f>IFERROR('Energy balance'!C10*$Q93,0)</f>
        <v>0</v>
      </c>
      <c r="D93" s="477">
        <f>IFERROR('Energy balance'!D10*$Q93,0)</f>
        <v>0</v>
      </c>
      <c r="E93" s="477">
        <f>IFERROR('Energy balance'!E10*$Q93,0)</f>
        <v>0</v>
      </c>
      <c r="F93" s="587">
        <f>(IFERROR(#REF!,0))+(IFERROR(#REF!,0))</f>
        <v>0</v>
      </c>
      <c r="G93" s="588">
        <f t="shared" si="50"/>
        <v>0</v>
      </c>
      <c r="H93" s="588">
        <f t="shared" si="50"/>
        <v>0</v>
      </c>
      <c r="I93" s="588">
        <f t="shared" si="50"/>
        <v>0</v>
      </c>
      <c r="J93" s="588">
        <f t="shared" si="50"/>
        <v>0</v>
      </c>
      <c r="K93" s="588">
        <f t="shared" si="50"/>
        <v>0</v>
      </c>
      <c r="L93" s="588">
        <f t="shared" si="50"/>
        <v>0</v>
      </c>
      <c r="M93" s="588">
        <f t="shared" si="50"/>
        <v>0</v>
      </c>
      <c r="N93" s="588">
        <f t="shared" si="50"/>
        <v>0</v>
      </c>
      <c r="O93" s="588">
        <f t="shared" si="50"/>
        <v>0</v>
      </c>
      <c r="P93">
        <v>0</v>
      </c>
      <c r="Q93" s="106"/>
    </row>
    <row r="94" spans="1:18" ht="14">
      <c r="A94" s="106" t="s">
        <v>265</v>
      </c>
      <c r="B94" s="631" t="s">
        <v>818</v>
      </c>
      <c r="C94" s="477">
        <f>IFERROR('Energy balance'!C11*$Q94,0)</f>
        <v>0</v>
      </c>
      <c r="D94" s="477">
        <f>IFERROR('Energy balance'!D11*$Q94,0)</f>
        <v>0</v>
      </c>
      <c r="E94" s="477">
        <f>IFERROR('Energy balance'!E11*$Q94,0)</f>
        <v>0</v>
      </c>
      <c r="F94" s="587">
        <f>(IFERROR(#REF!,0))+(IFERROR(#REF!,0))</f>
        <v>0</v>
      </c>
      <c r="G94" s="588">
        <f t="shared" si="50"/>
        <v>0</v>
      </c>
      <c r="H94" s="588">
        <f t="shared" si="50"/>
        <v>0</v>
      </c>
      <c r="I94" s="588">
        <f t="shared" si="50"/>
        <v>0</v>
      </c>
      <c r="J94" s="588">
        <f t="shared" si="50"/>
        <v>0</v>
      </c>
      <c r="K94" s="588">
        <f t="shared" si="50"/>
        <v>0</v>
      </c>
      <c r="L94" s="588">
        <f t="shared" si="50"/>
        <v>0</v>
      </c>
      <c r="M94" s="588">
        <f t="shared" si="50"/>
        <v>0</v>
      </c>
      <c r="N94" s="588">
        <f t="shared" si="50"/>
        <v>0</v>
      </c>
      <c r="O94" s="588">
        <f t="shared" si="50"/>
        <v>0</v>
      </c>
      <c r="P94">
        <v>0</v>
      </c>
      <c r="Q94" s="106"/>
    </row>
    <row r="95" spans="1:18" ht="14">
      <c r="A95" s="106" t="s">
        <v>265</v>
      </c>
      <c r="B95" s="631" t="s">
        <v>817</v>
      </c>
      <c r="C95" s="477">
        <f>IFERROR('Energy balance'!C12*$Q95,0)</f>
        <v>0</v>
      </c>
      <c r="D95" s="477">
        <f>IFERROR('Energy balance'!D12*$Q95,0)</f>
        <v>0</v>
      </c>
      <c r="E95" s="477">
        <f>IFERROR('Energy balance'!E12*$Q95,0)</f>
        <v>0</v>
      </c>
      <c r="F95" s="587">
        <f>(IFERROR(#REF!,0))+(IFERROR(#REF!,0))</f>
        <v>0</v>
      </c>
      <c r="G95" s="588">
        <f t="shared" si="50"/>
        <v>0</v>
      </c>
      <c r="H95" s="588">
        <f t="shared" si="50"/>
        <v>0</v>
      </c>
      <c r="I95" s="588">
        <f t="shared" si="50"/>
        <v>0</v>
      </c>
      <c r="J95" s="588">
        <f t="shared" si="50"/>
        <v>0</v>
      </c>
      <c r="K95" s="588">
        <f t="shared" si="50"/>
        <v>0</v>
      </c>
      <c r="L95" s="588">
        <f t="shared" si="50"/>
        <v>0</v>
      </c>
      <c r="M95" s="588">
        <f t="shared" si="50"/>
        <v>0</v>
      </c>
      <c r="N95" s="588">
        <f t="shared" si="50"/>
        <v>0</v>
      </c>
      <c r="O95" s="588">
        <f t="shared" si="50"/>
        <v>0</v>
      </c>
      <c r="P95">
        <v>0</v>
      </c>
      <c r="Q95" s="106"/>
    </row>
    <row r="96" spans="1:18" ht="14">
      <c r="A96" s="106" t="s">
        <v>265</v>
      </c>
      <c r="B96" s="631" t="s">
        <v>816</v>
      </c>
      <c r="C96" s="476">
        <f>IFERROR('Energy balance'!C13*$Q96,0)</f>
        <v>0</v>
      </c>
      <c r="D96" s="476">
        <f>IFERROR('Energy balance'!D13*$Q96,0)</f>
        <v>0</v>
      </c>
      <c r="E96" s="476">
        <f>IFERROR('Energy balance'!E13*$Q96,0)</f>
        <v>0</v>
      </c>
      <c r="F96" s="587">
        <f>(IFERROR(#REF!,0))+(IFERROR(#REF!,0))</f>
        <v>0</v>
      </c>
      <c r="G96" s="588">
        <f t="shared" si="50"/>
        <v>0</v>
      </c>
      <c r="H96" s="588">
        <f t="shared" si="50"/>
        <v>0</v>
      </c>
      <c r="I96" s="588">
        <f t="shared" si="50"/>
        <v>0</v>
      </c>
      <c r="J96" s="588">
        <f t="shared" si="50"/>
        <v>0</v>
      </c>
      <c r="K96" s="588">
        <f t="shared" si="50"/>
        <v>0</v>
      </c>
      <c r="L96" s="588">
        <f t="shared" si="50"/>
        <v>0</v>
      </c>
      <c r="M96" s="588">
        <f t="shared" si="50"/>
        <v>0</v>
      </c>
      <c r="N96" s="588">
        <f t="shared" si="50"/>
        <v>0</v>
      </c>
      <c r="O96" s="588">
        <f t="shared" si="50"/>
        <v>0</v>
      </c>
      <c r="P96">
        <v>0</v>
      </c>
      <c r="Q96" s="106"/>
    </row>
    <row r="97" spans="1:18" ht="14">
      <c r="A97" s="106" t="s">
        <v>265</v>
      </c>
      <c r="B97" s="631" t="s">
        <v>815</v>
      </c>
      <c r="C97" s="476">
        <f>IFERROR('Energy balance'!C14*$Q97,0)</f>
        <v>0</v>
      </c>
      <c r="D97" s="476">
        <f>IFERROR('Energy balance'!D14*$Q97,0)</f>
        <v>0</v>
      </c>
      <c r="E97" s="476">
        <f>IFERROR('Energy balance'!E14*$Q97,0)</f>
        <v>0</v>
      </c>
      <c r="F97" s="587">
        <f>(IFERROR(#REF!,0))+(IFERROR(#REF!,0))</f>
        <v>0</v>
      </c>
      <c r="G97" s="588">
        <f t="shared" si="50"/>
        <v>0</v>
      </c>
      <c r="H97" s="588">
        <f t="shared" si="50"/>
        <v>0</v>
      </c>
      <c r="I97" s="588">
        <f t="shared" si="50"/>
        <v>0</v>
      </c>
      <c r="J97" s="588">
        <f t="shared" si="50"/>
        <v>0</v>
      </c>
      <c r="K97" s="588">
        <f t="shared" si="50"/>
        <v>0</v>
      </c>
      <c r="L97" s="588">
        <f t="shared" si="50"/>
        <v>0</v>
      </c>
      <c r="M97" s="588">
        <f t="shared" si="50"/>
        <v>0</v>
      </c>
      <c r="N97" s="588">
        <f t="shared" si="50"/>
        <v>0</v>
      </c>
      <c r="O97" s="588">
        <f t="shared" si="50"/>
        <v>0</v>
      </c>
      <c r="P97">
        <v>0</v>
      </c>
      <c r="Q97" s="106"/>
    </row>
    <row r="98" spans="1:18" ht="14">
      <c r="A98" s="106" t="s">
        <v>265</v>
      </c>
      <c r="B98" s="631" t="s">
        <v>73</v>
      </c>
      <c r="C98" s="476">
        <f>IFERROR('Energy balance'!C15*$Q98,0)</f>
        <v>0</v>
      </c>
      <c r="D98" s="476">
        <f>IFERROR('Energy balance'!D15*$Q98,0)</f>
        <v>0</v>
      </c>
      <c r="E98" s="476">
        <f>IFERROR('Energy balance'!E15*$Q98,0)</f>
        <v>0</v>
      </c>
      <c r="F98" s="587">
        <f>(IFERROR(#REF!,0))+(IFERROR(#REF!,0))</f>
        <v>0</v>
      </c>
      <c r="G98" s="588">
        <f t="shared" si="50"/>
        <v>251061.69229340029</v>
      </c>
      <c r="H98" s="588">
        <f t="shared" si="50"/>
        <v>256410.56288178259</v>
      </c>
      <c r="I98" s="588">
        <f t="shared" si="50"/>
        <v>261663.65479571724</v>
      </c>
      <c r="J98" s="588">
        <f t="shared" si="50"/>
        <v>242237.16096112086</v>
      </c>
      <c r="K98" s="588">
        <f t="shared" si="50"/>
        <v>259221.29859730302</v>
      </c>
      <c r="L98" s="588">
        <f t="shared" si="50"/>
        <v>260785.06964741892</v>
      </c>
      <c r="M98" s="588">
        <f t="shared" si="50"/>
        <v>255572.49948036595</v>
      </c>
      <c r="N98" s="588">
        <f t="shared" si="50"/>
        <v>245838.07074083414</v>
      </c>
      <c r="O98" s="588">
        <f t="shared" si="50"/>
        <v>239398.79678181748</v>
      </c>
      <c r="P98">
        <v>0.51163821820307964</v>
      </c>
      <c r="Q98" s="106"/>
    </row>
    <row r="99" spans="1:18" ht="14">
      <c r="A99" s="106" t="s">
        <v>265</v>
      </c>
      <c r="B99" s="631" t="s">
        <v>198</v>
      </c>
      <c r="C99" s="476">
        <f>IFERROR('Energy balance'!C16*$Q99,0)</f>
        <v>0</v>
      </c>
      <c r="D99" s="476">
        <f>IFERROR('Energy balance'!D16*$Q99,0)</f>
        <v>0</v>
      </c>
      <c r="E99" s="476">
        <f>IFERROR('Energy balance'!E16*$Q99,0)</f>
        <v>0</v>
      </c>
      <c r="F99" s="587">
        <f>(IFERROR(#REF!,0))+(IFERROR(#REF!,0))</f>
        <v>0</v>
      </c>
      <c r="G99" s="588">
        <f t="shared" si="50"/>
        <v>0</v>
      </c>
      <c r="H99" s="588">
        <f t="shared" si="50"/>
        <v>0</v>
      </c>
      <c r="I99" s="588">
        <f t="shared" si="50"/>
        <v>0</v>
      </c>
      <c r="J99" s="588">
        <f t="shared" si="50"/>
        <v>0</v>
      </c>
      <c r="K99" s="588">
        <f t="shared" si="50"/>
        <v>0</v>
      </c>
      <c r="L99" s="588">
        <f t="shared" si="50"/>
        <v>0</v>
      </c>
      <c r="M99" s="588">
        <f t="shared" si="50"/>
        <v>0</v>
      </c>
      <c r="N99" s="588">
        <f t="shared" si="50"/>
        <v>0</v>
      </c>
      <c r="O99" s="588">
        <f t="shared" si="50"/>
        <v>0</v>
      </c>
      <c r="P99">
        <v>0</v>
      </c>
      <c r="Q99" s="106"/>
    </row>
    <row r="100" spans="1:18" ht="14">
      <c r="A100" s="106" t="s">
        <v>265</v>
      </c>
      <c r="B100" s="632" t="s">
        <v>842</v>
      </c>
      <c r="C100" s="476">
        <f>IFERROR('Energy balance'!C17*$Q100,0)</f>
        <v>0</v>
      </c>
      <c r="D100" s="476">
        <f>IFERROR('Energy balance'!D17*$Q100,0)</f>
        <v>0</v>
      </c>
      <c r="E100" s="476">
        <f>IFERROR('Energy balance'!E17*$Q100,0)</f>
        <v>0</v>
      </c>
      <c r="F100" s="587">
        <f>(IFERROR(#REF!,0))+(IFERROR(#REF!,0))</f>
        <v>0</v>
      </c>
      <c r="G100" s="588">
        <f t="shared" si="50"/>
        <v>0</v>
      </c>
      <c r="H100" s="588">
        <f t="shared" si="50"/>
        <v>0</v>
      </c>
      <c r="I100" s="588">
        <f t="shared" si="50"/>
        <v>0</v>
      </c>
      <c r="J100" s="588">
        <f t="shared" si="50"/>
        <v>0</v>
      </c>
      <c r="K100" s="588">
        <f t="shared" si="50"/>
        <v>0</v>
      </c>
      <c r="L100" s="588">
        <f t="shared" si="50"/>
        <v>0</v>
      </c>
      <c r="M100" s="588">
        <f t="shared" si="50"/>
        <v>0</v>
      </c>
      <c r="N100" s="588">
        <f t="shared" si="50"/>
        <v>0</v>
      </c>
      <c r="O100" s="588">
        <f t="shared" si="50"/>
        <v>0</v>
      </c>
      <c r="P100">
        <v>5.0249711401164597E-3</v>
      </c>
      <c r="Q100" s="106"/>
    </row>
    <row r="101" spans="1:18" ht="14">
      <c r="A101" s="106" t="s">
        <v>265</v>
      </c>
      <c r="B101" s="632" t="s">
        <v>843</v>
      </c>
      <c r="C101" s="476">
        <f>IFERROR('Energy balance'!C18*$Q101,0)</f>
        <v>0</v>
      </c>
      <c r="D101" s="476">
        <f>IFERROR('Energy balance'!D18*$Q101,0)</f>
        <v>0</v>
      </c>
      <c r="E101" s="477">
        <f>IFERROR('Energy balance'!E18*$Q101,0)</f>
        <v>0</v>
      </c>
      <c r="F101" s="477">
        <f>SUM(F91:F93)</f>
        <v>0</v>
      </c>
      <c r="G101" s="588">
        <f t="shared" si="50"/>
        <v>0</v>
      </c>
      <c r="H101" s="588">
        <f t="shared" si="50"/>
        <v>0</v>
      </c>
      <c r="I101" s="588">
        <f t="shared" si="50"/>
        <v>0</v>
      </c>
      <c r="J101" s="588">
        <f t="shared" si="50"/>
        <v>0</v>
      </c>
      <c r="K101" s="588">
        <f t="shared" si="50"/>
        <v>0</v>
      </c>
      <c r="L101" s="588">
        <f t="shared" si="50"/>
        <v>0</v>
      </c>
      <c r="M101" s="588">
        <f t="shared" si="50"/>
        <v>0</v>
      </c>
      <c r="N101" s="588">
        <f t="shared" si="50"/>
        <v>0</v>
      </c>
      <c r="O101" s="588">
        <f t="shared" si="50"/>
        <v>0</v>
      </c>
      <c r="P101">
        <v>0</v>
      </c>
      <c r="Q101" s="106"/>
    </row>
    <row r="102" spans="1:18" ht="14">
      <c r="A102" s="106" t="s">
        <v>265</v>
      </c>
      <c r="B102" s="631" t="s">
        <v>819</v>
      </c>
      <c r="C102" s="476">
        <f>IFERROR('Energy balance'!C19*$Q102,0)</f>
        <v>0</v>
      </c>
      <c r="D102" s="476">
        <f>IFERROR('Energy balance'!D19*$Q102,0)</f>
        <v>0</v>
      </c>
      <c r="E102" s="476">
        <f>IFERROR('Energy balance'!E19*$Q102,0)</f>
        <v>0</v>
      </c>
      <c r="F102" s="476">
        <f>IFERROR('Energy balance'!F19*$Q102,0)</f>
        <v>0</v>
      </c>
      <c r="G102" s="588">
        <f t="shared" si="50"/>
        <v>0</v>
      </c>
      <c r="H102" s="588">
        <f t="shared" si="50"/>
        <v>0</v>
      </c>
      <c r="I102" s="588">
        <f t="shared" si="50"/>
        <v>0</v>
      </c>
      <c r="J102" s="588">
        <f t="shared" si="50"/>
        <v>0</v>
      </c>
      <c r="K102" s="588">
        <f t="shared" si="50"/>
        <v>0</v>
      </c>
      <c r="L102" s="588">
        <f t="shared" si="50"/>
        <v>0</v>
      </c>
      <c r="M102" s="588">
        <f t="shared" si="50"/>
        <v>0</v>
      </c>
      <c r="N102" s="588">
        <f t="shared" si="50"/>
        <v>0</v>
      </c>
      <c r="O102" s="588">
        <f t="shared" si="50"/>
        <v>0</v>
      </c>
      <c r="P102">
        <v>0</v>
      </c>
      <c r="Q102" s="106"/>
    </row>
    <row r="103" spans="1:18" ht="14">
      <c r="A103" s="106" t="s">
        <v>265</v>
      </c>
      <c r="B103" s="581" t="s">
        <v>891</v>
      </c>
      <c r="C103" s="478">
        <f>IFERROR('Energy balance'!C20*$Q103,0)</f>
        <v>0</v>
      </c>
      <c r="D103" s="476">
        <f>IFERROR('Energy balance'!D20*$Q103,0)</f>
        <v>0</v>
      </c>
      <c r="E103" s="476">
        <f>IFERROR('Energy balance'!E20*$Q103,0)</f>
        <v>0</v>
      </c>
      <c r="F103" s="476">
        <f>IFERROR('Energy balance'!F20*$Q103,0)</f>
        <v>0</v>
      </c>
      <c r="G103" s="588">
        <f t="shared" si="50"/>
        <v>0</v>
      </c>
      <c r="H103" s="588">
        <f t="shared" si="50"/>
        <v>0</v>
      </c>
      <c r="I103" s="588">
        <f t="shared" si="50"/>
        <v>0</v>
      </c>
      <c r="J103" s="588">
        <f t="shared" si="50"/>
        <v>0</v>
      </c>
      <c r="K103" s="588">
        <f t="shared" si="50"/>
        <v>0</v>
      </c>
      <c r="L103" s="588">
        <f t="shared" si="50"/>
        <v>0</v>
      </c>
      <c r="M103" s="588">
        <f t="shared" si="50"/>
        <v>0</v>
      </c>
      <c r="N103" s="588">
        <f t="shared" si="50"/>
        <v>0</v>
      </c>
      <c r="O103" s="588">
        <f t="shared" si="50"/>
        <v>0</v>
      </c>
      <c r="Q103" s="360"/>
    </row>
    <row r="104" spans="1:18" ht="14">
      <c r="A104" s="106" t="s">
        <v>265</v>
      </c>
      <c r="B104" s="581" t="s">
        <v>922</v>
      </c>
      <c r="C104" s="476">
        <f>IFERROR('Energy balance'!C21*$Q104,0)</f>
        <v>0</v>
      </c>
      <c r="D104" s="476">
        <f>IFERROR('Energy balance'!D21*$Q104,0)</f>
        <v>0</v>
      </c>
      <c r="E104" s="477">
        <f>IFERROR('Energy balance'!E21*$Q104,0)</f>
        <v>0</v>
      </c>
      <c r="F104" s="477">
        <f>IFERROR('Energy balance'!F21*$Q104,0)</f>
        <v>0</v>
      </c>
      <c r="G104" s="588">
        <f t="shared" si="50"/>
        <v>0</v>
      </c>
      <c r="H104" s="588">
        <f t="shared" si="50"/>
        <v>0</v>
      </c>
      <c r="I104" s="588">
        <f t="shared" si="50"/>
        <v>0</v>
      </c>
      <c r="J104" s="588">
        <f t="shared" si="50"/>
        <v>0</v>
      </c>
      <c r="K104" s="588">
        <f t="shared" si="50"/>
        <v>0</v>
      </c>
      <c r="L104" s="588">
        <f t="shared" si="50"/>
        <v>0</v>
      </c>
      <c r="M104" s="588">
        <f t="shared" si="50"/>
        <v>0</v>
      </c>
      <c r="N104" s="588">
        <f t="shared" si="50"/>
        <v>0</v>
      </c>
      <c r="O104" s="588">
        <f t="shared" si="50"/>
        <v>0</v>
      </c>
      <c r="Q104" s="106"/>
    </row>
    <row r="105" spans="1:18" ht="14.5" thickBot="1">
      <c r="A105" s="106" t="s">
        <v>265</v>
      </c>
      <c r="B105" s="326"/>
      <c r="C105" s="479">
        <f>IFERROR('Energy balance'!C22*$Q105,0)</f>
        <v>0</v>
      </c>
      <c r="D105" s="479">
        <f>IFERROR('Energy balance'!D22*$Q105,0)</f>
        <v>0</v>
      </c>
      <c r="E105" s="479">
        <f>IFERROR('Energy balance'!E22*$Q105,0)</f>
        <v>0</v>
      </c>
      <c r="F105" s="479">
        <f>IFERROR('Energy balance'!F22*$Q105,0)</f>
        <v>0</v>
      </c>
      <c r="G105" s="479">
        <f>IFERROR('Energy balance'!G22*$Q105,0)</f>
        <v>0</v>
      </c>
      <c r="H105" s="479">
        <f>IFERROR('Energy balance'!H22*$Q105,0)</f>
        <v>0</v>
      </c>
      <c r="I105" s="479">
        <f>IFERROR('Energy balance'!I22*$Q105,0)</f>
        <v>0</v>
      </c>
      <c r="J105" s="479">
        <f>IFERROR('Energy balance'!J22*$Q105,0)</f>
        <v>0</v>
      </c>
      <c r="K105" s="479">
        <f>IFERROR('Energy balance'!K22*$Q105,0)</f>
        <v>0</v>
      </c>
      <c r="L105" s="479">
        <f>IFERROR('Energy balance'!L22*$Q105,0)</f>
        <v>0</v>
      </c>
      <c r="M105" s="479">
        <f>IFERROR('Energy balance'!M22*$Q105,0)</f>
        <v>0</v>
      </c>
      <c r="N105" s="479">
        <f>IFERROR('Energy balance'!N22*$Q105,0)</f>
        <v>0</v>
      </c>
      <c r="O105" s="479">
        <f>IFERROR('Energy balance'!O22*$Q105,0)</f>
        <v>0</v>
      </c>
      <c r="Q105" s="106"/>
    </row>
    <row r="106" spans="1:18" ht="14">
      <c r="A106" s="106" t="s">
        <v>265</v>
      </c>
      <c r="B106" s="362" t="s">
        <v>92</v>
      </c>
      <c r="C106" s="363">
        <f>SUM(C88:C105)</f>
        <v>0</v>
      </c>
      <c r="D106" s="363">
        <f t="shared" ref="D106" si="51">SUM(D88:D105)</f>
        <v>0</v>
      </c>
      <c r="E106" s="363">
        <f t="shared" ref="E106" si="52">SUM(E88:E105)</f>
        <v>0</v>
      </c>
      <c r="F106" s="363">
        <f t="shared" ref="F106" si="53">SUM(F88:F105)</f>
        <v>0</v>
      </c>
      <c r="G106" s="363">
        <f t="shared" ref="G106:N106" si="54">SUM(G88:G105)</f>
        <v>251061.69229340029</v>
      </c>
      <c r="H106" s="363">
        <f t="shared" si="54"/>
        <v>256410.56288178259</v>
      </c>
      <c r="I106" s="363">
        <f t="shared" si="54"/>
        <v>261663.65479571724</v>
      </c>
      <c r="J106" s="363">
        <f t="shared" si="54"/>
        <v>242237.16096112086</v>
      </c>
      <c r="K106" s="363">
        <f t="shared" si="54"/>
        <v>259221.29859730302</v>
      </c>
      <c r="L106" s="363">
        <f t="shared" si="54"/>
        <v>260785.06964741892</v>
      </c>
      <c r="M106" s="363">
        <f t="shared" si="54"/>
        <v>255572.49948036595</v>
      </c>
      <c r="N106" s="363">
        <f t="shared" si="54"/>
        <v>245838.07074083414</v>
      </c>
      <c r="O106" s="363">
        <f>SUM(O88:O105)</f>
        <v>239398.79678181748</v>
      </c>
      <c r="R106">
        <f>O106/O152</f>
        <v>0.20767018933563061</v>
      </c>
    </row>
    <row r="108" spans="1:18" ht="16" thickBot="1">
      <c r="B108" s="356" t="s">
        <v>981</v>
      </c>
    </row>
    <row r="109" spans="1:18" ht="14.5" thickBot="1">
      <c r="B109" s="303"/>
      <c r="C109" s="304">
        <v>2007</v>
      </c>
      <c r="D109" s="305">
        <v>2008</v>
      </c>
      <c r="E109" s="305">
        <v>2009</v>
      </c>
      <c r="F109" s="305">
        <v>2010</v>
      </c>
      <c r="G109" s="305">
        <v>2011</v>
      </c>
      <c r="H109" s="305">
        <v>2012</v>
      </c>
      <c r="I109" s="305">
        <v>2013</v>
      </c>
      <c r="J109" s="305">
        <v>2014</v>
      </c>
      <c r="K109" s="305">
        <v>2015</v>
      </c>
      <c r="L109" s="305">
        <v>2016</v>
      </c>
      <c r="M109" s="306">
        <v>2017</v>
      </c>
      <c r="N109" s="307">
        <v>2018</v>
      </c>
      <c r="O109" s="307">
        <v>2019</v>
      </c>
      <c r="Q109" s="106"/>
    </row>
    <row r="110" spans="1:18" ht="14">
      <c r="A110" s="106" t="s">
        <v>266</v>
      </c>
      <c r="B110" s="581" t="s">
        <v>823</v>
      </c>
      <c r="C110" s="475">
        <f>IFERROR('Energy balance'!C5*#REF!,0)</f>
        <v>0</v>
      </c>
      <c r="D110" s="475">
        <f>IFERROR('Energy balance'!D5*#REF!,0)</f>
        <v>0</v>
      </c>
      <c r="E110" s="475">
        <f>IFERROR('Energy balance'!E5*#REF!,0)</f>
        <v>0</v>
      </c>
      <c r="F110" s="475">
        <f>IFERROR(#REF!,0)</f>
        <v>0</v>
      </c>
      <c r="G110" s="475">
        <f>G135*$P110</f>
        <v>0</v>
      </c>
      <c r="H110" s="475">
        <f t="shared" ref="H110:O110" si="55">H135*$P110</f>
        <v>0</v>
      </c>
      <c r="I110" s="475">
        <f t="shared" si="55"/>
        <v>0</v>
      </c>
      <c r="J110" s="475">
        <f t="shared" si="55"/>
        <v>0</v>
      </c>
      <c r="K110" s="475">
        <f t="shared" si="55"/>
        <v>0</v>
      </c>
      <c r="L110" s="475">
        <f t="shared" si="55"/>
        <v>0</v>
      </c>
      <c r="M110" s="475">
        <f t="shared" si="55"/>
        <v>0</v>
      </c>
      <c r="N110" s="475">
        <f t="shared" si="55"/>
        <v>0</v>
      </c>
      <c r="O110" s="475">
        <f t="shared" si="55"/>
        <v>0</v>
      </c>
      <c r="P110">
        <v>0</v>
      </c>
      <c r="Q110" s="106"/>
    </row>
    <row r="111" spans="1:18" ht="14">
      <c r="A111" s="106" t="s">
        <v>266</v>
      </c>
      <c r="B111" s="631" t="s">
        <v>74</v>
      </c>
      <c r="C111" s="476">
        <f>IFERROR('Energy balance'!C6*#REF!,0)</f>
        <v>0</v>
      </c>
      <c r="D111" s="476">
        <f>IFERROR('Energy balance'!D6*#REF!,0)</f>
        <v>0</v>
      </c>
      <c r="E111" s="476">
        <f>IFERROR('Energy balance'!E6*#REF!,0)</f>
        <v>0</v>
      </c>
      <c r="F111" s="475">
        <f>IFERROR(#REF!,0)</f>
        <v>0</v>
      </c>
      <c r="G111" s="475">
        <f t="shared" ref="G111:O126" si="56">G136*$P111</f>
        <v>0</v>
      </c>
      <c r="H111" s="475">
        <f t="shared" si="56"/>
        <v>0</v>
      </c>
      <c r="I111" s="475">
        <f t="shared" si="56"/>
        <v>0</v>
      </c>
      <c r="J111" s="475">
        <f t="shared" si="56"/>
        <v>0</v>
      </c>
      <c r="K111" s="475">
        <f t="shared" si="56"/>
        <v>0</v>
      </c>
      <c r="L111" s="475">
        <f t="shared" si="56"/>
        <v>0</v>
      </c>
      <c r="M111" s="475">
        <f t="shared" si="56"/>
        <v>0</v>
      </c>
      <c r="N111" s="475">
        <f t="shared" si="56"/>
        <v>0</v>
      </c>
      <c r="O111" s="475">
        <f t="shared" si="56"/>
        <v>0</v>
      </c>
      <c r="P111">
        <v>0</v>
      </c>
      <c r="Q111" s="106"/>
    </row>
    <row r="112" spans="1:18" ht="14">
      <c r="A112" s="106" t="s">
        <v>266</v>
      </c>
      <c r="B112" s="631" t="s">
        <v>822</v>
      </c>
      <c r="C112" s="476">
        <f>IFERROR('Energy balance'!C7*#REF!,0)</f>
        <v>0</v>
      </c>
      <c r="D112" s="476">
        <f>IFERROR('Energy balance'!D7*#REF!,0)</f>
        <v>0</v>
      </c>
      <c r="E112" s="476">
        <f>IFERROR('Energy balance'!E7*#REF!,0)</f>
        <v>0</v>
      </c>
      <c r="F112" s="475">
        <f>IFERROR(#REF!,0)</f>
        <v>0</v>
      </c>
      <c r="G112" s="475">
        <f t="shared" si="56"/>
        <v>0</v>
      </c>
      <c r="H112" s="475">
        <f t="shared" si="56"/>
        <v>0</v>
      </c>
      <c r="I112" s="475">
        <f t="shared" si="56"/>
        <v>0</v>
      </c>
      <c r="J112" s="475">
        <f t="shared" si="56"/>
        <v>0</v>
      </c>
      <c r="K112" s="475">
        <f t="shared" si="56"/>
        <v>0</v>
      </c>
      <c r="L112" s="475">
        <f t="shared" si="56"/>
        <v>0</v>
      </c>
      <c r="M112" s="475">
        <f t="shared" si="56"/>
        <v>0</v>
      </c>
      <c r="N112" s="475">
        <f t="shared" si="56"/>
        <v>0</v>
      </c>
      <c r="O112" s="475">
        <f t="shared" si="56"/>
        <v>0</v>
      </c>
      <c r="P112">
        <v>0</v>
      </c>
      <c r="Q112" s="106"/>
    </row>
    <row r="113" spans="1:17" ht="14">
      <c r="A113" s="106" t="s">
        <v>266</v>
      </c>
      <c r="B113" s="631" t="s">
        <v>821</v>
      </c>
      <c r="C113" s="477">
        <f>IFERROR('Energy balance'!C8*#REF!,0)</f>
        <v>0</v>
      </c>
      <c r="D113" s="477">
        <f>IFERROR('Energy balance'!D8*#REF!,0)</f>
        <v>0</v>
      </c>
      <c r="E113" s="477">
        <f>IFERROR('Energy balance'!E8*#REF!,0)</f>
        <v>0</v>
      </c>
      <c r="F113" s="475">
        <f>IFERROR(#REF!,0)</f>
        <v>0</v>
      </c>
      <c r="G113" s="475">
        <f t="shared" si="56"/>
        <v>0</v>
      </c>
      <c r="H113" s="475">
        <f t="shared" si="56"/>
        <v>0</v>
      </c>
      <c r="I113" s="475">
        <f t="shared" si="56"/>
        <v>0</v>
      </c>
      <c r="J113" s="475">
        <f t="shared" si="56"/>
        <v>0</v>
      </c>
      <c r="K113" s="475">
        <f t="shared" si="56"/>
        <v>0</v>
      </c>
      <c r="L113" s="475">
        <f t="shared" si="56"/>
        <v>0</v>
      </c>
      <c r="M113" s="475">
        <f t="shared" si="56"/>
        <v>0</v>
      </c>
      <c r="N113" s="475">
        <f t="shared" si="56"/>
        <v>0</v>
      </c>
      <c r="O113" s="475">
        <f t="shared" si="56"/>
        <v>0</v>
      </c>
      <c r="P113">
        <v>0</v>
      </c>
      <c r="Q113" s="106"/>
    </row>
    <row r="114" spans="1:17" ht="14">
      <c r="A114" s="106" t="s">
        <v>266</v>
      </c>
      <c r="B114" s="631" t="s">
        <v>191</v>
      </c>
      <c r="C114" s="477">
        <f>IFERROR('Energy balance'!C9*#REF!,0)</f>
        <v>0</v>
      </c>
      <c r="D114" s="477">
        <f>IFERROR('Energy balance'!D9*#REF!,0)</f>
        <v>0</v>
      </c>
      <c r="E114" s="477">
        <f>IFERROR('Energy balance'!E9*#REF!,0)</f>
        <v>0</v>
      </c>
      <c r="F114" s="475">
        <f>IFERROR(#REF!,0)</f>
        <v>0</v>
      </c>
      <c r="G114" s="475">
        <f t="shared" si="56"/>
        <v>0</v>
      </c>
      <c r="H114" s="475">
        <f t="shared" si="56"/>
        <v>0</v>
      </c>
      <c r="I114" s="475">
        <f t="shared" si="56"/>
        <v>0</v>
      </c>
      <c r="J114" s="475">
        <f t="shared" si="56"/>
        <v>0</v>
      </c>
      <c r="K114" s="475">
        <f t="shared" si="56"/>
        <v>0</v>
      </c>
      <c r="L114" s="475">
        <f t="shared" si="56"/>
        <v>0</v>
      </c>
      <c r="M114" s="475">
        <f t="shared" si="56"/>
        <v>0</v>
      </c>
      <c r="N114" s="475">
        <f t="shared" si="56"/>
        <v>0</v>
      </c>
      <c r="O114" s="475">
        <f t="shared" si="56"/>
        <v>0</v>
      </c>
      <c r="P114">
        <v>0</v>
      </c>
      <c r="Q114" s="106"/>
    </row>
    <row r="115" spans="1:17" ht="14">
      <c r="A115" s="106" t="s">
        <v>266</v>
      </c>
      <c r="B115" s="631" t="s">
        <v>820</v>
      </c>
      <c r="C115" s="477">
        <f>IFERROR('Energy balance'!C10*#REF!,0)</f>
        <v>0</v>
      </c>
      <c r="D115" s="477">
        <f>IFERROR('Energy balance'!D10*#REF!,0)</f>
        <v>0</v>
      </c>
      <c r="E115" s="477">
        <f>IFERROR('Energy balance'!E10*#REF!,0)</f>
        <v>0</v>
      </c>
      <c r="F115" s="475">
        <f>IFERROR(#REF!,0)</f>
        <v>0</v>
      </c>
      <c r="G115" s="475">
        <f t="shared" si="56"/>
        <v>0</v>
      </c>
      <c r="H115" s="475">
        <f t="shared" si="56"/>
        <v>0</v>
      </c>
      <c r="I115" s="475">
        <f t="shared" si="56"/>
        <v>0</v>
      </c>
      <c r="J115" s="475">
        <f t="shared" si="56"/>
        <v>0</v>
      </c>
      <c r="K115" s="475">
        <f t="shared" si="56"/>
        <v>0</v>
      </c>
      <c r="L115" s="475">
        <f t="shared" si="56"/>
        <v>0</v>
      </c>
      <c r="M115" s="475">
        <f t="shared" si="56"/>
        <v>0</v>
      </c>
      <c r="N115" s="475">
        <f t="shared" si="56"/>
        <v>0</v>
      </c>
      <c r="O115" s="475">
        <f t="shared" si="56"/>
        <v>0</v>
      </c>
      <c r="P115">
        <v>0</v>
      </c>
      <c r="Q115" s="106"/>
    </row>
    <row r="116" spans="1:17" ht="14">
      <c r="A116" s="106" t="s">
        <v>266</v>
      </c>
      <c r="B116" s="631" t="s">
        <v>818</v>
      </c>
      <c r="C116" s="477">
        <f>IFERROR('Energy balance'!C11*#REF!,0)</f>
        <v>0</v>
      </c>
      <c r="D116" s="477">
        <f>IFERROR('Energy balance'!D11*#REF!,0)</f>
        <v>0</v>
      </c>
      <c r="E116" s="477">
        <f>IFERROR('Energy balance'!E11*#REF!,0)</f>
        <v>0</v>
      </c>
      <c r="F116" s="475">
        <f>IFERROR(#REF!,0)</f>
        <v>0</v>
      </c>
      <c r="G116" s="475">
        <f t="shared" si="56"/>
        <v>0</v>
      </c>
      <c r="H116" s="475">
        <f t="shared" si="56"/>
        <v>0</v>
      </c>
      <c r="I116" s="475">
        <f t="shared" si="56"/>
        <v>0</v>
      </c>
      <c r="J116" s="475">
        <f t="shared" si="56"/>
        <v>0</v>
      </c>
      <c r="K116" s="475">
        <f t="shared" si="56"/>
        <v>0</v>
      </c>
      <c r="L116" s="475">
        <f t="shared" si="56"/>
        <v>0</v>
      </c>
      <c r="M116" s="475">
        <f t="shared" si="56"/>
        <v>0</v>
      </c>
      <c r="N116" s="475">
        <f t="shared" si="56"/>
        <v>0</v>
      </c>
      <c r="O116" s="475">
        <f t="shared" si="56"/>
        <v>0</v>
      </c>
      <c r="P116">
        <v>0</v>
      </c>
      <c r="Q116" s="106"/>
    </row>
    <row r="117" spans="1:17" ht="14">
      <c r="A117" s="106" t="s">
        <v>266</v>
      </c>
      <c r="B117" s="631" t="s">
        <v>817</v>
      </c>
      <c r="C117" s="477">
        <f>IFERROR('Energy balance'!C12*#REF!,0)</f>
        <v>0</v>
      </c>
      <c r="D117" s="477">
        <f>IFERROR('Energy balance'!D12*#REF!,0)</f>
        <v>0</v>
      </c>
      <c r="E117" s="477">
        <f>IFERROR('Energy balance'!E12*#REF!,0)</f>
        <v>0</v>
      </c>
      <c r="F117" s="475">
        <f>IFERROR(#REF!,0)</f>
        <v>0</v>
      </c>
      <c r="G117" s="475">
        <f t="shared" si="56"/>
        <v>0</v>
      </c>
      <c r="H117" s="475">
        <f t="shared" si="56"/>
        <v>0</v>
      </c>
      <c r="I117" s="475">
        <f t="shared" si="56"/>
        <v>0</v>
      </c>
      <c r="J117" s="475">
        <f t="shared" si="56"/>
        <v>0</v>
      </c>
      <c r="K117" s="475">
        <f t="shared" si="56"/>
        <v>0</v>
      </c>
      <c r="L117" s="475">
        <f t="shared" si="56"/>
        <v>0</v>
      </c>
      <c r="M117" s="475">
        <f t="shared" si="56"/>
        <v>0</v>
      </c>
      <c r="N117" s="475">
        <f t="shared" si="56"/>
        <v>0</v>
      </c>
      <c r="O117" s="475">
        <f t="shared" si="56"/>
        <v>0</v>
      </c>
      <c r="P117">
        <v>0</v>
      </c>
      <c r="Q117" s="106"/>
    </row>
    <row r="118" spans="1:17" ht="14">
      <c r="A118" s="106" t="s">
        <v>266</v>
      </c>
      <c r="B118" s="631" t="s">
        <v>816</v>
      </c>
      <c r="C118" s="476">
        <f>IFERROR('Energy balance'!C13*#REF!,0)</f>
        <v>0</v>
      </c>
      <c r="D118" s="476">
        <f>IFERROR('Energy balance'!D13*#REF!,0)</f>
        <v>0</v>
      </c>
      <c r="E118" s="476">
        <f>IFERROR('Energy balance'!E13*#REF!,0)</f>
        <v>0</v>
      </c>
      <c r="F118" s="475">
        <f>IFERROR(#REF!,0)</f>
        <v>0</v>
      </c>
      <c r="G118" s="475">
        <f t="shared" si="56"/>
        <v>0</v>
      </c>
      <c r="H118" s="475">
        <f t="shared" si="56"/>
        <v>0</v>
      </c>
      <c r="I118" s="475">
        <f t="shared" si="56"/>
        <v>0</v>
      </c>
      <c r="J118" s="475">
        <f t="shared" si="56"/>
        <v>0</v>
      </c>
      <c r="K118" s="475">
        <f t="shared" si="56"/>
        <v>0</v>
      </c>
      <c r="L118" s="475">
        <f t="shared" si="56"/>
        <v>0</v>
      </c>
      <c r="M118" s="475">
        <f t="shared" si="56"/>
        <v>0</v>
      </c>
      <c r="N118" s="475">
        <f t="shared" si="56"/>
        <v>0</v>
      </c>
      <c r="O118" s="475">
        <f t="shared" si="56"/>
        <v>0</v>
      </c>
      <c r="P118">
        <v>0</v>
      </c>
      <c r="Q118" s="106"/>
    </row>
    <row r="119" spans="1:17" ht="14">
      <c r="A119" s="106" t="s">
        <v>266</v>
      </c>
      <c r="B119" s="631" t="s">
        <v>815</v>
      </c>
      <c r="C119" s="476">
        <f>IFERROR('Energy balance'!C14*#REF!,0)</f>
        <v>0</v>
      </c>
      <c r="D119" s="476">
        <f>IFERROR('Energy balance'!D14*#REF!,0)</f>
        <v>0</v>
      </c>
      <c r="E119" s="476">
        <f>IFERROR('Energy balance'!E14*#REF!,0)</f>
        <v>0</v>
      </c>
      <c r="F119" s="475">
        <f>IFERROR(#REF!,0)</f>
        <v>0</v>
      </c>
      <c r="G119" s="475">
        <f t="shared" si="56"/>
        <v>0</v>
      </c>
      <c r="H119" s="475">
        <f t="shared" si="56"/>
        <v>0</v>
      </c>
      <c r="I119" s="475">
        <f t="shared" si="56"/>
        <v>0</v>
      </c>
      <c r="J119" s="475">
        <f t="shared" si="56"/>
        <v>0</v>
      </c>
      <c r="K119" s="475">
        <f t="shared" si="56"/>
        <v>0</v>
      </c>
      <c r="L119" s="475">
        <f t="shared" si="56"/>
        <v>0</v>
      </c>
      <c r="M119" s="475">
        <f t="shared" si="56"/>
        <v>0</v>
      </c>
      <c r="N119" s="475">
        <f t="shared" si="56"/>
        <v>0</v>
      </c>
      <c r="O119" s="475">
        <f t="shared" si="56"/>
        <v>0</v>
      </c>
      <c r="P119">
        <v>0</v>
      </c>
      <c r="Q119" s="106"/>
    </row>
    <row r="120" spans="1:17" ht="14">
      <c r="A120" s="106" t="s">
        <v>266</v>
      </c>
      <c r="B120" s="631" t="s">
        <v>73</v>
      </c>
      <c r="C120" s="476">
        <f>IFERROR('Energy balance'!C15*#REF!,0)</f>
        <v>0</v>
      </c>
      <c r="D120" s="476">
        <f>IFERROR('Energy balance'!D15*#REF!,0)</f>
        <v>0</v>
      </c>
      <c r="E120" s="476">
        <f>IFERROR('Energy balance'!E15*#REF!,0)</f>
        <v>0</v>
      </c>
      <c r="F120" s="475">
        <f>IFERROR(#REF!,0)</f>
        <v>0</v>
      </c>
      <c r="G120" s="475">
        <f t="shared" si="56"/>
        <v>4895.0503853103846</v>
      </c>
      <c r="H120" s="475">
        <f t="shared" si="56"/>
        <v>4999.3394578306061</v>
      </c>
      <c r="I120" s="475">
        <f t="shared" si="56"/>
        <v>5101.761095167959</v>
      </c>
      <c r="J120" s="475">
        <f t="shared" si="56"/>
        <v>4722.9949629810517</v>
      </c>
      <c r="K120" s="475">
        <f t="shared" si="56"/>
        <v>5054.1414980047994</v>
      </c>
      <c r="L120" s="475">
        <f t="shared" si="56"/>
        <v>5084.6309685866418</v>
      </c>
      <c r="M120" s="475">
        <f t="shared" si="56"/>
        <v>4982.9993999805029</v>
      </c>
      <c r="N120" s="475">
        <f t="shared" si="56"/>
        <v>4793.2033434139148</v>
      </c>
      <c r="O120" s="475">
        <f t="shared" si="56"/>
        <v>4667.6542395810302</v>
      </c>
      <c r="P120">
        <v>9.9756152931035572E-3</v>
      </c>
      <c r="Q120" s="106"/>
    </row>
    <row r="121" spans="1:17" ht="14">
      <c r="A121" s="106" t="s">
        <v>266</v>
      </c>
      <c r="B121" s="631" t="s">
        <v>198</v>
      </c>
      <c r="C121" s="476">
        <f>IFERROR('Energy balance'!C16*#REF!,0)</f>
        <v>0</v>
      </c>
      <c r="D121" s="476">
        <f>IFERROR('Energy balance'!D16*#REF!,0)</f>
        <v>0</v>
      </c>
      <c r="E121" s="476">
        <f>IFERROR('Energy balance'!E16*#REF!,0)</f>
        <v>0</v>
      </c>
      <c r="F121" s="475">
        <f>IFERROR(#REF!,0)</f>
        <v>0</v>
      </c>
      <c r="G121" s="475">
        <f t="shared" si="56"/>
        <v>0</v>
      </c>
      <c r="H121" s="475">
        <f t="shared" si="56"/>
        <v>0</v>
      </c>
      <c r="I121" s="475">
        <f t="shared" si="56"/>
        <v>0</v>
      </c>
      <c r="J121" s="475">
        <f t="shared" si="56"/>
        <v>0</v>
      </c>
      <c r="K121" s="475">
        <f t="shared" si="56"/>
        <v>0</v>
      </c>
      <c r="L121" s="475">
        <f t="shared" si="56"/>
        <v>0</v>
      </c>
      <c r="M121" s="475">
        <f t="shared" si="56"/>
        <v>0</v>
      </c>
      <c r="N121" s="475">
        <f t="shared" si="56"/>
        <v>0</v>
      </c>
      <c r="O121" s="475">
        <f t="shared" si="56"/>
        <v>0</v>
      </c>
      <c r="P121">
        <v>0</v>
      </c>
      <c r="Q121" s="360"/>
    </row>
    <row r="122" spans="1:17" ht="14">
      <c r="A122" s="106" t="s">
        <v>266</v>
      </c>
      <c r="B122" s="632" t="s">
        <v>842</v>
      </c>
      <c r="C122" s="476">
        <f>IFERROR('Energy balance'!C17*#REF!,0)</f>
        <v>0</v>
      </c>
      <c r="D122" s="476">
        <f>IFERROR('Energy balance'!D17*#REF!,0)</f>
        <v>0</v>
      </c>
      <c r="E122" s="476">
        <f>IFERROR('Energy balance'!E17*#REF!,0)</f>
        <v>0</v>
      </c>
      <c r="F122" s="475">
        <f>IFERROR(#REF!,0)</f>
        <v>0</v>
      </c>
      <c r="G122" s="475">
        <f t="shared" si="56"/>
        <v>0</v>
      </c>
      <c r="H122" s="475">
        <f t="shared" si="56"/>
        <v>0</v>
      </c>
      <c r="I122" s="475">
        <f t="shared" si="56"/>
        <v>0</v>
      </c>
      <c r="J122" s="475">
        <f t="shared" si="56"/>
        <v>0</v>
      </c>
      <c r="K122" s="475">
        <f t="shared" si="56"/>
        <v>0</v>
      </c>
      <c r="L122" s="475">
        <f t="shared" si="56"/>
        <v>0</v>
      </c>
      <c r="M122" s="475">
        <f t="shared" si="56"/>
        <v>0</v>
      </c>
      <c r="N122" s="475">
        <f t="shared" si="56"/>
        <v>0</v>
      </c>
      <c r="O122" s="475">
        <f t="shared" si="56"/>
        <v>0</v>
      </c>
      <c r="P122">
        <v>0</v>
      </c>
      <c r="Q122" s="106"/>
    </row>
    <row r="123" spans="1:17" ht="14">
      <c r="A123" s="106" t="s">
        <v>266</v>
      </c>
      <c r="B123" s="632" t="s">
        <v>843</v>
      </c>
      <c r="C123" s="476">
        <f>IFERROR('Energy balance'!C18*#REF!,0)</f>
        <v>0</v>
      </c>
      <c r="D123" s="476">
        <f>IFERROR('Energy balance'!D18*#REF!,0)</f>
        <v>0</v>
      </c>
      <c r="E123" s="477">
        <f>IFERROR('Energy balance'!E18*#REF!,0)</f>
        <v>0</v>
      </c>
      <c r="F123" s="477">
        <f>IFERROR('Energy balance'!F18*#REF!,0)</f>
        <v>0</v>
      </c>
      <c r="G123" s="475">
        <f t="shared" si="56"/>
        <v>0</v>
      </c>
      <c r="H123" s="475">
        <f t="shared" si="56"/>
        <v>0</v>
      </c>
      <c r="I123" s="475">
        <f t="shared" si="56"/>
        <v>0</v>
      </c>
      <c r="J123" s="475">
        <f t="shared" si="56"/>
        <v>0</v>
      </c>
      <c r="K123" s="475">
        <f t="shared" si="56"/>
        <v>0</v>
      </c>
      <c r="L123" s="475">
        <f t="shared" si="56"/>
        <v>0</v>
      </c>
      <c r="M123" s="475">
        <f t="shared" si="56"/>
        <v>0</v>
      </c>
      <c r="N123" s="475">
        <f t="shared" si="56"/>
        <v>0</v>
      </c>
      <c r="O123" s="475">
        <f t="shared" si="56"/>
        <v>0</v>
      </c>
      <c r="P123">
        <v>0</v>
      </c>
      <c r="Q123" s="106"/>
    </row>
    <row r="124" spans="1:17" ht="14">
      <c r="A124" s="106" t="s">
        <v>266</v>
      </c>
      <c r="B124" s="631" t="s">
        <v>819</v>
      </c>
      <c r="C124" s="476">
        <f>IFERROR('Energy balance'!C19*#REF!,0)</f>
        <v>0</v>
      </c>
      <c r="D124" s="476">
        <f>IFERROR('Energy balance'!D19*#REF!,0)</f>
        <v>0</v>
      </c>
      <c r="E124" s="476">
        <f>IFERROR('Energy balance'!E19*#REF!,0)</f>
        <v>0</v>
      </c>
      <c r="F124" s="476">
        <f>IFERROR('Energy balance'!F19*#REF!,0)</f>
        <v>0</v>
      </c>
      <c r="G124" s="475">
        <f t="shared" si="56"/>
        <v>0</v>
      </c>
      <c r="H124" s="475">
        <f t="shared" si="56"/>
        <v>0</v>
      </c>
      <c r="I124" s="475">
        <f t="shared" si="56"/>
        <v>0</v>
      </c>
      <c r="J124" s="475">
        <f t="shared" si="56"/>
        <v>0</v>
      </c>
      <c r="K124" s="475">
        <f t="shared" si="56"/>
        <v>0</v>
      </c>
      <c r="L124" s="475">
        <f t="shared" si="56"/>
        <v>0</v>
      </c>
      <c r="M124" s="475">
        <f t="shared" si="56"/>
        <v>0</v>
      </c>
      <c r="N124" s="475">
        <f t="shared" si="56"/>
        <v>0</v>
      </c>
      <c r="O124" s="475">
        <f t="shared" si="56"/>
        <v>0</v>
      </c>
      <c r="P124">
        <v>0</v>
      </c>
      <c r="Q124" s="106"/>
    </row>
    <row r="125" spans="1:17" ht="14">
      <c r="A125" s="106" t="s">
        <v>266</v>
      </c>
      <c r="B125" s="581" t="s">
        <v>891</v>
      </c>
      <c r="C125" s="478">
        <f>IFERROR('Energy balance'!C20*#REF!,0)</f>
        <v>0</v>
      </c>
      <c r="D125" s="476">
        <f>IFERROR('Energy balance'!D20*#REF!,0)</f>
        <v>0</v>
      </c>
      <c r="E125" s="476">
        <f>IFERROR('Energy balance'!E20*#REF!,0)</f>
        <v>0</v>
      </c>
      <c r="F125" s="476">
        <f>IFERROR('Energy balance'!F20*#REF!,0)</f>
        <v>0</v>
      </c>
      <c r="G125" s="475">
        <f t="shared" si="56"/>
        <v>0</v>
      </c>
      <c r="H125" s="475">
        <f t="shared" si="56"/>
        <v>0</v>
      </c>
      <c r="I125" s="475">
        <f t="shared" si="56"/>
        <v>0</v>
      </c>
      <c r="J125" s="475">
        <f t="shared" si="56"/>
        <v>0</v>
      </c>
      <c r="K125" s="475">
        <f t="shared" si="56"/>
        <v>0</v>
      </c>
      <c r="L125" s="475">
        <f t="shared" si="56"/>
        <v>0</v>
      </c>
      <c r="M125" s="475">
        <f t="shared" si="56"/>
        <v>0</v>
      </c>
      <c r="N125" s="475">
        <f t="shared" si="56"/>
        <v>0</v>
      </c>
      <c r="O125" s="475">
        <f t="shared" si="56"/>
        <v>0</v>
      </c>
      <c r="Q125" s="106"/>
    </row>
    <row r="126" spans="1:17" ht="14">
      <c r="A126" s="106" t="s">
        <v>266</v>
      </c>
      <c r="B126" s="581" t="s">
        <v>922</v>
      </c>
      <c r="C126" s="476">
        <f>IFERROR('Energy balance'!C21*#REF!,0)</f>
        <v>0</v>
      </c>
      <c r="D126" s="476">
        <f>IFERROR('Energy balance'!D21*#REF!,0)</f>
        <v>0</v>
      </c>
      <c r="E126" s="477">
        <f>IFERROR('Energy balance'!E21*#REF!,0)</f>
        <v>0</v>
      </c>
      <c r="F126" s="477">
        <f>IFERROR('Energy balance'!F21*#REF!,0)</f>
        <v>0</v>
      </c>
      <c r="G126" s="475">
        <f t="shared" si="56"/>
        <v>0</v>
      </c>
      <c r="H126" s="475">
        <f t="shared" si="56"/>
        <v>0</v>
      </c>
      <c r="I126" s="475">
        <f t="shared" si="56"/>
        <v>0</v>
      </c>
      <c r="J126" s="475">
        <f t="shared" si="56"/>
        <v>0</v>
      </c>
      <c r="K126" s="475">
        <f t="shared" si="56"/>
        <v>0</v>
      </c>
      <c r="L126" s="475">
        <f t="shared" si="56"/>
        <v>0</v>
      </c>
      <c r="M126" s="475">
        <f t="shared" si="56"/>
        <v>0</v>
      </c>
      <c r="N126" s="475">
        <f t="shared" si="56"/>
        <v>0</v>
      </c>
      <c r="O126" s="475">
        <f t="shared" si="56"/>
        <v>0</v>
      </c>
      <c r="Q126" s="106"/>
    </row>
    <row r="127" spans="1:17" ht="14.5" thickBot="1">
      <c r="A127" s="106" t="s">
        <v>266</v>
      </c>
      <c r="B127" s="326"/>
      <c r="C127" s="479">
        <f>IFERROR('Energy balance'!C22*#REF!,0)</f>
        <v>0</v>
      </c>
      <c r="D127" s="479">
        <f>IFERROR('Energy balance'!D22*#REF!,0)</f>
        <v>0</v>
      </c>
      <c r="E127" s="479">
        <f>IFERROR('Energy balance'!E22*#REF!,0)</f>
        <v>0</v>
      </c>
      <c r="F127" s="479">
        <f>IFERROR('Energy balance'!F22*#REF!,0)</f>
        <v>0</v>
      </c>
      <c r="G127" s="479">
        <f>IFERROR('Energy balance'!G22*#REF!,0)</f>
        <v>0</v>
      </c>
      <c r="H127" s="479">
        <f>IFERROR('Energy balance'!H22*#REF!,0)</f>
        <v>0</v>
      </c>
      <c r="I127" s="479">
        <f>IFERROR('Energy balance'!I22*#REF!,0)</f>
        <v>0</v>
      </c>
      <c r="J127" s="479">
        <f>IFERROR('Energy balance'!J22*#REF!,0)</f>
        <v>0</v>
      </c>
      <c r="K127" s="479">
        <f>IFERROR('Energy balance'!K22*#REF!,0)</f>
        <v>0</v>
      </c>
      <c r="L127" s="479">
        <f>IFERROR('Energy balance'!L22*#REF!,0)</f>
        <v>0</v>
      </c>
      <c r="M127" s="480">
        <f>IFERROR('Energy balance'!M22*#REF!,0)</f>
        <v>0</v>
      </c>
      <c r="N127" s="481">
        <f>IFERROR('Energy balance'!N22*#REF!,0)</f>
        <v>0</v>
      </c>
      <c r="O127" s="481">
        <f>IFERROR('Energy balance'!O22*#REF!,0)</f>
        <v>0</v>
      </c>
      <c r="Q127" s="106"/>
    </row>
    <row r="128" spans="1:17" ht="14">
      <c r="A128" s="106" t="s">
        <v>266</v>
      </c>
      <c r="B128" s="362" t="s">
        <v>92</v>
      </c>
      <c r="C128" s="363">
        <f>SUM(C110:C127)</f>
        <v>0</v>
      </c>
      <c r="D128" s="363">
        <f t="shared" ref="D128" si="57">SUM(D110:D127)</f>
        <v>0</v>
      </c>
      <c r="E128" s="363">
        <f t="shared" ref="E128" si="58">SUM(E110:E127)</f>
        <v>0</v>
      </c>
      <c r="F128" s="363">
        <f t="shared" ref="F128" si="59">SUM(F110:F127)</f>
        <v>0</v>
      </c>
      <c r="G128" s="363">
        <f t="shared" ref="G128" si="60">SUM(G110:G127)</f>
        <v>4895.0503853103846</v>
      </c>
      <c r="H128" s="363">
        <f t="shared" ref="H128" si="61">SUM(H110:H127)</f>
        <v>4999.3394578306061</v>
      </c>
      <c r="I128" s="363">
        <f t="shared" ref="I128" si="62">SUM(I110:I127)</f>
        <v>5101.761095167959</v>
      </c>
      <c r="J128" s="363">
        <f t="shared" ref="J128" si="63">SUM(J110:J127)</f>
        <v>4722.9949629810517</v>
      </c>
      <c r="K128" s="363">
        <f t="shared" ref="K128" si="64">SUM(K110:K127)</f>
        <v>5054.1414980047994</v>
      </c>
      <c r="L128" s="363">
        <f t="shared" ref="L128" si="65">SUM(L110:L127)</f>
        <v>5084.6309685866418</v>
      </c>
      <c r="M128" s="363">
        <f t="shared" ref="M128" si="66">SUM(M110:M127)</f>
        <v>4982.9993999805029</v>
      </c>
      <c r="N128" s="363">
        <f t="shared" ref="N128" si="67">SUM(N110:N127)</f>
        <v>4793.2033434139148</v>
      </c>
      <c r="O128" s="363">
        <f>SUM(O110:O127)</f>
        <v>4667.6542395810302</v>
      </c>
      <c r="Q128" s="106"/>
    </row>
    <row r="129" spans="1:17">
      <c r="Q129" s="106"/>
    </row>
    <row r="130" spans="1:17">
      <c r="Q130" s="106"/>
    </row>
    <row r="131" spans="1:17">
      <c r="Q131" s="360"/>
    </row>
    <row r="132" spans="1:17">
      <c r="Q132" s="106"/>
    </row>
    <row r="133" spans="1:17" ht="16" thickBot="1">
      <c r="B133" s="356" t="s">
        <v>963</v>
      </c>
      <c r="Q133" s="361"/>
    </row>
    <row r="134" spans="1:17" ht="14.5" thickBot="1">
      <c r="B134" s="303"/>
      <c r="C134" s="304">
        <v>2007</v>
      </c>
      <c r="D134" s="305">
        <v>2008</v>
      </c>
      <c r="E134" s="305">
        <v>2009</v>
      </c>
      <c r="F134" s="305">
        <v>2010</v>
      </c>
      <c r="G134" s="305">
        <v>2011</v>
      </c>
      <c r="H134" s="305">
        <v>2012</v>
      </c>
      <c r="I134" s="305">
        <v>2013</v>
      </c>
      <c r="J134" s="305">
        <v>2014</v>
      </c>
      <c r="K134" s="305">
        <v>2015</v>
      </c>
      <c r="L134" s="305">
        <v>2016</v>
      </c>
      <c r="M134" s="306">
        <v>2017</v>
      </c>
      <c r="N134" s="307">
        <v>2018</v>
      </c>
      <c r="O134" s="307">
        <v>2019</v>
      </c>
      <c r="P134" t="s">
        <v>962</v>
      </c>
      <c r="Q134" s="106"/>
    </row>
    <row r="135" spans="1:17" ht="14">
      <c r="A135" s="106" t="s">
        <v>728</v>
      </c>
      <c r="B135" s="581" t="s">
        <v>823</v>
      </c>
      <c r="C135" s="475">
        <v>0</v>
      </c>
      <c r="D135" s="475">
        <v>0</v>
      </c>
      <c r="E135" s="475">
        <v>0</v>
      </c>
      <c r="F135" s="588">
        <v>0</v>
      </c>
      <c r="G135" s="588">
        <v>4046.067</v>
      </c>
      <c r="H135" s="588">
        <v>4315.299</v>
      </c>
      <c r="I135" s="588">
        <v>1912.432</v>
      </c>
      <c r="J135" s="588">
        <v>2233.6880000000001</v>
      </c>
      <c r="K135" s="588">
        <v>7701.82</v>
      </c>
      <c r="L135" s="588">
        <v>1147.6759999999999</v>
      </c>
      <c r="M135" s="588">
        <v>765.21400000000006</v>
      </c>
      <c r="N135" s="588">
        <v>875.53099999999995</v>
      </c>
      <c r="O135" s="588">
        <v>76.988</v>
      </c>
      <c r="P135">
        <v>1</v>
      </c>
    </row>
    <row r="136" spans="1:17" ht="14">
      <c r="A136" s="106" t="s">
        <v>728</v>
      </c>
      <c r="B136" s="631" t="s">
        <v>74</v>
      </c>
      <c r="C136" s="476">
        <v>0</v>
      </c>
      <c r="D136" s="476">
        <v>0</v>
      </c>
      <c r="E136" s="476">
        <v>0</v>
      </c>
      <c r="F136" s="588">
        <v>0</v>
      </c>
      <c r="G136" s="588">
        <v>337533.217</v>
      </c>
      <c r="H136" s="588">
        <v>347106.49099999998</v>
      </c>
      <c r="I136" s="588">
        <v>415918.23100000003</v>
      </c>
      <c r="J136" s="588">
        <v>380386.598</v>
      </c>
      <c r="K136" s="588">
        <v>402781.5</v>
      </c>
      <c r="L136" s="588">
        <v>399958.62</v>
      </c>
      <c r="M136" s="588">
        <v>401073.924</v>
      </c>
      <c r="N136" s="588">
        <v>448516.283</v>
      </c>
      <c r="O136" s="588">
        <v>396403.46399999998</v>
      </c>
      <c r="P136">
        <v>1</v>
      </c>
    </row>
    <row r="137" spans="1:17" ht="14">
      <c r="A137" s="106" t="s">
        <v>728</v>
      </c>
      <c r="B137" s="631" t="s">
        <v>822</v>
      </c>
      <c r="C137" s="476">
        <v>0</v>
      </c>
      <c r="D137" s="476">
        <v>0</v>
      </c>
      <c r="E137" s="476">
        <v>0</v>
      </c>
      <c r="F137" s="588">
        <v>0</v>
      </c>
      <c r="G137" s="588">
        <v>15328.323</v>
      </c>
      <c r="H137" s="588">
        <v>16064.819</v>
      </c>
      <c r="I137" s="588">
        <v>19379.050999999999</v>
      </c>
      <c r="J137" s="588">
        <v>16690.377</v>
      </c>
      <c r="K137" s="588">
        <v>14018.093999999999</v>
      </c>
      <c r="L137" s="588">
        <v>17617.266</v>
      </c>
      <c r="M137" s="588">
        <v>11543.832</v>
      </c>
      <c r="N137" s="588">
        <v>7322.58</v>
      </c>
      <c r="O137" s="588">
        <v>7796.3940000000002</v>
      </c>
      <c r="P137">
        <v>1</v>
      </c>
    </row>
    <row r="138" spans="1:17" ht="14">
      <c r="A138" s="106" t="s">
        <v>728</v>
      </c>
      <c r="B138" s="631" t="s">
        <v>821</v>
      </c>
      <c r="C138" s="477">
        <v>0</v>
      </c>
      <c r="D138" s="477">
        <v>0</v>
      </c>
      <c r="E138" s="477">
        <v>0</v>
      </c>
      <c r="F138" s="588">
        <v>0</v>
      </c>
      <c r="G138" s="588">
        <v>0</v>
      </c>
      <c r="H138" s="588">
        <v>0</v>
      </c>
      <c r="I138" s="588">
        <v>0</v>
      </c>
      <c r="J138" s="588">
        <v>0</v>
      </c>
      <c r="K138" s="588">
        <v>0</v>
      </c>
      <c r="L138" s="588">
        <v>0</v>
      </c>
      <c r="M138" s="588">
        <v>0</v>
      </c>
      <c r="N138" s="588">
        <v>0</v>
      </c>
      <c r="O138" s="588">
        <v>0</v>
      </c>
      <c r="P138">
        <v>1</v>
      </c>
    </row>
    <row r="139" spans="1:17" ht="14">
      <c r="A139" s="106" t="s">
        <v>728</v>
      </c>
      <c r="B139" s="631" t="s">
        <v>191</v>
      </c>
      <c r="C139" s="477">
        <v>0</v>
      </c>
      <c r="D139" s="477">
        <v>0</v>
      </c>
      <c r="E139" s="477">
        <v>0</v>
      </c>
      <c r="F139" s="594">
        <v>0</v>
      </c>
      <c r="G139" s="588">
        <v>0</v>
      </c>
      <c r="H139" s="594">
        <v>0</v>
      </c>
      <c r="I139" s="594">
        <v>0</v>
      </c>
      <c r="J139" s="594">
        <v>0</v>
      </c>
      <c r="K139" s="594">
        <v>0</v>
      </c>
      <c r="L139" s="594">
        <v>0</v>
      </c>
      <c r="M139" s="594">
        <v>0</v>
      </c>
      <c r="N139" s="594">
        <v>0</v>
      </c>
      <c r="O139" s="594">
        <v>0</v>
      </c>
      <c r="P139">
        <v>1</v>
      </c>
    </row>
    <row r="140" spans="1:17" ht="14">
      <c r="A140" s="106" t="s">
        <v>728</v>
      </c>
      <c r="B140" s="631" t="s">
        <v>820</v>
      </c>
      <c r="C140" s="477">
        <v>0</v>
      </c>
      <c r="D140" s="477">
        <v>0</v>
      </c>
      <c r="E140" s="477">
        <v>0</v>
      </c>
      <c r="F140" s="588">
        <v>0</v>
      </c>
      <c r="G140" s="588">
        <v>278587.12200000003</v>
      </c>
      <c r="H140" s="588">
        <v>292252.45299999998</v>
      </c>
      <c r="I140" s="588">
        <v>309497.44900000002</v>
      </c>
      <c r="J140" s="588">
        <v>284424.27</v>
      </c>
      <c r="K140" s="588">
        <v>280027.89299999998</v>
      </c>
      <c r="L140" s="588">
        <v>277928.17100000003</v>
      </c>
      <c r="M140" s="588">
        <v>281391.609</v>
      </c>
      <c r="N140" s="588">
        <v>128291.815</v>
      </c>
      <c r="O140" s="588">
        <v>132226.72399999999</v>
      </c>
      <c r="P140">
        <v>1</v>
      </c>
    </row>
    <row r="141" spans="1:17" ht="14">
      <c r="A141" s="106" t="s">
        <v>728</v>
      </c>
      <c r="B141" s="631" t="s">
        <v>818</v>
      </c>
      <c r="C141" s="477">
        <v>0</v>
      </c>
      <c r="D141" s="477">
        <v>0</v>
      </c>
      <c r="E141" s="477">
        <v>0</v>
      </c>
      <c r="F141" s="588">
        <v>0</v>
      </c>
      <c r="G141" s="588">
        <v>1144</v>
      </c>
      <c r="H141" s="588">
        <v>1141</v>
      </c>
      <c r="I141" s="588">
        <v>1112</v>
      </c>
      <c r="J141" s="588">
        <v>1161</v>
      </c>
      <c r="K141" s="588">
        <v>1211</v>
      </c>
      <c r="L141" s="588">
        <v>1189</v>
      </c>
      <c r="M141" s="588">
        <v>1195</v>
      </c>
      <c r="N141" s="588">
        <v>1335</v>
      </c>
      <c r="O141" s="588">
        <v>1264</v>
      </c>
      <c r="P141">
        <v>1</v>
      </c>
    </row>
    <row r="142" spans="1:17" ht="14">
      <c r="A142" s="106" t="s">
        <v>728</v>
      </c>
      <c r="B142" s="631" t="s">
        <v>817</v>
      </c>
      <c r="C142" s="476">
        <v>0</v>
      </c>
      <c r="D142" s="476">
        <v>0</v>
      </c>
      <c r="E142" s="476">
        <v>0</v>
      </c>
      <c r="F142" s="588">
        <v>0</v>
      </c>
      <c r="G142" s="588">
        <v>1615</v>
      </c>
      <c r="H142" s="588">
        <v>1806</v>
      </c>
      <c r="I142" s="588">
        <v>1999</v>
      </c>
      <c r="J142" s="588">
        <v>2222</v>
      </c>
      <c r="K142" s="588">
        <v>2456</v>
      </c>
      <c r="L142" s="588">
        <v>2809</v>
      </c>
      <c r="M142" s="588">
        <v>3234</v>
      </c>
      <c r="N142" s="588">
        <v>3661</v>
      </c>
      <c r="O142" s="588">
        <v>4184</v>
      </c>
      <c r="P142">
        <v>1</v>
      </c>
    </row>
    <row r="143" spans="1:17" ht="14">
      <c r="A143" s="106" t="s">
        <v>728</v>
      </c>
      <c r="B143" s="631" t="s">
        <v>816</v>
      </c>
      <c r="C143" s="476">
        <v>0</v>
      </c>
      <c r="D143" s="476">
        <v>0</v>
      </c>
      <c r="E143" s="476">
        <v>0</v>
      </c>
      <c r="F143" s="588">
        <v>0</v>
      </c>
      <c r="G143" s="588">
        <v>52106</v>
      </c>
      <c r="H143" s="588">
        <v>57229</v>
      </c>
      <c r="I143" s="588">
        <v>61097</v>
      </c>
      <c r="J143" s="588">
        <v>48199</v>
      </c>
      <c r="K143" s="588">
        <v>55310</v>
      </c>
      <c r="L143" s="588">
        <v>53349</v>
      </c>
      <c r="M143" s="588">
        <v>55547</v>
      </c>
      <c r="N143" s="588">
        <v>62040</v>
      </c>
      <c r="O143" s="588">
        <v>64335</v>
      </c>
      <c r="P143">
        <v>1</v>
      </c>
    </row>
    <row r="144" spans="1:17" ht="14">
      <c r="A144" s="106" t="s">
        <v>728</v>
      </c>
      <c r="B144" s="631" t="s">
        <v>815</v>
      </c>
      <c r="C144" s="476">
        <v>0</v>
      </c>
      <c r="D144" s="476">
        <v>0</v>
      </c>
      <c r="E144" s="476">
        <v>0</v>
      </c>
      <c r="F144" s="588">
        <v>0</v>
      </c>
      <c r="G144" s="588">
        <v>11779</v>
      </c>
      <c r="H144" s="588">
        <v>13095</v>
      </c>
      <c r="I144" s="588">
        <v>13296</v>
      </c>
      <c r="J144" s="588">
        <v>14551</v>
      </c>
      <c r="K144" s="588">
        <v>15683</v>
      </c>
      <c r="L144" s="588">
        <v>16395</v>
      </c>
      <c r="M144" s="588">
        <v>16791</v>
      </c>
      <c r="N144" s="588">
        <v>17268</v>
      </c>
      <c r="O144" s="588">
        <v>16855</v>
      </c>
      <c r="P144">
        <v>1</v>
      </c>
    </row>
    <row r="145" spans="1:17" ht="14">
      <c r="A145" s="106" t="s">
        <v>728</v>
      </c>
      <c r="B145" s="631" t="s">
        <v>73</v>
      </c>
      <c r="C145" s="476">
        <v>0</v>
      </c>
      <c r="D145" s="476">
        <v>0</v>
      </c>
      <c r="E145" s="476">
        <v>0</v>
      </c>
      <c r="F145" s="588">
        <v>0</v>
      </c>
      <c r="G145" s="588">
        <f>Raw_Data!C46</f>
        <v>490701.6</v>
      </c>
      <c r="H145" s="588">
        <f>Raw_Data!D46</f>
        <v>501156</v>
      </c>
      <c r="I145" s="588">
        <f>Raw_Data!E46</f>
        <v>511423.2</v>
      </c>
      <c r="J145" s="588">
        <f>Raw_Data!F46</f>
        <v>473454</v>
      </c>
      <c r="K145" s="588">
        <f>Raw_Data!G46</f>
        <v>506649.59999999998</v>
      </c>
      <c r="L145" s="588">
        <f>Raw_Data!H46</f>
        <v>509706</v>
      </c>
      <c r="M145" s="588">
        <f>Raw_Data!I46</f>
        <v>499518</v>
      </c>
      <c r="N145" s="588">
        <f>Raw_Data!J46</f>
        <v>480492</v>
      </c>
      <c r="O145" s="588">
        <f>Raw_Data!K46</f>
        <v>467906.4</v>
      </c>
      <c r="P145">
        <v>1</v>
      </c>
    </row>
    <row r="146" spans="1:17" ht="14">
      <c r="A146" s="106" t="s">
        <v>728</v>
      </c>
      <c r="B146" s="631" t="s">
        <v>198</v>
      </c>
      <c r="C146" s="476">
        <v>0</v>
      </c>
      <c r="D146" s="476">
        <v>0</v>
      </c>
      <c r="E146" s="476">
        <v>0</v>
      </c>
      <c r="F146" s="588">
        <v>0</v>
      </c>
      <c r="G146" s="588">
        <v>85256</v>
      </c>
      <c r="H146" s="588">
        <v>98281</v>
      </c>
      <c r="I146" s="588">
        <v>60742</v>
      </c>
      <c r="J146" s="588">
        <v>55496</v>
      </c>
      <c r="K146" s="588">
        <v>57843</v>
      </c>
      <c r="L146" s="588">
        <v>45553</v>
      </c>
      <c r="M146" s="588">
        <v>52950</v>
      </c>
      <c r="N146" s="588">
        <v>56031</v>
      </c>
      <c r="O146" s="588">
        <v>58194</v>
      </c>
      <c r="P146">
        <v>1</v>
      </c>
    </row>
    <row r="147" spans="1:17" ht="14">
      <c r="A147" s="106" t="s">
        <v>728</v>
      </c>
      <c r="B147" s="632" t="s">
        <v>842</v>
      </c>
      <c r="C147" s="476">
        <v>0</v>
      </c>
      <c r="D147" s="476">
        <v>0</v>
      </c>
      <c r="E147" s="533">
        <v>0</v>
      </c>
      <c r="F147" s="594">
        <v>0</v>
      </c>
      <c r="G147" s="588">
        <v>0</v>
      </c>
      <c r="H147" s="588">
        <v>0</v>
      </c>
      <c r="I147" s="588">
        <v>0</v>
      </c>
      <c r="J147" s="588">
        <v>0</v>
      </c>
      <c r="K147" s="588">
        <v>0</v>
      </c>
      <c r="L147" s="588">
        <v>0</v>
      </c>
      <c r="M147" s="588">
        <v>0</v>
      </c>
      <c r="N147" s="588">
        <v>0</v>
      </c>
      <c r="O147" s="588">
        <v>0</v>
      </c>
      <c r="P147">
        <v>1</v>
      </c>
    </row>
    <row r="148" spans="1:17" ht="14">
      <c r="A148" s="106" t="s">
        <v>728</v>
      </c>
      <c r="B148" s="632" t="s">
        <v>843</v>
      </c>
      <c r="C148" s="476">
        <v>0</v>
      </c>
      <c r="D148" s="476">
        <v>0</v>
      </c>
      <c r="E148" s="476">
        <v>0</v>
      </c>
      <c r="F148" s="595">
        <v>0</v>
      </c>
      <c r="G148" s="588">
        <f>Raw_Data!C42+Raw_Data!C29</f>
        <v>349312.217</v>
      </c>
      <c r="H148" s="588">
        <f>Raw_Data!D42+Raw_Data!D29</f>
        <v>360201.49099999998</v>
      </c>
      <c r="I148" s="588">
        <f>Raw_Data!E42+Raw_Data!E29</f>
        <v>429214.23100000003</v>
      </c>
      <c r="J148" s="588">
        <f>Raw_Data!F42+Raw_Data!F29</f>
        <v>394937.598</v>
      </c>
      <c r="K148" s="588">
        <f>Raw_Data!G42+Raw_Data!G29</f>
        <v>418464.5</v>
      </c>
      <c r="L148" s="588">
        <f>Raw_Data!H42+Raw_Data!H29</f>
        <v>416353.62</v>
      </c>
      <c r="M148" s="588">
        <f>Raw_Data!I42+Raw_Data!I29</f>
        <v>417864.924</v>
      </c>
      <c r="N148" s="588">
        <f>Raw_Data!J42+Raw_Data!J29</f>
        <v>465784.283</v>
      </c>
      <c r="O148" s="588">
        <f>Raw_Data!K42+Raw_Data!K29</f>
        <v>413258.46399999998</v>
      </c>
      <c r="P148">
        <v>1</v>
      </c>
    </row>
    <row r="149" spans="1:17" ht="14">
      <c r="A149" s="106" t="s">
        <v>728</v>
      </c>
      <c r="B149" s="631" t="s">
        <v>819</v>
      </c>
      <c r="C149" s="477">
        <v>0</v>
      </c>
      <c r="D149" s="477">
        <v>0</v>
      </c>
      <c r="E149" s="477">
        <v>0</v>
      </c>
      <c r="F149" s="588">
        <v>0</v>
      </c>
      <c r="G149" s="588">
        <v>75315.629000000001</v>
      </c>
      <c r="H149" s="588">
        <v>81764.510999999999</v>
      </c>
      <c r="I149" s="588">
        <v>85779.278000000006</v>
      </c>
      <c r="J149" s="588">
        <v>75427.385999999999</v>
      </c>
      <c r="K149" s="588">
        <v>82890.468999999997</v>
      </c>
      <c r="L149" s="588">
        <v>82234.720000000001</v>
      </c>
      <c r="M149" s="588">
        <v>85742.468999999997</v>
      </c>
      <c r="N149" s="588">
        <v>88155.035999999993</v>
      </c>
      <c r="O149" s="588">
        <v>90179.67</v>
      </c>
      <c r="P149">
        <v>1</v>
      </c>
    </row>
    <row r="150" spans="1:17" ht="14">
      <c r="A150" s="106" t="s">
        <v>728</v>
      </c>
      <c r="B150" s="581" t="s">
        <v>891</v>
      </c>
      <c r="C150" s="476">
        <v>0</v>
      </c>
      <c r="D150" s="476">
        <v>0</v>
      </c>
      <c r="E150" s="477">
        <v>0</v>
      </c>
      <c r="F150" s="477">
        <v>0</v>
      </c>
      <c r="G150" s="594">
        <v>1883</v>
      </c>
      <c r="H150" s="594">
        <v>1930</v>
      </c>
      <c r="I150" s="594">
        <v>1994</v>
      </c>
      <c r="J150" s="594">
        <v>2633</v>
      </c>
      <c r="K150" s="594">
        <v>1901</v>
      </c>
      <c r="L150" s="594">
        <v>2083</v>
      </c>
      <c r="M150" s="594">
        <v>2399</v>
      </c>
      <c r="N150" s="594">
        <v>2596</v>
      </c>
      <c r="O150" s="594">
        <v>2330</v>
      </c>
      <c r="P150">
        <v>1</v>
      </c>
    </row>
    <row r="151" spans="1:17" ht="14.5" thickBot="1">
      <c r="A151" s="106" t="s">
        <v>728</v>
      </c>
      <c r="B151" s="581" t="s">
        <v>922</v>
      </c>
      <c r="C151" s="479">
        <v>0</v>
      </c>
      <c r="D151" s="479">
        <v>0</v>
      </c>
      <c r="E151" s="479">
        <v>0</v>
      </c>
      <c r="F151" s="479">
        <v>0</v>
      </c>
      <c r="G151" s="638">
        <v>6718.6289999999999</v>
      </c>
      <c r="H151" s="638">
        <v>6563.5110000000004</v>
      </c>
      <c r="I151" s="638">
        <v>6281.2780000000002</v>
      </c>
      <c r="J151" s="638">
        <v>6661.3860000000004</v>
      </c>
      <c r="K151" s="638">
        <v>6329.4690000000001</v>
      </c>
      <c r="L151" s="638">
        <v>6409.7199999999993</v>
      </c>
      <c r="M151" s="638">
        <v>6576.4690000000001</v>
      </c>
      <c r="N151" s="638">
        <v>1255.0360000000001</v>
      </c>
      <c r="O151" s="638">
        <v>1211.67</v>
      </c>
      <c r="P151">
        <v>1</v>
      </c>
    </row>
    <row r="152" spans="1:17" ht="14">
      <c r="A152" s="106" t="s">
        <v>728</v>
      </c>
      <c r="B152" s="362" t="s">
        <v>92</v>
      </c>
      <c r="C152" s="363">
        <v>0</v>
      </c>
      <c r="D152" s="363">
        <v>0</v>
      </c>
      <c r="E152" s="363">
        <v>0</v>
      </c>
      <c r="F152" s="593">
        <v>0</v>
      </c>
      <c r="G152" s="593">
        <f>G135+G148+G137+G140+G141+G142+G143+G145+G146+G150+G151</f>
        <v>1286697.9579999999</v>
      </c>
      <c r="H152" s="593">
        <f t="shared" ref="H152:O152" si="68">H135+H148+H137+H140+H141+H142+H143+H145+H146+H150+H151</f>
        <v>1340940.5729999999</v>
      </c>
      <c r="I152" s="593">
        <f t="shared" si="68"/>
        <v>1404651.6409999998</v>
      </c>
      <c r="J152" s="593">
        <f t="shared" si="68"/>
        <v>1288112.3189999999</v>
      </c>
      <c r="K152" s="593">
        <f t="shared" si="68"/>
        <v>1351912.3760000002</v>
      </c>
      <c r="L152" s="593">
        <f t="shared" si="68"/>
        <v>1334145.453</v>
      </c>
      <c r="M152" s="593">
        <f t="shared" si="68"/>
        <v>1332985.048</v>
      </c>
      <c r="N152" s="593">
        <f t="shared" si="68"/>
        <v>1209684.2450000001</v>
      </c>
      <c r="O152" s="593">
        <f t="shared" si="68"/>
        <v>1152783.6400000001</v>
      </c>
    </row>
    <row r="153" spans="1:17">
      <c r="G153" s="593"/>
      <c r="O153" s="593"/>
      <c r="Q153" s="363"/>
    </row>
    <row r="154" spans="1:17">
      <c r="G154" s="593"/>
      <c r="H154" s="593"/>
      <c r="I154" s="593"/>
      <c r="J154" s="593"/>
      <c r="K154" s="593"/>
      <c r="L154" s="593"/>
      <c r="M154" s="593"/>
      <c r="N154" s="593"/>
      <c r="O154" s="593"/>
    </row>
    <row r="155" spans="1:17">
      <c r="O155" s="593"/>
    </row>
  </sheetData>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575EB-9FCC-4180-9470-19ED9BA6DB74}">
  <dimension ref="A1:M54"/>
  <sheetViews>
    <sheetView workbookViewId="0">
      <pane xSplit="2" ySplit="8" topLeftCell="C9" activePane="bottomRight" state="frozen"/>
      <selection pane="topRight"/>
      <selection pane="bottomLeft"/>
      <selection pane="bottomRight" activeCell="C31" sqref="C31"/>
    </sheetView>
  </sheetViews>
  <sheetFormatPr defaultColWidth="8.6328125" defaultRowHeight="11.5" customHeight="1"/>
  <cols>
    <col min="1" max="2" width="29.81640625" style="576" customWidth="1"/>
    <col min="3" max="12" width="19.81640625" style="576" customWidth="1"/>
    <col min="13" max="13" width="9.81640625" style="576" bestFit="1" customWidth="1"/>
    <col min="14" max="16384" width="8.6328125" style="576"/>
  </cols>
  <sheetData>
    <row r="1" spans="1:13" ht="14.5">
      <c r="A1" s="577" t="s">
        <v>921</v>
      </c>
    </row>
    <row r="2" spans="1:13" ht="14.5">
      <c r="A2" s="577" t="s">
        <v>920</v>
      </c>
      <c r="B2" s="578" t="s">
        <v>919</v>
      </c>
    </row>
    <row r="3" spans="1:13" ht="14.5">
      <c r="A3" s="577" t="s">
        <v>918</v>
      </c>
      <c r="B3" s="577" t="s">
        <v>917</v>
      </c>
      <c r="C3" s="633"/>
      <c r="D3" s="633"/>
      <c r="E3" s="633"/>
      <c r="F3" s="633"/>
      <c r="G3" s="633"/>
      <c r="H3" s="633"/>
      <c r="I3" s="633"/>
      <c r="J3" s="633"/>
      <c r="K3" s="633"/>
      <c r="L3" s="633"/>
    </row>
    <row r="4" spans="1:13" ht="14.5">
      <c r="A4" s="578" t="s">
        <v>841</v>
      </c>
      <c r="C4" s="577" t="s">
        <v>840</v>
      </c>
    </row>
    <row r="5" spans="1:13" ht="14.5">
      <c r="A5" s="578" t="s">
        <v>839</v>
      </c>
      <c r="C5" s="577" t="s">
        <v>838</v>
      </c>
    </row>
    <row r="6" spans="1:13" ht="14.5">
      <c r="A6" s="655" t="s">
        <v>837</v>
      </c>
      <c r="B6" s="655" t="s">
        <v>837</v>
      </c>
      <c r="C6" s="629" t="s">
        <v>836</v>
      </c>
      <c r="D6" s="629" t="s">
        <v>835</v>
      </c>
      <c r="E6" s="629" t="s">
        <v>834</v>
      </c>
      <c r="F6" s="629" t="s">
        <v>833</v>
      </c>
      <c r="G6" s="629" t="s">
        <v>832</v>
      </c>
      <c r="H6" s="629" t="s">
        <v>831</v>
      </c>
      <c r="I6" s="629" t="s">
        <v>830</v>
      </c>
      <c r="J6" s="629" t="s">
        <v>829</v>
      </c>
      <c r="K6" s="629" t="s">
        <v>828</v>
      </c>
      <c r="L6" s="629" t="s">
        <v>916</v>
      </c>
    </row>
    <row r="7" spans="1:13" ht="14.5">
      <c r="A7" s="655" t="s">
        <v>827</v>
      </c>
      <c r="B7" s="655" t="s">
        <v>827</v>
      </c>
      <c r="C7" s="586" t="s">
        <v>915</v>
      </c>
      <c r="D7" s="586" t="s">
        <v>915</v>
      </c>
      <c r="E7" s="586" t="s">
        <v>915</v>
      </c>
      <c r="F7" s="586" t="s">
        <v>915</v>
      </c>
      <c r="G7" s="586" t="s">
        <v>915</v>
      </c>
      <c r="H7" s="586" t="s">
        <v>915</v>
      </c>
      <c r="I7" s="586" t="s">
        <v>915</v>
      </c>
      <c r="J7" s="586" t="s">
        <v>915</v>
      </c>
      <c r="K7" s="586" t="s">
        <v>915</v>
      </c>
      <c r="L7" s="586" t="s">
        <v>915</v>
      </c>
    </row>
    <row r="8" spans="1:13" ht="14.5">
      <c r="A8" s="585" t="s">
        <v>826</v>
      </c>
      <c r="B8" s="585" t="s">
        <v>825</v>
      </c>
      <c r="C8" s="584" t="s">
        <v>824</v>
      </c>
      <c r="D8" s="584" t="s">
        <v>824</v>
      </c>
      <c r="E8" s="584" t="s">
        <v>824</v>
      </c>
      <c r="F8" s="584" t="s">
        <v>824</v>
      </c>
      <c r="G8" s="584" t="s">
        <v>824</v>
      </c>
      <c r="H8" s="584" t="s">
        <v>824</v>
      </c>
      <c r="I8" s="584" t="s">
        <v>824</v>
      </c>
      <c r="J8" s="584" t="s">
        <v>824</v>
      </c>
      <c r="K8" s="584" t="s">
        <v>824</v>
      </c>
      <c r="L8" s="584" t="s">
        <v>824</v>
      </c>
    </row>
    <row r="9" spans="1:13" ht="14.5">
      <c r="A9" s="581" t="s">
        <v>814</v>
      </c>
      <c r="B9" s="581" t="s">
        <v>92</v>
      </c>
      <c r="C9" s="582">
        <v>1286837.9580000001</v>
      </c>
      <c r="D9" s="582">
        <v>1340940.5730000001</v>
      </c>
      <c r="E9" s="582">
        <v>1404651.6410000001</v>
      </c>
      <c r="F9" s="582">
        <v>1288112.3189999999</v>
      </c>
      <c r="G9" s="582">
        <v>1351912.3759999999</v>
      </c>
      <c r="H9" s="582">
        <v>1334145.453</v>
      </c>
      <c r="I9" s="582">
        <v>1332985.048</v>
      </c>
      <c r="J9" s="582">
        <v>1209684.2450000001</v>
      </c>
      <c r="K9" s="583">
        <v>1152783.6399999999</v>
      </c>
      <c r="L9" s="582">
        <v>1120896.8959999999</v>
      </c>
    </row>
    <row r="10" spans="1:13" ht="14.5">
      <c r="A10" s="591" t="s">
        <v>814</v>
      </c>
      <c r="B10" s="591" t="s">
        <v>914</v>
      </c>
      <c r="C10" s="579">
        <v>4046.067</v>
      </c>
      <c r="D10" s="579">
        <v>4315.299</v>
      </c>
      <c r="E10" s="579">
        <v>1912.432</v>
      </c>
      <c r="F10" s="579">
        <v>2233.6880000000001</v>
      </c>
      <c r="G10" s="580">
        <v>7701.82</v>
      </c>
      <c r="H10" s="579">
        <v>1147.6759999999999</v>
      </c>
      <c r="I10" s="579">
        <v>765.21400000000006</v>
      </c>
      <c r="J10" s="579">
        <v>875.53099999999995</v>
      </c>
      <c r="K10" s="579">
        <v>76.988</v>
      </c>
      <c r="L10" s="579">
        <v>64.100999999999999</v>
      </c>
      <c r="M10" s="634">
        <f>SUM(L10:L12)/L9</f>
        <v>1.1437537248742636E-4</v>
      </c>
    </row>
    <row r="11" spans="1:13" ht="14.5">
      <c r="A11" s="591" t="s">
        <v>814</v>
      </c>
      <c r="B11" s="591" t="s">
        <v>913</v>
      </c>
      <c r="C11" s="583">
        <v>1158.69</v>
      </c>
      <c r="D11" s="583">
        <v>1187.2</v>
      </c>
      <c r="E11" s="583">
        <v>623.28</v>
      </c>
      <c r="F11" s="583">
        <v>861.3</v>
      </c>
      <c r="G11" s="583">
        <v>1336.5</v>
      </c>
      <c r="H11" s="583">
        <v>712.8</v>
      </c>
      <c r="I11" s="583">
        <v>356.4</v>
      </c>
      <c r="J11" s="583">
        <v>445.5</v>
      </c>
      <c r="K11" s="582">
        <v>20.137</v>
      </c>
      <c r="L11" s="583">
        <v>14.88</v>
      </c>
    </row>
    <row r="12" spans="1:13" ht="14.5">
      <c r="A12" s="591" t="s">
        <v>814</v>
      </c>
      <c r="B12" s="591" t="s">
        <v>912</v>
      </c>
      <c r="C12" s="582">
        <v>1312.7940000000001</v>
      </c>
      <c r="D12" s="582">
        <v>1818.9359999999999</v>
      </c>
      <c r="E12" s="582">
        <v>19.617999999999999</v>
      </c>
      <c r="F12" s="582">
        <v>1057.2380000000001</v>
      </c>
      <c r="G12" s="583">
        <v>6250.72</v>
      </c>
      <c r="H12" s="582">
        <v>320.27600000000001</v>
      </c>
      <c r="I12" s="582">
        <v>408.81400000000002</v>
      </c>
      <c r="J12" s="582">
        <v>430.03100000000001</v>
      </c>
      <c r="K12" s="582">
        <v>56.850999999999999</v>
      </c>
      <c r="L12" s="582">
        <v>49.222000000000001</v>
      </c>
    </row>
    <row r="13" spans="1:13" ht="14.5" hidden="1">
      <c r="A13" s="581" t="s">
        <v>814</v>
      </c>
      <c r="B13" s="581" t="s">
        <v>911</v>
      </c>
      <c r="C13" s="580">
        <v>0</v>
      </c>
      <c r="D13" s="580">
        <v>0</v>
      </c>
      <c r="E13" s="580">
        <v>0</v>
      </c>
      <c r="F13" s="580">
        <v>0</v>
      </c>
      <c r="G13" s="580">
        <v>0</v>
      </c>
      <c r="H13" s="580">
        <v>0</v>
      </c>
      <c r="I13" s="580">
        <v>0</v>
      </c>
      <c r="J13" s="580">
        <v>0</v>
      </c>
      <c r="K13" s="580">
        <v>0</v>
      </c>
      <c r="L13" s="580">
        <v>0</v>
      </c>
    </row>
    <row r="14" spans="1:13" ht="14.5" hidden="1">
      <c r="A14" s="581" t="s">
        <v>814</v>
      </c>
      <c r="B14" s="581" t="s">
        <v>910</v>
      </c>
      <c r="C14" s="583">
        <v>0</v>
      </c>
      <c r="D14" s="583">
        <v>0</v>
      </c>
      <c r="E14" s="583">
        <v>0</v>
      </c>
      <c r="F14" s="583">
        <v>0</v>
      </c>
      <c r="G14" s="583">
        <v>0</v>
      </c>
      <c r="H14" s="583">
        <v>0</v>
      </c>
      <c r="I14" s="583">
        <v>0</v>
      </c>
      <c r="J14" s="583">
        <v>0</v>
      </c>
      <c r="K14" s="583">
        <v>0</v>
      </c>
      <c r="L14" s="583">
        <v>0</v>
      </c>
    </row>
    <row r="15" spans="1:13" ht="14.5" hidden="1">
      <c r="A15" s="581" t="s">
        <v>814</v>
      </c>
      <c r="B15" s="581" t="s">
        <v>909</v>
      </c>
      <c r="C15" s="580">
        <v>315.14999999999998</v>
      </c>
      <c r="D15" s="580">
        <v>114.6</v>
      </c>
      <c r="E15" s="580">
        <v>114.6</v>
      </c>
      <c r="F15" s="580">
        <v>315.14999999999998</v>
      </c>
      <c r="G15" s="580">
        <v>114.6</v>
      </c>
      <c r="H15" s="580">
        <v>114.6</v>
      </c>
      <c r="I15" s="580">
        <v>0</v>
      </c>
      <c r="J15" s="580">
        <v>0</v>
      </c>
      <c r="K15" s="580">
        <v>0</v>
      </c>
      <c r="L15" s="580">
        <v>0</v>
      </c>
    </row>
    <row r="16" spans="1:13" ht="14.5" hidden="1">
      <c r="A16" s="581" t="s">
        <v>814</v>
      </c>
      <c r="B16" s="581" t="s">
        <v>908</v>
      </c>
      <c r="C16" s="583">
        <v>0</v>
      </c>
      <c r="D16" s="583">
        <v>0</v>
      </c>
      <c r="E16" s="583">
        <v>0</v>
      </c>
      <c r="F16" s="583">
        <v>0</v>
      </c>
      <c r="G16" s="583">
        <v>0</v>
      </c>
      <c r="H16" s="583">
        <v>0</v>
      </c>
      <c r="I16" s="583">
        <v>0</v>
      </c>
      <c r="J16" s="583">
        <v>0</v>
      </c>
      <c r="K16" s="583">
        <v>0</v>
      </c>
      <c r="L16" s="583">
        <v>0</v>
      </c>
    </row>
    <row r="17" spans="1:12" ht="14.5" hidden="1">
      <c r="A17" s="581" t="s">
        <v>814</v>
      </c>
      <c r="B17" s="581" t="s">
        <v>907</v>
      </c>
      <c r="C17" s="580">
        <v>0</v>
      </c>
      <c r="D17" s="580">
        <v>0</v>
      </c>
      <c r="E17" s="580">
        <v>0</v>
      </c>
      <c r="F17" s="580">
        <v>0</v>
      </c>
      <c r="G17" s="580">
        <v>0</v>
      </c>
      <c r="H17" s="580">
        <v>0</v>
      </c>
      <c r="I17" s="580">
        <v>0</v>
      </c>
      <c r="J17" s="580">
        <v>0</v>
      </c>
      <c r="K17" s="580">
        <v>0</v>
      </c>
      <c r="L17" s="580">
        <v>0</v>
      </c>
    </row>
    <row r="18" spans="1:12" ht="14.5" hidden="1">
      <c r="A18" s="581" t="s">
        <v>814</v>
      </c>
      <c r="B18" s="581" t="s">
        <v>906</v>
      </c>
      <c r="C18" s="582">
        <v>1259.433</v>
      </c>
      <c r="D18" s="582">
        <v>1194.5630000000001</v>
      </c>
      <c r="E18" s="582">
        <v>1154.934</v>
      </c>
      <c r="F18" s="583">
        <v>0</v>
      </c>
      <c r="G18" s="583">
        <v>0</v>
      </c>
      <c r="H18" s="583">
        <v>0</v>
      </c>
      <c r="I18" s="583">
        <v>0</v>
      </c>
      <c r="J18" s="583">
        <v>0</v>
      </c>
      <c r="K18" s="583">
        <v>0</v>
      </c>
      <c r="L18" s="583">
        <v>0</v>
      </c>
    </row>
    <row r="19" spans="1:12" ht="14.5" hidden="1">
      <c r="A19" s="581" t="s">
        <v>814</v>
      </c>
      <c r="B19" s="581" t="s">
        <v>905</v>
      </c>
      <c r="C19" s="580">
        <v>0</v>
      </c>
      <c r="D19" s="580">
        <v>0</v>
      </c>
      <c r="E19" s="580">
        <v>0</v>
      </c>
      <c r="F19" s="580">
        <v>0</v>
      </c>
      <c r="G19" s="580">
        <v>0</v>
      </c>
      <c r="H19" s="580">
        <v>0</v>
      </c>
      <c r="I19" s="580">
        <v>0</v>
      </c>
      <c r="J19" s="580">
        <v>0</v>
      </c>
      <c r="K19" s="580">
        <v>0</v>
      </c>
      <c r="L19" s="580">
        <v>0</v>
      </c>
    </row>
    <row r="20" spans="1:12" ht="14.5" hidden="1">
      <c r="A20" s="581" t="s">
        <v>814</v>
      </c>
      <c r="B20" s="581" t="s">
        <v>904</v>
      </c>
      <c r="C20" s="583">
        <v>0</v>
      </c>
      <c r="D20" s="583">
        <v>0</v>
      </c>
      <c r="E20" s="583">
        <v>0</v>
      </c>
      <c r="F20" s="583">
        <v>0</v>
      </c>
      <c r="G20" s="583">
        <v>0</v>
      </c>
      <c r="H20" s="583">
        <v>0</v>
      </c>
      <c r="I20" s="583">
        <v>0</v>
      </c>
      <c r="J20" s="583">
        <v>0</v>
      </c>
      <c r="K20" s="583">
        <v>0</v>
      </c>
      <c r="L20" s="583">
        <v>0</v>
      </c>
    </row>
    <row r="21" spans="1:12" ht="14.5" hidden="1">
      <c r="A21" s="581" t="s">
        <v>814</v>
      </c>
      <c r="B21" s="581" t="s">
        <v>903</v>
      </c>
      <c r="C21" s="580">
        <v>0</v>
      </c>
      <c r="D21" s="580">
        <v>0</v>
      </c>
      <c r="E21" s="580">
        <v>0</v>
      </c>
      <c r="F21" s="580">
        <v>0</v>
      </c>
      <c r="G21" s="580">
        <v>0</v>
      </c>
      <c r="H21" s="580">
        <v>0</v>
      </c>
      <c r="I21" s="580">
        <v>0</v>
      </c>
      <c r="J21" s="580">
        <v>0</v>
      </c>
      <c r="K21" s="580">
        <v>0</v>
      </c>
      <c r="L21" s="580">
        <v>0</v>
      </c>
    </row>
    <row r="22" spans="1:12" ht="14.5" hidden="1">
      <c r="A22" s="581" t="s">
        <v>814</v>
      </c>
      <c r="B22" s="581" t="s">
        <v>902</v>
      </c>
      <c r="C22" s="583">
        <v>0</v>
      </c>
      <c r="D22" s="583">
        <v>0</v>
      </c>
      <c r="E22" s="583">
        <v>0</v>
      </c>
      <c r="F22" s="583">
        <v>0</v>
      </c>
      <c r="G22" s="583">
        <v>0</v>
      </c>
      <c r="H22" s="583">
        <v>0</v>
      </c>
      <c r="I22" s="583">
        <v>0</v>
      </c>
      <c r="J22" s="583">
        <v>0</v>
      </c>
      <c r="K22" s="583">
        <v>0</v>
      </c>
      <c r="L22" s="583">
        <v>0</v>
      </c>
    </row>
    <row r="23" spans="1:12" ht="14.5" hidden="1">
      <c r="A23" s="581" t="s">
        <v>814</v>
      </c>
      <c r="B23" s="581" t="s">
        <v>901</v>
      </c>
      <c r="C23" s="580">
        <v>0</v>
      </c>
      <c r="D23" s="580">
        <v>0</v>
      </c>
      <c r="E23" s="580">
        <v>0</v>
      </c>
      <c r="F23" s="580">
        <v>0</v>
      </c>
      <c r="G23" s="580">
        <v>0</v>
      </c>
      <c r="H23" s="580">
        <v>0</v>
      </c>
      <c r="I23" s="580">
        <v>0</v>
      </c>
      <c r="J23" s="580">
        <v>0</v>
      </c>
      <c r="K23" s="580">
        <v>0</v>
      </c>
      <c r="L23" s="580">
        <v>0</v>
      </c>
    </row>
    <row r="24" spans="1:12" ht="14.5" hidden="1">
      <c r="A24" s="581" t="s">
        <v>814</v>
      </c>
      <c r="B24" s="581" t="s">
        <v>900</v>
      </c>
      <c r="C24" s="583">
        <v>0</v>
      </c>
      <c r="D24" s="583">
        <v>0</v>
      </c>
      <c r="E24" s="583">
        <v>0</v>
      </c>
      <c r="F24" s="583">
        <v>0</v>
      </c>
      <c r="G24" s="583">
        <v>0</v>
      </c>
      <c r="H24" s="583">
        <v>0</v>
      </c>
      <c r="I24" s="583">
        <v>0</v>
      </c>
      <c r="J24" s="583">
        <v>0</v>
      </c>
      <c r="K24" s="583">
        <v>0</v>
      </c>
      <c r="L24" s="583">
        <v>0</v>
      </c>
    </row>
    <row r="25" spans="1:12" ht="14.5" hidden="1">
      <c r="A25" s="581" t="s">
        <v>814</v>
      </c>
      <c r="B25" s="581" t="s">
        <v>899</v>
      </c>
      <c r="C25" s="580">
        <v>0</v>
      </c>
      <c r="D25" s="580">
        <v>0</v>
      </c>
      <c r="E25" s="580">
        <v>0</v>
      </c>
      <c r="F25" s="580">
        <v>0</v>
      </c>
      <c r="G25" s="580">
        <v>0</v>
      </c>
      <c r="H25" s="580">
        <v>0</v>
      </c>
      <c r="I25" s="580">
        <v>0</v>
      </c>
      <c r="J25" s="580">
        <v>0</v>
      </c>
      <c r="K25" s="580">
        <v>0</v>
      </c>
      <c r="L25" s="580">
        <v>0</v>
      </c>
    </row>
    <row r="26" spans="1:12" ht="14.5" hidden="1">
      <c r="A26" s="581" t="s">
        <v>814</v>
      </c>
      <c r="B26" s="581" t="s">
        <v>898</v>
      </c>
      <c r="C26" s="583">
        <v>0</v>
      </c>
      <c r="D26" s="583">
        <v>0</v>
      </c>
      <c r="E26" s="583">
        <v>0</v>
      </c>
      <c r="F26" s="583">
        <v>0</v>
      </c>
      <c r="G26" s="583">
        <v>0</v>
      </c>
      <c r="H26" s="583">
        <v>0</v>
      </c>
      <c r="I26" s="583">
        <v>0</v>
      </c>
      <c r="J26" s="583">
        <v>0</v>
      </c>
      <c r="K26" s="583">
        <v>0</v>
      </c>
      <c r="L26" s="583">
        <v>0</v>
      </c>
    </row>
    <row r="27" spans="1:12" ht="14.5" hidden="1">
      <c r="A27" s="581" t="s">
        <v>814</v>
      </c>
      <c r="B27" s="581" t="s">
        <v>897</v>
      </c>
      <c r="C27" s="580">
        <v>0</v>
      </c>
      <c r="D27" s="580">
        <v>0</v>
      </c>
      <c r="E27" s="580">
        <v>0</v>
      </c>
      <c r="F27" s="580">
        <v>0</v>
      </c>
      <c r="G27" s="580">
        <v>0</v>
      </c>
      <c r="H27" s="580">
        <v>0</v>
      </c>
      <c r="I27" s="580">
        <v>0</v>
      </c>
      <c r="J27" s="580">
        <v>0</v>
      </c>
      <c r="K27" s="580">
        <v>0</v>
      </c>
      <c r="L27" s="580">
        <v>0</v>
      </c>
    </row>
    <row r="28" spans="1:12" ht="14.5" hidden="1">
      <c r="A28" s="581" t="s">
        <v>814</v>
      </c>
      <c r="B28" s="581" t="s">
        <v>896</v>
      </c>
      <c r="C28" s="583">
        <v>0</v>
      </c>
      <c r="D28" s="583">
        <v>0</v>
      </c>
      <c r="E28" s="583">
        <v>0</v>
      </c>
      <c r="F28" s="583">
        <v>0</v>
      </c>
      <c r="G28" s="583">
        <v>0</v>
      </c>
      <c r="H28" s="583">
        <v>0</v>
      </c>
      <c r="I28" s="583">
        <v>0</v>
      </c>
      <c r="J28" s="583">
        <v>0</v>
      </c>
      <c r="K28" s="583">
        <v>0</v>
      </c>
      <c r="L28" s="583">
        <v>0</v>
      </c>
    </row>
    <row r="29" spans="1:12" ht="14.5">
      <c r="A29" s="591" t="s">
        <v>814</v>
      </c>
      <c r="B29" s="591" t="s">
        <v>74</v>
      </c>
      <c r="C29" s="579">
        <v>337533.217</v>
      </c>
      <c r="D29" s="579">
        <v>347106.49099999998</v>
      </c>
      <c r="E29" s="579">
        <v>415918.23100000003</v>
      </c>
      <c r="F29" s="579">
        <v>380386.598</v>
      </c>
      <c r="G29" s="580">
        <v>402781.5</v>
      </c>
      <c r="H29" s="580">
        <v>399958.62</v>
      </c>
      <c r="I29" s="579">
        <v>401073.924</v>
      </c>
      <c r="J29" s="579">
        <v>448516.283</v>
      </c>
      <c r="K29" s="579">
        <v>396403.46399999998</v>
      </c>
      <c r="L29" s="579">
        <v>416377.53700000001</v>
      </c>
    </row>
    <row r="30" spans="1:12" ht="14.5">
      <c r="A30" s="591" t="s">
        <v>814</v>
      </c>
      <c r="B30" s="591" t="s">
        <v>895</v>
      </c>
      <c r="C30" s="582">
        <v>293915.44500000001</v>
      </c>
      <c r="D30" s="582">
        <v>308317.272</v>
      </c>
      <c r="E30" s="583">
        <v>328876.5</v>
      </c>
      <c r="F30" s="582">
        <v>301114.647</v>
      </c>
      <c r="G30" s="582">
        <v>294045.98700000002</v>
      </c>
      <c r="H30" s="582">
        <v>295545.43699999998</v>
      </c>
      <c r="I30" s="582">
        <v>292935.44099999999</v>
      </c>
      <c r="J30" s="582">
        <v>135614.39499999999</v>
      </c>
      <c r="K30" s="582">
        <v>140023.11799999999</v>
      </c>
      <c r="L30" s="583">
        <v>114999.27</v>
      </c>
    </row>
    <row r="31" spans="1:12" ht="14.5">
      <c r="A31" s="591" t="s">
        <v>814</v>
      </c>
      <c r="B31" s="591" t="s">
        <v>894</v>
      </c>
      <c r="C31" s="582">
        <v>15328.323</v>
      </c>
      <c r="D31" s="582">
        <v>16064.819</v>
      </c>
      <c r="E31" s="582">
        <v>19379.050999999999</v>
      </c>
      <c r="F31" s="582">
        <v>16690.377</v>
      </c>
      <c r="G31" s="582">
        <v>14018.093999999999</v>
      </c>
      <c r="H31" s="582">
        <v>17617.266</v>
      </c>
      <c r="I31" s="582">
        <v>11543.832</v>
      </c>
      <c r="J31" s="583">
        <v>7322.58</v>
      </c>
      <c r="K31" s="582">
        <v>7796.3940000000002</v>
      </c>
      <c r="L31" s="582">
        <v>7150.2839999999997</v>
      </c>
    </row>
    <row r="32" spans="1:12" ht="14.5">
      <c r="A32" s="591" t="s">
        <v>814</v>
      </c>
      <c r="B32" s="591" t="s">
        <v>893</v>
      </c>
      <c r="C32" s="579">
        <v>5007.4449999999997</v>
      </c>
      <c r="D32" s="579">
        <v>5007.4449999999997</v>
      </c>
      <c r="E32" s="579">
        <v>5007.4449999999997</v>
      </c>
      <c r="F32" s="579">
        <v>5007.4449999999997</v>
      </c>
      <c r="G32" s="579">
        <v>4862.3149999999996</v>
      </c>
      <c r="H32" s="579">
        <v>4862.3149999999996</v>
      </c>
      <c r="I32" s="579">
        <v>4862.3149999999996</v>
      </c>
      <c r="J32" s="579">
        <v>4862.3149999999996</v>
      </c>
      <c r="K32" s="579">
        <v>4862.3149999999996</v>
      </c>
      <c r="L32" s="579">
        <v>4862.3149999999996</v>
      </c>
    </row>
    <row r="33" spans="1:13" ht="14.5">
      <c r="A33" s="591" t="s">
        <v>814</v>
      </c>
      <c r="B33" s="591" t="s">
        <v>892</v>
      </c>
      <c r="C33" s="579">
        <v>273579.67700000003</v>
      </c>
      <c r="D33" s="579">
        <v>287245.00799999997</v>
      </c>
      <c r="E33" s="579">
        <v>304490.00400000002</v>
      </c>
      <c r="F33" s="579">
        <v>279416.82500000001</v>
      </c>
      <c r="G33" s="579">
        <v>275165.57799999998</v>
      </c>
      <c r="H33" s="579">
        <v>273065.85600000003</v>
      </c>
      <c r="I33" s="579">
        <v>276529.29399999999</v>
      </c>
      <c r="J33" s="580">
        <v>123429.5</v>
      </c>
      <c r="K33" s="579">
        <v>127364.409</v>
      </c>
      <c r="L33" s="579">
        <v>102986.671</v>
      </c>
    </row>
    <row r="34" spans="1:13" ht="14.5">
      <c r="A34" s="591" t="s">
        <v>814</v>
      </c>
      <c r="B34" s="591" t="s">
        <v>819</v>
      </c>
      <c r="C34" s="579">
        <v>75315.629000000001</v>
      </c>
      <c r="D34" s="579">
        <v>81764.510999999999</v>
      </c>
      <c r="E34" s="579">
        <v>85779.278000000006</v>
      </c>
      <c r="F34" s="579">
        <v>75427.385999999999</v>
      </c>
      <c r="G34" s="579">
        <v>82890.468999999997</v>
      </c>
      <c r="H34" s="580">
        <v>82234.720000000001</v>
      </c>
      <c r="I34" s="579">
        <v>85742.468999999997</v>
      </c>
      <c r="J34" s="579">
        <v>88155.035999999993</v>
      </c>
      <c r="K34" s="580">
        <v>90179.67</v>
      </c>
      <c r="L34" s="579">
        <v>90448.187000000005</v>
      </c>
      <c r="M34" s="640">
        <f>SUM(L35:L42)</f>
        <v>90448.187000000005</v>
      </c>
    </row>
    <row r="35" spans="1:13" ht="14.5">
      <c r="A35" s="591" t="s">
        <v>814</v>
      </c>
      <c r="B35" s="591" t="s">
        <v>891</v>
      </c>
      <c r="C35" s="580">
        <v>1883</v>
      </c>
      <c r="D35" s="580">
        <v>1930</v>
      </c>
      <c r="E35" s="580">
        <v>1994</v>
      </c>
      <c r="F35" s="580">
        <v>2633</v>
      </c>
      <c r="G35" s="580">
        <v>1901</v>
      </c>
      <c r="H35" s="580">
        <v>2083</v>
      </c>
      <c r="I35" s="580">
        <v>2399</v>
      </c>
      <c r="J35" s="580">
        <v>2596</v>
      </c>
      <c r="K35" s="580">
        <v>2330</v>
      </c>
      <c r="L35" s="580">
        <v>2398</v>
      </c>
    </row>
    <row r="36" spans="1:13" ht="14.5">
      <c r="A36" s="591" t="s">
        <v>814</v>
      </c>
      <c r="B36" s="591" t="s">
        <v>818</v>
      </c>
      <c r="C36" s="580">
        <v>1144</v>
      </c>
      <c r="D36" s="580">
        <v>1141</v>
      </c>
      <c r="E36" s="580">
        <v>1112</v>
      </c>
      <c r="F36" s="580">
        <v>1161</v>
      </c>
      <c r="G36" s="580">
        <v>1211</v>
      </c>
      <c r="H36" s="580">
        <v>1189</v>
      </c>
      <c r="I36" s="580">
        <v>1195</v>
      </c>
      <c r="J36" s="580">
        <v>1335</v>
      </c>
      <c r="K36" s="580">
        <v>1264</v>
      </c>
      <c r="L36" s="580">
        <v>1293</v>
      </c>
    </row>
    <row r="37" spans="1:13" ht="14.5">
      <c r="A37" s="591" t="s">
        <v>814</v>
      </c>
      <c r="B37" s="591" t="s">
        <v>817</v>
      </c>
      <c r="C37" s="583">
        <v>1615</v>
      </c>
      <c r="D37" s="583">
        <v>1806</v>
      </c>
      <c r="E37" s="583">
        <v>1999</v>
      </c>
      <c r="F37" s="583">
        <v>2222</v>
      </c>
      <c r="G37" s="583">
        <v>2456</v>
      </c>
      <c r="H37" s="583">
        <v>2809</v>
      </c>
      <c r="I37" s="583">
        <v>3234</v>
      </c>
      <c r="J37" s="583">
        <v>3661</v>
      </c>
      <c r="K37" s="583">
        <v>4184</v>
      </c>
      <c r="L37" s="583">
        <v>4699</v>
      </c>
    </row>
    <row r="38" spans="1:13" ht="14.5">
      <c r="A38" s="591" t="s">
        <v>814</v>
      </c>
      <c r="B38" s="591" t="s">
        <v>816</v>
      </c>
      <c r="C38" s="580">
        <v>51722</v>
      </c>
      <c r="D38" s="580">
        <v>56813</v>
      </c>
      <c r="E38" s="580">
        <v>60713</v>
      </c>
      <c r="F38" s="580">
        <v>47815</v>
      </c>
      <c r="G38" s="580">
        <v>54926</v>
      </c>
      <c r="H38" s="580">
        <v>52997</v>
      </c>
      <c r="I38" s="580">
        <v>55195</v>
      </c>
      <c r="J38" s="580">
        <v>61656</v>
      </c>
      <c r="K38" s="580">
        <v>63983</v>
      </c>
      <c r="L38" s="580">
        <v>63797</v>
      </c>
    </row>
    <row r="39" spans="1:13" ht="14.5">
      <c r="A39" s="591" t="s">
        <v>814</v>
      </c>
      <c r="B39" s="591" t="s">
        <v>890</v>
      </c>
      <c r="C39" s="583">
        <v>384</v>
      </c>
      <c r="D39" s="583">
        <v>416</v>
      </c>
      <c r="E39" s="583">
        <v>384</v>
      </c>
      <c r="F39" s="583">
        <v>384</v>
      </c>
      <c r="G39" s="583">
        <v>384</v>
      </c>
      <c r="H39" s="583">
        <v>352</v>
      </c>
      <c r="I39" s="583">
        <v>352</v>
      </c>
      <c r="J39" s="583">
        <v>384</v>
      </c>
      <c r="K39" s="583">
        <v>352</v>
      </c>
      <c r="L39" s="583">
        <v>256</v>
      </c>
    </row>
    <row r="40" spans="1:13" ht="14.5">
      <c r="A40" s="591" t="s">
        <v>814</v>
      </c>
      <c r="B40" s="591" t="s">
        <v>889</v>
      </c>
      <c r="C40" s="582">
        <v>6027.0879999999997</v>
      </c>
      <c r="D40" s="582">
        <v>6311.415</v>
      </c>
      <c r="E40" s="582">
        <v>5685.1239999999998</v>
      </c>
      <c r="F40" s="582">
        <v>6042.6360000000004</v>
      </c>
      <c r="G40" s="583">
        <v>5591.97</v>
      </c>
      <c r="H40" s="583">
        <v>5627.4</v>
      </c>
      <c r="I40" s="582">
        <v>5747.2449999999999</v>
      </c>
      <c r="J40" s="582">
        <v>222.36600000000001</v>
      </c>
      <c r="K40" s="583">
        <v>0</v>
      </c>
      <c r="L40" s="583">
        <v>0</v>
      </c>
    </row>
    <row r="41" spans="1:13" ht="14.5">
      <c r="A41" s="591" t="s">
        <v>814</v>
      </c>
      <c r="B41" s="591" t="s">
        <v>888</v>
      </c>
      <c r="C41" s="579">
        <v>691.54100000000005</v>
      </c>
      <c r="D41" s="579">
        <v>252.096</v>
      </c>
      <c r="E41" s="579">
        <v>596.154</v>
      </c>
      <c r="F41" s="580">
        <v>618.75</v>
      </c>
      <c r="G41" s="579">
        <v>737.49900000000002</v>
      </c>
      <c r="H41" s="580">
        <v>782.32</v>
      </c>
      <c r="I41" s="579">
        <v>829.22400000000005</v>
      </c>
      <c r="J41" s="580">
        <v>1032.67</v>
      </c>
      <c r="K41" s="580">
        <v>1211.67</v>
      </c>
      <c r="L41" s="579">
        <v>1230.1869999999999</v>
      </c>
    </row>
    <row r="42" spans="1:13" ht="14.5">
      <c r="A42" s="591" t="s">
        <v>814</v>
      </c>
      <c r="B42" s="591" t="s">
        <v>815</v>
      </c>
      <c r="C42" s="583">
        <v>11779</v>
      </c>
      <c r="D42" s="583">
        <v>13095</v>
      </c>
      <c r="E42" s="583">
        <v>13296</v>
      </c>
      <c r="F42" s="583">
        <v>14551</v>
      </c>
      <c r="G42" s="583">
        <v>15683</v>
      </c>
      <c r="H42" s="583">
        <v>16395</v>
      </c>
      <c r="I42" s="583">
        <v>16791</v>
      </c>
      <c r="J42" s="583">
        <v>17268</v>
      </c>
      <c r="K42" s="583">
        <v>16855</v>
      </c>
      <c r="L42" s="583">
        <v>16775</v>
      </c>
    </row>
    <row r="43" spans="1:13" ht="14.5" hidden="1">
      <c r="A43" s="581" t="s">
        <v>814</v>
      </c>
      <c r="B43" s="581" t="s">
        <v>887</v>
      </c>
      <c r="C43" s="583">
        <v>70</v>
      </c>
      <c r="D43" s="583">
        <v>0</v>
      </c>
      <c r="E43" s="583">
        <v>0</v>
      </c>
      <c r="F43" s="583">
        <v>0</v>
      </c>
      <c r="G43" s="583">
        <v>0</v>
      </c>
      <c r="H43" s="583">
        <v>0</v>
      </c>
      <c r="I43" s="583">
        <v>0</v>
      </c>
      <c r="J43" s="583">
        <v>0</v>
      </c>
      <c r="K43" s="583">
        <v>0</v>
      </c>
      <c r="L43" s="583">
        <v>0</v>
      </c>
    </row>
    <row r="44" spans="1:13" ht="14.5" hidden="1">
      <c r="A44" s="581" t="s">
        <v>814</v>
      </c>
      <c r="B44" s="581" t="s">
        <v>886</v>
      </c>
      <c r="C44" s="580">
        <v>70</v>
      </c>
      <c r="D44" s="580">
        <v>0</v>
      </c>
      <c r="E44" s="580">
        <v>0</v>
      </c>
      <c r="F44" s="580">
        <v>0</v>
      </c>
      <c r="G44" s="580">
        <v>0</v>
      </c>
      <c r="H44" s="580">
        <v>0</v>
      </c>
      <c r="I44" s="580">
        <v>0</v>
      </c>
      <c r="J44" s="580">
        <v>0</v>
      </c>
      <c r="K44" s="580">
        <v>0</v>
      </c>
      <c r="L44" s="580">
        <v>0</v>
      </c>
    </row>
    <row r="45" spans="1:13" ht="14.5" hidden="1">
      <c r="A45" s="581" t="s">
        <v>814</v>
      </c>
      <c r="B45" s="581" t="s">
        <v>885</v>
      </c>
      <c r="C45" s="583">
        <v>70</v>
      </c>
      <c r="D45" s="583">
        <v>0</v>
      </c>
      <c r="E45" s="583">
        <v>0</v>
      </c>
      <c r="F45" s="583">
        <v>0</v>
      </c>
      <c r="G45" s="583">
        <v>0</v>
      </c>
      <c r="H45" s="583">
        <v>0</v>
      </c>
      <c r="I45" s="583">
        <v>0</v>
      </c>
      <c r="J45" s="583">
        <v>0</v>
      </c>
      <c r="K45" s="583">
        <v>0</v>
      </c>
      <c r="L45" s="583">
        <v>0</v>
      </c>
    </row>
    <row r="46" spans="1:13" ht="14.5">
      <c r="A46" s="591" t="s">
        <v>814</v>
      </c>
      <c r="B46" s="591" t="s">
        <v>73</v>
      </c>
      <c r="C46" s="583">
        <v>490701.6</v>
      </c>
      <c r="D46" s="583">
        <v>501156</v>
      </c>
      <c r="E46" s="583">
        <v>511423.2</v>
      </c>
      <c r="F46" s="583">
        <v>473454</v>
      </c>
      <c r="G46" s="583">
        <v>506649.59999999998</v>
      </c>
      <c r="H46" s="583">
        <v>509706</v>
      </c>
      <c r="I46" s="583">
        <v>499518</v>
      </c>
      <c r="J46" s="583">
        <v>480492</v>
      </c>
      <c r="K46" s="583">
        <v>467906.4</v>
      </c>
      <c r="L46" s="583">
        <v>451270.8</v>
      </c>
    </row>
    <row r="47" spans="1:13" ht="14.5">
      <c r="A47" s="591" t="s">
        <v>814</v>
      </c>
      <c r="B47" s="591" t="s">
        <v>198</v>
      </c>
      <c r="C47" s="580">
        <v>85256</v>
      </c>
      <c r="D47" s="580">
        <v>98281</v>
      </c>
      <c r="E47" s="580">
        <v>60742</v>
      </c>
      <c r="F47" s="580">
        <v>55496</v>
      </c>
      <c r="G47" s="580">
        <v>57843</v>
      </c>
      <c r="H47" s="580">
        <v>45553</v>
      </c>
      <c r="I47" s="580">
        <v>52950</v>
      </c>
      <c r="J47" s="580">
        <v>56031</v>
      </c>
      <c r="K47" s="580">
        <v>58194</v>
      </c>
      <c r="L47" s="580">
        <v>47737</v>
      </c>
    </row>
    <row r="48" spans="1:13" ht="14.5">
      <c r="A48" s="581" t="s">
        <v>814</v>
      </c>
      <c r="B48" s="581" t="s">
        <v>884</v>
      </c>
      <c r="C48" s="582">
        <v>108713.163</v>
      </c>
      <c r="D48" s="582">
        <v>122525.099</v>
      </c>
      <c r="E48" s="582">
        <v>124483.473</v>
      </c>
      <c r="F48" s="582">
        <v>113514.75199999999</v>
      </c>
      <c r="G48" s="582">
        <v>125026.966</v>
      </c>
      <c r="H48" s="582">
        <v>122678.511</v>
      </c>
      <c r="I48" s="582">
        <v>125594.814</v>
      </c>
      <c r="J48" s="583">
        <v>127921.82</v>
      </c>
      <c r="K48" s="582">
        <v>131184.15400000001</v>
      </c>
      <c r="L48" s="582">
        <v>131099.723</v>
      </c>
    </row>
    <row r="49" spans="1:12" ht="14.5">
      <c r="A49" s="581" t="s">
        <v>814</v>
      </c>
      <c r="B49" s="581" t="s">
        <v>883</v>
      </c>
      <c r="C49" s="580">
        <v>1012086.79</v>
      </c>
      <c r="D49" s="579">
        <v>1049216.2450000001</v>
      </c>
      <c r="E49" s="579">
        <v>1106498.227</v>
      </c>
      <c r="F49" s="579">
        <v>1004194.2709999999</v>
      </c>
      <c r="G49" s="579">
        <v>1036152.246</v>
      </c>
      <c r="H49" s="579">
        <v>1025362.476</v>
      </c>
      <c r="I49" s="579">
        <v>1010695.968</v>
      </c>
      <c r="J49" s="579">
        <v>883393.48199999996</v>
      </c>
      <c r="K49" s="579">
        <v>803987.40899999999</v>
      </c>
      <c r="L49" s="579">
        <v>767675.34499999997</v>
      </c>
    </row>
    <row r="50" spans="1:12" ht="11.5" customHeight="1">
      <c r="C50" s="651"/>
      <c r="D50" s="633"/>
      <c r="E50" s="633"/>
      <c r="F50" s="633"/>
      <c r="G50" s="633"/>
      <c r="H50" s="633"/>
      <c r="I50" s="633">
        <f t="shared" ref="I50:K50" si="0">I48-SUM(I38:I42)</f>
        <v>46680.344999999987</v>
      </c>
      <c r="J50" s="633">
        <f t="shared" si="0"/>
        <v>47358.784000000014</v>
      </c>
      <c r="K50" s="633">
        <f t="shared" si="0"/>
        <v>48782.484000000011</v>
      </c>
      <c r="L50" s="633">
        <f>L48-SUM(L38:L42)</f>
        <v>49041.535999999993</v>
      </c>
    </row>
    <row r="51" spans="1:12" ht="14.5">
      <c r="A51" s="578" t="s">
        <v>813</v>
      </c>
      <c r="C51" s="633"/>
      <c r="D51" s="633"/>
      <c r="E51" s="633"/>
      <c r="F51" s="633"/>
      <c r="G51" s="633"/>
      <c r="H51" s="633"/>
      <c r="I51" s="633"/>
      <c r="J51" s="633"/>
      <c r="K51" s="633"/>
      <c r="L51" s="633"/>
    </row>
    <row r="52" spans="1:12" ht="14.5">
      <c r="A52" s="578" t="s">
        <v>882</v>
      </c>
      <c r="B52" s="577" t="s">
        <v>812</v>
      </c>
    </row>
    <row r="53" spans="1:12" ht="14.5">
      <c r="A53" s="578" t="s">
        <v>881</v>
      </c>
    </row>
    <row r="54" spans="1:12" ht="14.5">
      <c r="A54" s="578" t="s">
        <v>880</v>
      </c>
      <c r="B54" s="577" t="s">
        <v>879</v>
      </c>
    </row>
  </sheetData>
  <mergeCells count="2">
    <mergeCell ref="A6:B6"/>
    <mergeCell ref="A7:B7"/>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8F427-DF80-4224-AD42-E4D72DDC7514}">
  <sheetPr>
    <tabColor theme="3" tint="0.59999389629810485"/>
  </sheetPr>
  <dimension ref="B2:I1048576"/>
  <sheetViews>
    <sheetView topLeftCell="B1" workbookViewId="0">
      <selection activeCell="G16" sqref="G16"/>
    </sheetView>
  </sheetViews>
  <sheetFormatPr defaultColWidth="8.81640625" defaultRowHeight="12.5"/>
  <cols>
    <col min="3" max="3" width="20.81640625" bestFit="1" customWidth="1"/>
    <col min="4" max="4" width="9.453125" bestFit="1" customWidth="1"/>
    <col min="5" max="5" width="10.453125" bestFit="1" customWidth="1"/>
    <col min="7" max="7" width="9.81640625" bestFit="1" customWidth="1"/>
  </cols>
  <sheetData>
    <row r="2" spans="2:9" ht="13">
      <c r="B2" s="132" t="s">
        <v>706</v>
      </c>
    </row>
    <row r="3" spans="2:9">
      <c r="C3" t="s">
        <v>180</v>
      </c>
      <c r="D3" t="s">
        <v>172</v>
      </c>
      <c r="E3" t="s">
        <v>264</v>
      </c>
      <c r="F3" t="s">
        <v>707</v>
      </c>
      <c r="G3" t="s">
        <v>266</v>
      </c>
      <c r="H3" t="s">
        <v>265</v>
      </c>
      <c r="I3" t="s">
        <v>257</v>
      </c>
    </row>
    <row r="4" spans="2:9">
      <c r="B4" t="s">
        <v>938</v>
      </c>
      <c r="C4" s="512">
        <v>1</v>
      </c>
      <c r="D4" s="512">
        <v>1</v>
      </c>
      <c r="E4" s="512">
        <v>1</v>
      </c>
      <c r="F4" s="512">
        <v>1</v>
      </c>
      <c r="G4" s="512">
        <v>1</v>
      </c>
      <c r="H4" s="512">
        <v>1</v>
      </c>
      <c r="I4" s="512">
        <v>1</v>
      </c>
    </row>
    <row r="5" spans="2:9">
      <c r="B5" t="s">
        <v>948</v>
      </c>
      <c r="C5" s="512">
        <v>0</v>
      </c>
      <c r="D5" s="512">
        <v>0</v>
      </c>
      <c r="E5" s="512">
        <v>0</v>
      </c>
      <c r="F5" s="512">
        <v>0</v>
      </c>
      <c r="G5" s="512">
        <v>0</v>
      </c>
      <c r="H5" s="512">
        <v>0</v>
      </c>
      <c r="I5" s="512">
        <v>0</v>
      </c>
    </row>
    <row r="6" spans="2:9">
      <c r="B6" t="s">
        <v>951</v>
      </c>
      <c r="C6" s="628">
        <v>0</v>
      </c>
      <c r="D6" s="628">
        <v>0</v>
      </c>
      <c r="E6" s="628">
        <v>0</v>
      </c>
      <c r="F6" s="628">
        <v>0</v>
      </c>
      <c r="G6" s="628">
        <v>0</v>
      </c>
      <c r="H6" s="628">
        <v>0</v>
      </c>
      <c r="I6" s="628">
        <v>0</v>
      </c>
    </row>
    <row r="1048576" spans="8:8">
      <c r="H1048576" s="33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45FB-642F-4A37-A6AD-AF1471DCD920}">
  <sheetPr>
    <tabColor theme="3" tint="0.39997558519241921"/>
  </sheetPr>
  <dimension ref="A3:V653"/>
  <sheetViews>
    <sheetView zoomScale="85" zoomScaleNormal="85" workbookViewId="0">
      <selection activeCell="M14" sqref="M14"/>
    </sheetView>
  </sheetViews>
  <sheetFormatPr defaultColWidth="8.81640625" defaultRowHeight="12.5"/>
  <cols>
    <col min="2" max="2" width="36.1796875" customWidth="1"/>
    <col min="3" max="3" width="37.453125" bestFit="1" customWidth="1"/>
    <col min="4" max="5" width="10" customWidth="1"/>
    <col min="11" max="11" width="8.81640625" customWidth="1"/>
    <col min="17" max="17" width="8.81640625" style="21"/>
  </cols>
  <sheetData>
    <row r="3" spans="2:22">
      <c r="B3" t="s">
        <v>982</v>
      </c>
    </row>
    <row r="4" spans="2:22" ht="13">
      <c r="B4" t="s">
        <v>202</v>
      </c>
      <c r="C4" t="s">
        <v>204</v>
      </c>
      <c r="D4" t="s">
        <v>205</v>
      </c>
      <c r="E4" t="s">
        <v>203</v>
      </c>
      <c r="S4" s="132" t="s">
        <v>755</v>
      </c>
    </row>
    <row r="5" spans="2:22" ht="28.75" customHeight="1">
      <c r="B5" s="331" t="s">
        <v>201</v>
      </c>
      <c r="C5" s="331" t="s">
        <v>207</v>
      </c>
      <c r="D5" s="332">
        <v>0.3</v>
      </c>
      <c r="E5" s="661" t="s">
        <v>983</v>
      </c>
    </row>
    <row r="6" spans="2:22" ht="28.75" customHeight="1">
      <c r="B6" s="331" t="s">
        <v>201</v>
      </c>
      <c r="C6" s="331" t="s">
        <v>206</v>
      </c>
      <c r="D6" s="333">
        <v>0.7</v>
      </c>
      <c r="E6" s="661"/>
      <c r="S6" s="132" t="s">
        <v>752</v>
      </c>
    </row>
    <row r="7" spans="2:22">
      <c r="T7" s="106" t="s">
        <v>102</v>
      </c>
      <c r="U7" s="106" t="s">
        <v>753</v>
      </c>
    </row>
    <row r="8" spans="2:22">
      <c r="B8" s="106"/>
      <c r="S8" s="156">
        <v>2011</v>
      </c>
      <c r="T8" s="518">
        <v>4.0054008414882007</v>
      </c>
      <c r="U8" s="518">
        <v>3.1390555577411314</v>
      </c>
      <c r="V8" s="106" t="s">
        <v>754</v>
      </c>
    </row>
    <row r="9" spans="2:22">
      <c r="S9" s="156">
        <v>2016</v>
      </c>
      <c r="T9" s="518">
        <v>4.7531666045225966</v>
      </c>
      <c r="U9" s="518">
        <v>3.6871365087455148</v>
      </c>
      <c r="V9" s="106" t="s">
        <v>754</v>
      </c>
    </row>
    <row r="10" spans="2:22">
      <c r="S10" s="156">
        <v>2021</v>
      </c>
      <c r="T10" s="518">
        <v>6.0763888888888884</v>
      </c>
      <c r="U10" s="518">
        <v>6.0763888888888884</v>
      </c>
      <c r="V10" s="106" t="s">
        <v>754</v>
      </c>
    </row>
    <row r="11" spans="2:22">
      <c r="S11" s="164">
        <v>2031</v>
      </c>
      <c r="T11" s="518">
        <v>6.9444444444444446</v>
      </c>
      <c r="U11" s="518">
        <v>6.9444444444444446</v>
      </c>
      <c r="V11" s="106" t="s">
        <v>754</v>
      </c>
    </row>
    <row r="12" spans="2:22">
      <c r="B12" s="334" t="s">
        <v>212</v>
      </c>
    </row>
    <row r="13" spans="2:22">
      <c r="D13">
        <v>2008</v>
      </c>
      <c r="E13">
        <v>2009</v>
      </c>
      <c r="F13">
        <v>2010</v>
      </c>
      <c r="G13">
        <v>2011</v>
      </c>
      <c r="H13">
        <v>2012</v>
      </c>
      <c r="I13">
        <v>2013</v>
      </c>
      <c r="J13">
        <v>2014</v>
      </c>
      <c r="K13">
        <v>2015</v>
      </c>
      <c r="L13">
        <v>2016</v>
      </c>
      <c r="M13">
        <v>2017</v>
      </c>
    </row>
    <row r="14" spans="2:22" s="601" customFormat="1">
      <c r="C14" s="601" t="s">
        <v>208</v>
      </c>
      <c r="D14" s="644">
        <v>81752</v>
      </c>
      <c r="E14" s="644">
        <v>81752</v>
      </c>
      <c r="F14" s="644">
        <v>81752</v>
      </c>
      <c r="G14" s="644">
        <v>80327</v>
      </c>
      <c r="H14" s="601">
        <v>80523</v>
      </c>
      <c r="I14" s="612">
        <v>80767</v>
      </c>
      <c r="J14" s="612">
        <v>81198</v>
      </c>
      <c r="K14" s="612">
        <v>82176</v>
      </c>
      <c r="L14" s="612">
        <v>82522</v>
      </c>
      <c r="M14" s="612">
        <v>82792</v>
      </c>
      <c r="N14" s="601" t="s">
        <v>923</v>
      </c>
      <c r="Q14" s="603"/>
    </row>
    <row r="15" spans="2:22" s="601" customFormat="1">
      <c r="C15" s="612" t="s">
        <v>211</v>
      </c>
      <c r="D15" s="601">
        <v>1350</v>
      </c>
      <c r="E15" s="601">
        <v>1350</v>
      </c>
      <c r="F15" s="601">
        <v>1350</v>
      </c>
      <c r="G15" s="601">
        <v>1350</v>
      </c>
      <c r="H15" s="601">
        <v>1350</v>
      </c>
      <c r="I15" s="601">
        <v>1350</v>
      </c>
      <c r="J15" s="601">
        <v>1350</v>
      </c>
      <c r="K15" s="601">
        <v>1350</v>
      </c>
      <c r="L15" s="601">
        <v>1350</v>
      </c>
      <c r="M15" s="601">
        <v>1350</v>
      </c>
      <c r="N15" s="645" t="s">
        <v>968</v>
      </c>
      <c r="Q15" s="603"/>
    </row>
    <row r="16" spans="2:22">
      <c r="C16" t="s">
        <v>209</v>
      </c>
      <c r="D16">
        <v>43297</v>
      </c>
      <c r="E16">
        <v>38051</v>
      </c>
      <c r="F16">
        <v>39101</v>
      </c>
      <c r="G16">
        <v>39649</v>
      </c>
      <c r="H16">
        <v>34679</v>
      </c>
      <c r="I16" s="106">
        <v>33997</v>
      </c>
      <c r="J16" s="106">
        <v>37522</v>
      </c>
      <c r="K16" s="106">
        <v>39969</v>
      </c>
      <c r="L16" s="106">
        <v>44387</v>
      </c>
      <c r="M16" s="106">
        <v>39473</v>
      </c>
      <c r="N16" t="s">
        <v>924</v>
      </c>
    </row>
    <row r="17" spans="2:17" s="601" customFormat="1">
      <c r="C17" s="601" t="s">
        <v>210</v>
      </c>
      <c r="D17" s="601">
        <v>206.53</v>
      </c>
      <c r="E17" s="601">
        <v>206.53</v>
      </c>
      <c r="F17" s="601">
        <v>206.53</v>
      </c>
      <c r="G17" s="601">
        <v>206.56</v>
      </c>
      <c r="H17" s="601">
        <v>202.33</v>
      </c>
      <c r="I17" s="612">
        <v>199.73</v>
      </c>
      <c r="J17" s="612">
        <v>192.4</v>
      </c>
      <c r="K17" s="612">
        <v>192.4</v>
      </c>
      <c r="L17" s="612">
        <v>192.4</v>
      </c>
      <c r="M17" s="612">
        <v>192.4</v>
      </c>
      <c r="N17" s="601" t="s">
        <v>925</v>
      </c>
      <c r="Q17" s="603"/>
    </row>
    <row r="18" spans="2:17">
      <c r="D18" s="220"/>
      <c r="E18" s="220"/>
      <c r="F18" s="220"/>
      <c r="G18" s="220"/>
      <c r="H18" s="220"/>
      <c r="I18" s="220"/>
      <c r="J18" s="220"/>
      <c r="K18" s="220"/>
      <c r="L18" s="220"/>
      <c r="M18" s="220"/>
    </row>
    <row r="20" spans="2:17">
      <c r="B20" t="s">
        <v>213</v>
      </c>
    </row>
    <row r="21" spans="2:17">
      <c r="B21" s="106" t="s">
        <v>214</v>
      </c>
    </row>
    <row r="22" spans="2:17" s="601" customFormat="1">
      <c r="B22" s="612" t="s">
        <v>938</v>
      </c>
      <c r="C22" s="601">
        <f>'Data manipulation'!AF5*1000-C23-C24</f>
        <v>1350000</v>
      </c>
      <c r="D22" s="612" t="s">
        <v>217</v>
      </c>
      <c r="Q22" s="603"/>
    </row>
    <row r="23" spans="2:17">
      <c r="B23" s="106" t="s">
        <v>948</v>
      </c>
      <c r="C23" s="106">
        <v>0</v>
      </c>
      <c r="D23" s="106" t="s">
        <v>216</v>
      </c>
    </row>
    <row r="24" spans="2:17">
      <c r="B24" s="106" t="s">
        <v>951</v>
      </c>
      <c r="C24">
        <v>0</v>
      </c>
      <c r="D24" s="106" t="s">
        <v>215</v>
      </c>
    </row>
    <row r="25" spans="2:17">
      <c r="C25" s="335"/>
    </row>
    <row r="27" spans="2:17">
      <c r="B27" t="s">
        <v>213</v>
      </c>
    </row>
    <row r="28" spans="2:17">
      <c r="B28" s="106" t="s">
        <v>218</v>
      </c>
    </row>
    <row r="29" spans="2:17">
      <c r="B29" s="106" t="s">
        <v>938</v>
      </c>
      <c r="C29">
        <f>M14-C30-C31</f>
        <v>82792</v>
      </c>
      <c r="D29" s="106" t="s">
        <v>217</v>
      </c>
    </row>
    <row r="30" spans="2:17">
      <c r="B30" s="106" t="s">
        <v>948</v>
      </c>
      <c r="C30" s="106">
        <v>0</v>
      </c>
      <c r="D30" s="106" t="s">
        <v>216</v>
      </c>
    </row>
    <row r="31" spans="2:17">
      <c r="B31" s="106" t="s">
        <v>951</v>
      </c>
      <c r="C31">
        <v>0</v>
      </c>
      <c r="D31" s="106" t="s">
        <v>215</v>
      </c>
    </row>
    <row r="35" spans="2:8" ht="14">
      <c r="B35" s="300"/>
      <c r="C35" s="300"/>
      <c r="D35" s="300"/>
      <c r="E35" s="300"/>
      <c r="F35" s="300"/>
      <c r="G35" s="300"/>
      <c r="H35" s="300"/>
    </row>
    <row r="36" spans="2:8" ht="14">
      <c r="B36" t="s">
        <v>213</v>
      </c>
      <c r="G36" s="300"/>
      <c r="H36" s="300"/>
    </row>
    <row r="37" spans="2:8" ht="14">
      <c r="C37" s="300"/>
      <c r="D37" s="300"/>
      <c r="E37" s="300"/>
      <c r="F37" s="300"/>
      <c r="G37" s="300"/>
      <c r="H37" s="300"/>
    </row>
    <row r="38" spans="2:8" ht="14">
      <c r="B38" s="668" t="s">
        <v>219</v>
      </c>
      <c r="C38" s="668"/>
      <c r="D38" s="668"/>
      <c r="E38" s="668"/>
      <c r="F38" s="300"/>
      <c r="G38" s="300"/>
      <c r="H38" s="300"/>
    </row>
    <row r="39" spans="2:8" ht="14.5" thickBot="1">
      <c r="B39" s="336"/>
      <c r="C39" s="336"/>
      <c r="D39" s="336"/>
      <c r="E39" s="336"/>
      <c r="F39" s="300"/>
      <c r="G39" s="300"/>
      <c r="H39" s="300"/>
    </row>
    <row r="40" spans="2:8" ht="14">
      <c r="B40" s="666"/>
      <c r="C40" s="669" t="s">
        <v>220</v>
      </c>
      <c r="D40" s="656" t="s">
        <v>221</v>
      </c>
      <c r="E40" s="657"/>
      <c r="F40" s="300"/>
      <c r="G40" s="300"/>
      <c r="H40" s="300"/>
    </row>
    <row r="41" spans="2:8" ht="14.5" thickBot="1">
      <c r="B41" s="667"/>
      <c r="C41" s="670"/>
      <c r="D41" s="337" t="s">
        <v>222</v>
      </c>
      <c r="E41" s="338" t="s">
        <v>223</v>
      </c>
      <c r="F41" s="300"/>
      <c r="G41" s="300"/>
      <c r="H41" s="300"/>
    </row>
    <row r="42" spans="2:8" ht="16.5">
      <c r="B42" s="339" t="s">
        <v>224</v>
      </c>
      <c r="C42" s="340">
        <v>22.1</v>
      </c>
      <c r="D42" s="340">
        <v>19.600000000000001</v>
      </c>
      <c r="E42" s="341">
        <v>25</v>
      </c>
      <c r="F42" s="300"/>
      <c r="G42" s="300"/>
      <c r="H42" s="300"/>
    </row>
    <row r="43" spans="2:8" ht="16.5">
      <c r="B43" s="342" t="s">
        <v>225</v>
      </c>
      <c r="C43" s="343">
        <v>15.5</v>
      </c>
      <c r="D43" s="343">
        <v>14</v>
      </c>
      <c r="E43" s="344">
        <v>17.2</v>
      </c>
      <c r="F43" s="300"/>
      <c r="G43" s="300"/>
      <c r="H43" s="300"/>
    </row>
    <row r="44" spans="2:8" ht="14">
      <c r="B44" s="658" t="s">
        <v>226</v>
      </c>
      <c r="C44" s="659"/>
      <c r="D44" s="659"/>
      <c r="E44" s="660"/>
      <c r="F44" s="300"/>
      <c r="G44" s="300"/>
      <c r="H44" s="300"/>
    </row>
    <row r="45" spans="2:8" ht="14">
      <c r="B45" s="345" t="s">
        <v>92</v>
      </c>
      <c r="C45" s="346">
        <v>100</v>
      </c>
      <c r="D45" s="346">
        <v>100</v>
      </c>
      <c r="E45" s="347">
        <v>100</v>
      </c>
      <c r="F45" s="300"/>
      <c r="G45" s="300"/>
      <c r="H45" s="300"/>
    </row>
    <row r="46" spans="2:8" ht="16">
      <c r="B46" s="348" t="s">
        <v>227</v>
      </c>
      <c r="C46" s="349">
        <v>7.4</v>
      </c>
      <c r="D46" s="349">
        <v>10.5</v>
      </c>
      <c r="E46" s="350">
        <v>3.5</v>
      </c>
      <c r="F46" s="300"/>
      <c r="G46" s="300"/>
      <c r="H46" s="300"/>
    </row>
    <row r="47" spans="2:8" ht="16">
      <c r="B47" s="348" t="s">
        <v>228</v>
      </c>
      <c r="C47" s="349">
        <v>40.299999999999997</v>
      </c>
      <c r="D47" s="349">
        <v>46.1</v>
      </c>
      <c r="E47" s="350">
        <v>33.1</v>
      </c>
      <c r="F47" s="300"/>
      <c r="G47" s="300"/>
      <c r="H47" s="300"/>
    </row>
    <row r="48" spans="2:8" ht="16">
      <c r="B48" s="348" t="s">
        <v>229</v>
      </c>
      <c r="C48" s="349">
        <v>27.6</v>
      </c>
      <c r="D48" s="349">
        <v>24.3</v>
      </c>
      <c r="E48" s="350">
        <v>31.8</v>
      </c>
      <c r="F48" s="300"/>
      <c r="G48" s="300"/>
      <c r="H48" s="300"/>
    </row>
    <row r="49" spans="2:8" ht="16">
      <c r="B49" s="348" t="s">
        <v>230</v>
      </c>
      <c r="C49" s="349">
        <v>24.6</v>
      </c>
      <c r="D49" s="349">
        <v>19.100000000000001</v>
      </c>
      <c r="E49" s="350">
        <v>31.6</v>
      </c>
      <c r="F49" s="300"/>
      <c r="G49" s="300"/>
      <c r="H49" s="300"/>
    </row>
    <row r="50" spans="2:8" ht="14">
      <c r="B50" s="658" t="s">
        <v>231</v>
      </c>
      <c r="C50" s="659"/>
      <c r="D50" s="659"/>
      <c r="E50" s="660"/>
      <c r="F50" s="300"/>
      <c r="G50" s="300"/>
      <c r="H50" s="300"/>
    </row>
    <row r="51" spans="2:8" ht="14">
      <c r="B51" s="345" t="s">
        <v>92</v>
      </c>
      <c r="C51" s="346">
        <v>100</v>
      </c>
      <c r="D51" s="346">
        <v>100</v>
      </c>
      <c r="E51" s="347">
        <v>100</v>
      </c>
      <c r="F51" s="300"/>
      <c r="G51" s="300"/>
      <c r="H51" s="300"/>
    </row>
    <row r="52" spans="2:8" ht="16">
      <c r="B52" s="348" t="s">
        <v>227</v>
      </c>
      <c r="C52" s="349">
        <v>26.4</v>
      </c>
      <c r="D52" s="349">
        <v>32.700000000000003</v>
      </c>
      <c r="E52" s="350">
        <v>18.5</v>
      </c>
      <c r="F52" s="300"/>
      <c r="G52" s="300"/>
      <c r="H52" s="300"/>
    </row>
    <row r="53" spans="2:8" ht="16">
      <c r="B53" s="348" t="s">
        <v>228</v>
      </c>
      <c r="C53" s="349">
        <v>46.2</v>
      </c>
      <c r="D53" s="349">
        <v>44.7</v>
      </c>
      <c r="E53" s="350">
        <v>48.1</v>
      </c>
      <c r="F53" s="300"/>
      <c r="G53" s="300"/>
      <c r="H53" s="300"/>
    </row>
    <row r="54" spans="2:8" ht="16">
      <c r="B54" s="348" t="s">
        <v>229</v>
      </c>
      <c r="C54" s="349">
        <v>16.600000000000001</v>
      </c>
      <c r="D54" s="349">
        <v>13.8</v>
      </c>
      <c r="E54" s="350">
        <v>20.2</v>
      </c>
      <c r="F54" s="300"/>
      <c r="G54" s="300"/>
      <c r="H54" s="300"/>
    </row>
    <row r="55" spans="2:8" ht="16">
      <c r="B55" s="348" t="s">
        <v>230</v>
      </c>
      <c r="C55" s="349">
        <v>10.7</v>
      </c>
      <c r="D55" s="349">
        <v>8.8000000000000007</v>
      </c>
      <c r="E55" s="350">
        <v>13.2</v>
      </c>
      <c r="F55" s="300"/>
      <c r="G55" s="300"/>
      <c r="H55" s="300"/>
    </row>
    <row r="56" spans="2:8" ht="14">
      <c r="B56" s="663" t="s">
        <v>232</v>
      </c>
      <c r="C56" s="664"/>
      <c r="D56" s="664"/>
      <c r="E56" s="665"/>
      <c r="F56" s="300"/>
      <c r="G56" s="300"/>
      <c r="H56" s="300"/>
    </row>
    <row r="57" spans="2:8" ht="14">
      <c r="B57" s="345" t="s">
        <v>92</v>
      </c>
      <c r="C57" s="346">
        <v>100</v>
      </c>
      <c r="D57" s="346">
        <v>100</v>
      </c>
      <c r="E57" s="347">
        <v>100</v>
      </c>
      <c r="F57" s="300"/>
      <c r="G57" s="300"/>
      <c r="H57" s="300"/>
    </row>
    <row r="58" spans="2:8" ht="14">
      <c r="B58" s="348" t="s">
        <v>233</v>
      </c>
      <c r="C58" s="351">
        <v>3.6</v>
      </c>
      <c r="D58" s="351">
        <v>5.6</v>
      </c>
      <c r="E58" s="352">
        <v>1.1000000000000001</v>
      </c>
      <c r="F58" s="300"/>
      <c r="G58" s="300"/>
      <c r="H58" s="300"/>
    </row>
    <row r="59" spans="2:8" ht="14">
      <c r="B59" s="348" t="s">
        <v>234</v>
      </c>
      <c r="C59" s="351">
        <v>25</v>
      </c>
      <c r="D59" s="351">
        <v>30.4</v>
      </c>
      <c r="E59" s="352">
        <v>18.2</v>
      </c>
      <c r="F59" s="300"/>
      <c r="G59" s="300"/>
      <c r="H59" s="300"/>
    </row>
    <row r="60" spans="2:8" ht="14">
      <c r="B60" s="348" t="s">
        <v>235</v>
      </c>
      <c r="C60" s="351">
        <v>40.6</v>
      </c>
      <c r="D60" s="351">
        <v>39.5</v>
      </c>
      <c r="E60" s="352">
        <v>41.9</v>
      </c>
      <c r="F60" s="300"/>
      <c r="G60" s="300"/>
      <c r="H60" s="300"/>
    </row>
    <row r="61" spans="2:8" ht="14">
      <c r="B61" s="348" t="s">
        <v>236</v>
      </c>
      <c r="C61" s="351">
        <v>21.3</v>
      </c>
      <c r="D61" s="351">
        <v>17.8</v>
      </c>
      <c r="E61" s="352">
        <v>25.7</v>
      </c>
      <c r="F61" s="300"/>
      <c r="G61" s="300"/>
      <c r="H61" s="300"/>
    </row>
    <row r="62" spans="2:8" ht="14">
      <c r="B62" s="348" t="s">
        <v>237</v>
      </c>
      <c r="C62" s="351">
        <v>9.5</v>
      </c>
      <c r="D62" s="351">
        <v>6.7</v>
      </c>
      <c r="E62" s="352">
        <v>13</v>
      </c>
      <c r="F62" s="300"/>
      <c r="G62" s="300"/>
      <c r="H62" s="300"/>
    </row>
    <row r="63" spans="2:8" ht="14">
      <c r="B63" s="663" t="s">
        <v>238</v>
      </c>
      <c r="C63" s="664"/>
      <c r="D63" s="664"/>
      <c r="E63" s="665"/>
      <c r="F63" s="300"/>
      <c r="G63" s="300"/>
      <c r="H63" s="300"/>
    </row>
    <row r="64" spans="2:8" ht="14">
      <c r="B64" s="345" t="s">
        <v>92</v>
      </c>
      <c r="C64" s="346">
        <v>100</v>
      </c>
      <c r="D64" s="346">
        <v>100</v>
      </c>
      <c r="E64" s="347">
        <v>100</v>
      </c>
      <c r="F64" s="300"/>
    </row>
    <row r="65" spans="2:8" ht="14">
      <c r="B65" s="348" t="s">
        <v>239</v>
      </c>
      <c r="C65" s="349">
        <v>65.8</v>
      </c>
      <c r="D65" s="349">
        <v>43.1</v>
      </c>
      <c r="E65" s="350">
        <v>94.2</v>
      </c>
      <c r="F65" s="300"/>
    </row>
    <row r="66" spans="2:8" ht="14">
      <c r="B66" s="348" t="s">
        <v>240</v>
      </c>
      <c r="C66" s="349">
        <v>1.4</v>
      </c>
      <c r="D66" s="349">
        <v>1.8</v>
      </c>
      <c r="E66" s="350">
        <v>0.9</v>
      </c>
      <c r="F66" s="300"/>
    </row>
    <row r="67" spans="2:8" ht="14">
      <c r="B67" s="348" t="s">
        <v>241</v>
      </c>
      <c r="C67" s="349">
        <v>31.1</v>
      </c>
      <c r="D67" s="349">
        <v>53.9</v>
      </c>
      <c r="E67" s="350">
        <v>2.6</v>
      </c>
      <c r="F67" s="300"/>
    </row>
    <row r="68" spans="2:8" ht="14">
      <c r="B68" s="348" t="s">
        <v>242</v>
      </c>
      <c r="C68" s="349">
        <v>1.4</v>
      </c>
      <c r="D68" s="349">
        <v>1.1000000000000001</v>
      </c>
      <c r="E68" s="350">
        <v>1.7</v>
      </c>
      <c r="F68" s="300"/>
      <c r="G68" s="300"/>
      <c r="H68" s="300"/>
    </row>
    <row r="69" spans="2:8" ht="14">
      <c r="B69" s="348" t="s">
        <v>243</v>
      </c>
      <c r="C69" s="349">
        <v>0.3</v>
      </c>
      <c r="D69" s="349">
        <v>0.1</v>
      </c>
      <c r="E69" s="350">
        <v>0.6</v>
      </c>
      <c r="F69" s="300"/>
      <c r="G69" s="300"/>
      <c r="H69" s="300"/>
    </row>
    <row r="70" spans="2:8" ht="14">
      <c r="B70" s="663" t="s">
        <v>244</v>
      </c>
      <c r="C70" s="664"/>
      <c r="D70" s="664"/>
      <c r="E70" s="665"/>
      <c r="F70" s="300"/>
      <c r="G70" s="300"/>
      <c r="H70" s="300"/>
    </row>
    <row r="71" spans="2:8" ht="14">
      <c r="B71" s="345" t="s">
        <v>92</v>
      </c>
      <c r="C71" s="346">
        <v>100</v>
      </c>
      <c r="D71" s="346">
        <v>100</v>
      </c>
      <c r="E71" s="347">
        <v>100</v>
      </c>
      <c r="F71" s="300"/>
      <c r="G71" s="300"/>
      <c r="H71" s="300"/>
    </row>
    <row r="72" spans="2:8" ht="14">
      <c r="B72" s="348" t="s">
        <v>245</v>
      </c>
      <c r="C72" s="351">
        <v>93.9</v>
      </c>
      <c r="D72" s="351">
        <v>94.2</v>
      </c>
      <c r="E72" s="352">
        <v>93.4</v>
      </c>
      <c r="F72" s="300"/>
      <c r="G72" s="300"/>
      <c r="H72" s="300"/>
    </row>
    <row r="73" spans="2:8" ht="14">
      <c r="B73" s="348" t="s">
        <v>246</v>
      </c>
      <c r="C73" s="351">
        <v>3.7</v>
      </c>
      <c r="D73" s="351">
        <v>2.8</v>
      </c>
      <c r="E73" s="352">
        <v>4.9000000000000004</v>
      </c>
      <c r="F73" s="300"/>
      <c r="G73" s="300"/>
      <c r="H73" s="300"/>
    </row>
    <row r="74" spans="2:8" ht="14">
      <c r="B74" s="348" t="s">
        <v>247</v>
      </c>
      <c r="C74" s="351">
        <v>0.6</v>
      </c>
      <c r="D74" s="351">
        <v>0.7</v>
      </c>
      <c r="E74" s="352">
        <v>0.6</v>
      </c>
      <c r="F74" s="300"/>
      <c r="G74" s="300"/>
      <c r="H74" s="300"/>
    </row>
    <row r="75" spans="2:8" ht="14">
      <c r="B75" s="348" t="s">
        <v>248</v>
      </c>
      <c r="C75" s="351">
        <v>0.8</v>
      </c>
      <c r="D75" s="351">
        <v>1.4</v>
      </c>
      <c r="E75" s="352">
        <v>0</v>
      </c>
      <c r="F75" s="300"/>
      <c r="G75" s="300"/>
      <c r="H75" s="300"/>
    </row>
    <row r="76" spans="2:8" ht="14.5" thickBot="1">
      <c r="B76" s="353" t="s">
        <v>249</v>
      </c>
      <c r="C76" s="354">
        <v>1</v>
      </c>
      <c r="D76" s="354">
        <v>0.8</v>
      </c>
      <c r="E76" s="355">
        <v>1.1000000000000001</v>
      </c>
      <c r="G76" s="300"/>
      <c r="H76" s="300"/>
    </row>
    <row r="87" spans="2:3">
      <c r="B87" t="s">
        <v>984</v>
      </c>
    </row>
    <row r="88" spans="2:3">
      <c r="B88" s="106" t="s">
        <v>254</v>
      </c>
    </row>
    <row r="91" spans="2:3">
      <c r="B91" s="335">
        <v>0.14099999999999999</v>
      </c>
      <c r="C91" s="106" t="s">
        <v>255</v>
      </c>
    </row>
    <row r="92" spans="2:3">
      <c r="B92" s="333">
        <v>0.01</v>
      </c>
      <c r="C92" s="106" t="s">
        <v>256</v>
      </c>
    </row>
    <row r="93" spans="2:3">
      <c r="B93" s="335">
        <v>6.0999999999999999E-2</v>
      </c>
      <c r="C93" s="106" t="s">
        <v>257</v>
      </c>
    </row>
    <row r="94" spans="2:3">
      <c r="B94" s="335">
        <v>0.14799999999999999</v>
      </c>
      <c r="C94" s="106" t="s">
        <v>258</v>
      </c>
    </row>
    <row r="95" spans="2:3">
      <c r="B95" s="335">
        <v>4.0000000000000001E-3</v>
      </c>
      <c r="C95" s="106" t="s">
        <v>259</v>
      </c>
    </row>
    <row r="96" spans="2:3">
      <c r="B96" s="335">
        <v>0.63600000000000001</v>
      </c>
      <c r="C96" s="106" t="s">
        <v>260</v>
      </c>
    </row>
    <row r="98" spans="2:3">
      <c r="B98" s="106"/>
    </row>
    <row r="100" spans="2:3">
      <c r="B100" s="335"/>
      <c r="C100" s="106"/>
    </row>
    <row r="101" spans="2:3">
      <c r="B101" s="335"/>
      <c r="C101" s="106"/>
    </row>
    <row r="102" spans="2:3">
      <c r="B102" s="335"/>
      <c r="C102" s="106"/>
    </row>
    <row r="103" spans="2:3">
      <c r="B103" s="335"/>
      <c r="C103" s="106"/>
    </row>
    <row r="104" spans="2:3">
      <c r="B104" s="335"/>
      <c r="C104" s="106"/>
    </row>
    <row r="105" spans="2:3">
      <c r="B105" s="335"/>
      <c r="C105" s="106"/>
    </row>
    <row r="122" spans="6:6">
      <c r="F122" s="106"/>
    </row>
    <row r="129" spans="1:11" ht="15">
      <c r="B129" s="662" t="s">
        <v>268</v>
      </c>
      <c r="C129" s="662"/>
      <c r="D129" s="662"/>
      <c r="E129" s="662"/>
      <c r="F129" s="662"/>
      <c r="G129" s="662"/>
      <c r="H129" s="662"/>
      <c r="I129" s="662"/>
      <c r="J129" s="662"/>
      <c r="K129" s="662"/>
    </row>
    <row r="130" spans="1:11" ht="15.5">
      <c r="B130" s="671" t="s">
        <v>269</v>
      </c>
      <c r="C130" s="671"/>
      <c r="D130" s="671"/>
      <c r="E130" s="671"/>
      <c r="F130" s="671"/>
      <c r="G130" s="671"/>
      <c r="H130" s="671"/>
      <c r="I130" s="671"/>
      <c r="J130" s="671"/>
      <c r="K130" s="671"/>
    </row>
    <row r="131" spans="1:11" ht="16" thickBot="1">
      <c r="B131" s="364"/>
      <c r="C131" s="365"/>
      <c r="D131" s="365"/>
      <c r="E131" s="365"/>
      <c r="F131" s="365"/>
      <c r="G131" s="365"/>
      <c r="H131" s="365"/>
      <c r="I131" s="365"/>
      <c r="J131" s="365"/>
      <c r="K131" s="365"/>
    </row>
    <row r="132" spans="1:11" ht="15.5">
      <c r="B132" s="672" t="s">
        <v>270</v>
      </c>
      <c r="C132" s="674" t="s">
        <v>92</v>
      </c>
      <c r="D132" s="676" t="s">
        <v>271</v>
      </c>
      <c r="E132" s="676"/>
      <c r="F132" s="674" t="s">
        <v>272</v>
      </c>
      <c r="G132" s="676" t="s">
        <v>271</v>
      </c>
      <c r="H132" s="676"/>
      <c r="I132" s="674" t="s">
        <v>273</v>
      </c>
      <c r="J132" s="676" t="s">
        <v>271</v>
      </c>
      <c r="K132" s="677"/>
    </row>
    <row r="133" spans="1:11" ht="15.5" thickBot="1">
      <c r="B133" s="673"/>
      <c r="C133" s="675"/>
      <c r="D133" s="366" t="s">
        <v>274</v>
      </c>
      <c r="E133" s="366" t="s">
        <v>275</v>
      </c>
      <c r="F133" s="675"/>
      <c r="G133" s="366" t="s">
        <v>274</v>
      </c>
      <c r="H133" s="366" t="s">
        <v>275</v>
      </c>
      <c r="I133" s="675"/>
      <c r="J133" s="366" t="s">
        <v>274</v>
      </c>
      <c r="K133" s="367" t="s">
        <v>275</v>
      </c>
    </row>
    <row r="134" spans="1:11" ht="15">
      <c r="B134" s="368" t="s">
        <v>276</v>
      </c>
      <c r="C134" s="369">
        <v>9981.5</v>
      </c>
      <c r="D134" s="369">
        <v>4982.3999999999996</v>
      </c>
      <c r="E134" s="369">
        <v>4999.1000000000004</v>
      </c>
      <c r="F134" s="369">
        <v>5273.9</v>
      </c>
      <c r="G134" s="369">
        <v>2610.1</v>
      </c>
      <c r="H134" s="369">
        <v>2663.7999999999997</v>
      </c>
      <c r="I134" s="369">
        <v>4707.6000000000004</v>
      </c>
      <c r="J134" s="369">
        <v>2372.3000000000002</v>
      </c>
      <c r="K134" s="370">
        <v>2335.3000000000002</v>
      </c>
    </row>
    <row r="135" spans="1:11" ht="15">
      <c r="B135" s="371"/>
      <c r="C135" s="372"/>
      <c r="D135" s="372"/>
      <c r="E135" s="372"/>
      <c r="F135" s="372"/>
      <c r="G135" s="372"/>
      <c r="H135" s="372"/>
      <c r="I135" s="373"/>
      <c r="J135" s="373"/>
      <c r="K135" s="374"/>
    </row>
    <row r="136" spans="1:11" ht="15">
      <c r="A136" s="106" t="s">
        <v>938</v>
      </c>
      <c r="B136" s="371" t="s">
        <v>277</v>
      </c>
      <c r="C136" s="373">
        <v>2277.5</v>
      </c>
      <c r="D136" s="373">
        <v>1132.7</v>
      </c>
      <c r="E136" s="373">
        <v>1144.8</v>
      </c>
      <c r="F136" s="373">
        <v>2277.5</v>
      </c>
      <c r="G136" s="373">
        <v>1132.7</v>
      </c>
      <c r="H136" s="373">
        <v>1144.8</v>
      </c>
      <c r="I136" s="375" t="s">
        <v>185</v>
      </c>
      <c r="J136" s="375" t="s">
        <v>185</v>
      </c>
      <c r="K136" s="376" t="s">
        <v>185</v>
      </c>
    </row>
    <row r="137" spans="1:11" ht="15.5">
      <c r="B137" s="377" t="s">
        <v>271</v>
      </c>
      <c r="C137" s="372"/>
      <c r="D137" s="372"/>
      <c r="E137" s="372"/>
      <c r="F137" s="372"/>
      <c r="G137" s="372"/>
      <c r="H137" s="372"/>
      <c r="I137" s="372"/>
      <c r="J137" s="372"/>
      <c r="K137" s="378"/>
    </row>
    <row r="138" spans="1:11" ht="15">
      <c r="B138" s="371" t="s">
        <v>278</v>
      </c>
      <c r="C138" s="373">
        <v>265.8</v>
      </c>
      <c r="D138" s="373">
        <v>133.69999999999999</v>
      </c>
      <c r="E138" s="373">
        <v>132.10000000000002</v>
      </c>
      <c r="F138" s="373">
        <v>265.8</v>
      </c>
      <c r="G138" s="373">
        <v>133.69999999999999</v>
      </c>
      <c r="H138" s="373">
        <v>132.10000000000002</v>
      </c>
      <c r="I138" s="375" t="s">
        <v>185</v>
      </c>
      <c r="J138" s="375" t="s">
        <v>185</v>
      </c>
      <c r="K138" s="376" t="s">
        <v>185</v>
      </c>
    </row>
    <row r="139" spans="1:11" ht="15.5">
      <c r="B139" s="379" t="s">
        <v>279</v>
      </c>
      <c r="C139" s="372">
        <v>3.6</v>
      </c>
      <c r="D139" s="372">
        <v>1.9</v>
      </c>
      <c r="E139" s="372">
        <v>1.7000000000000002</v>
      </c>
      <c r="F139" s="372">
        <v>3.6</v>
      </c>
      <c r="G139" s="372">
        <v>1.9</v>
      </c>
      <c r="H139" s="372">
        <v>1.7000000000000002</v>
      </c>
      <c r="I139" s="375" t="s">
        <v>185</v>
      </c>
      <c r="J139" s="375" t="s">
        <v>185</v>
      </c>
      <c r="K139" s="376" t="s">
        <v>185</v>
      </c>
    </row>
    <row r="140" spans="1:11" ht="15.5">
      <c r="B140" s="379" t="s">
        <v>280</v>
      </c>
      <c r="C140" s="372">
        <v>18.399999999999999</v>
      </c>
      <c r="D140" s="372">
        <v>9.5</v>
      </c>
      <c r="E140" s="372">
        <v>8.8999999999999986</v>
      </c>
      <c r="F140" s="372">
        <v>18.399999999999999</v>
      </c>
      <c r="G140" s="372">
        <v>9.5</v>
      </c>
      <c r="H140" s="372">
        <v>8.8999999999999986</v>
      </c>
      <c r="I140" s="375" t="s">
        <v>185</v>
      </c>
      <c r="J140" s="375" t="s">
        <v>185</v>
      </c>
      <c r="K140" s="376" t="s">
        <v>185</v>
      </c>
    </row>
    <row r="141" spans="1:11" ht="15.5">
      <c r="B141" s="379" t="s">
        <v>281</v>
      </c>
      <c r="C141" s="372">
        <v>50.6</v>
      </c>
      <c r="D141" s="372">
        <v>25.3</v>
      </c>
      <c r="E141" s="372">
        <v>25.3</v>
      </c>
      <c r="F141" s="372">
        <v>50.6</v>
      </c>
      <c r="G141" s="372">
        <v>25.3</v>
      </c>
      <c r="H141" s="372">
        <v>25.3</v>
      </c>
      <c r="I141" s="375" t="s">
        <v>185</v>
      </c>
      <c r="J141" s="375" t="s">
        <v>185</v>
      </c>
      <c r="K141" s="376" t="s">
        <v>185</v>
      </c>
    </row>
    <row r="142" spans="1:11" ht="15.5">
      <c r="B142" s="379" t="s">
        <v>282</v>
      </c>
      <c r="C142" s="372">
        <v>39</v>
      </c>
      <c r="D142" s="372">
        <v>19.5</v>
      </c>
      <c r="E142" s="372">
        <v>19.5</v>
      </c>
      <c r="F142" s="372">
        <v>39</v>
      </c>
      <c r="G142" s="372">
        <v>19.5</v>
      </c>
      <c r="H142" s="372">
        <v>19.5</v>
      </c>
      <c r="I142" s="375" t="s">
        <v>185</v>
      </c>
      <c r="J142" s="375" t="s">
        <v>185</v>
      </c>
      <c r="K142" s="376" t="s">
        <v>185</v>
      </c>
    </row>
    <row r="143" spans="1:11" ht="15.5">
      <c r="B143" s="379" t="s">
        <v>283</v>
      </c>
      <c r="C143" s="372">
        <v>7</v>
      </c>
      <c r="D143" s="372">
        <v>3.7</v>
      </c>
      <c r="E143" s="372">
        <v>3.3</v>
      </c>
      <c r="F143" s="372">
        <v>7</v>
      </c>
      <c r="G143" s="372">
        <v>3.7</v>
      </c>
      <c r="H143" s="372">
        <v>3.3</v>
      </c>
      <c r="I143" s="375" t="s">
        <v>185</v>
      </c>
      <c r="J143" s="375" t="s">
        <v>185</v>
      </c>
      <c r="K143" s="376" t="s">
        <v>185</v>
      </c>
    </row>
    <row r="144" spans="1:11" ht="15.5">
      <c r="B144" s="379" t="s">
        <v>284</v>
      </c>
      <c r="C144" s="372">
        <v>54.4</v>
      </c>
      <c r="D144" s="372">
        <v>27.2</v>
      </c>
      <c r="E144" s="372">
        <v>27.2</v>
      </c>
      <c r="F144" s="372">
        <v>54.4</v>
      </c>
      <c r="G144" s="372">
        <v>27.2</v>
      </c>
      <c r="H144" s="372">
        <v>27.2</v>
      </c>
      <c r="I144" s="375" t="s">
        <v>185</v>
      </c>
      <c r="J144" s="375" t="s">
        <v>185</v>
      </c>
      <c r="K144" s="376" t="s">
        <v>185</v>
      </c>
    </row>
    <row r="145" spans="2:11" ht="15">
      <c r="B145" s="371" t="s">
        <v>285</v>
      </c>
      <c r="C145" s="373">
        <v>125.5</v>
      </c>
      <c r="D145" s="373">
        <v>63.9</v>
      </c>
      <c r="E145" s="373">
        <v>61.6</v>
      </c>
      <c r="F145" s="373">
        <v>125.5</v>
      </c>
      <c r="G145" s="373">
        <v>63.9</v>
      </c>
      <c r="H145" s="373">
        <v>61.6</v>
      </c>
      <c r="I145" s="375" t="s">
        <v>185</v>
      </c>
      <c r="J145" s="375" t="s">
        <v>185</v>
      </c>
      <c r="K145" s="376" t="s">
        <v>185</v>
      </c>
    </row>
    <row r="146" spans="2:11" ht="15.5">
      <c r="B146" s="379" t="s">
        <v>286</v>
      </c>
      <c r="C146" s="372">
        <v>12.6</v>
      </c>
      <c r="D146" s="372">
        <v>6.5</v>
      </c>
      <c r="E146" s="372">
        <v>6.1</v>
      </c>
      <c r="F146" s="372">
        <v>12.6</v>
      </c>
      <c r="G146" s="372">
        <v>6.5</v>
      </c>
      <c r="H146" s="372">
        <v>6.1</v>
      </c>
      <c r="I146" s="375" t="s">
        <v>185</v>
      </c>
      <c r="J146" s="375" t="s">
        <v>185</v>
      </c>
      <c r="K146" s="376" t="s">
        <v>185</v>
      </c>
    </row>
    <row r="147" spans="2:11" ht="15.5">
      <c r="B147" s="379" t="s">
        <v>287</v>
      </c>
      <c r="C147" s="372">
        <v>1.5</v>
      </c>
      <c r="D147" s="372">
        <v>0.7</v>
      </c>
      <c r="E147" s="372">
        <v>0.8</v>
      </c>
      <c r="F147" s="372">
        <v>1.5</v>
      </c>
      <c r="G147" s="372">
        <v>0.7</v>
      </c>
      <c r="H147" s="372">
        <v>0.8</v>
      </c>
      <c r="I147" s="375" t="s">
        <v>185</v>
      </c>
      <c r="J147" s="375" t="s">
        <v>185</v>
      </c>
      <c r="K147" s="376" t="s">
        <v>185</v>
      </c>
    </row>
    <row r="148" spans="2:11" ht="15.5">
      <c r="B148" s="379" t="s">
        <v>288</v>
      </c>
      <c r="C148" s="372">
        <v>0.4</v>
      </c>
      <c r="D148" s="372">
        <v>0.2</v>
      </c>
      <c r="E148" s="372">
        <v>0.2</v>
      </c>
      <c r="F148" s="372">
        <v>0.4</v>
      </c>
      <c r="G148" s="372">
        <v>0.2</v>
      </c>
      <c r="H148" s="372">
        <v>0.2</v>
      </c>
      <c r="I148" s="375" t="s">
        <v>185</v>
      </c>
      <c r="J148" s="375" t="s">
        <v>185</v>
      </c>
      <c r="K148" s="376" t="s">
        <v>185</v>
      </c>
    </row>
    <row r="149" spans="2:11" ht="15.5">
      <c r="B149" s="379" t="s">
        <v>289</v>
      </c>
      <c r="C149" s="372">
        <v>0.9</v>
      </c>
      <c r="D149" s="372">
        <v>0.4</v>
      </c>
      <c r="E149" s="372">
        <v>0.5</v>
      </c>
      <c r="F149" s="372">
        <v>0.9</v>
      </c>
      <c r="G149" s="372">
        <v>0.4</v>
      </c>
      <c r="H149" s="372">
        <v>0.5</v>
      </c>
      <c r="I149" s="375" t="s">
        <v>185</v>
      </c>
      <c r="J149" s="375" t="s">
        <v>185</v>
      </c>
      <c r="K149" s="376" t="s">
        <v>185</v>
      </c>
    </row>
    <row r="150" spans="2:11" ht="15.5">
      <c r="B150" s="379" t="s">
        <v>290</v>
      </c>
      <c r="C150" s="372" t="s">
        <v>185</v>
      </c>
      <c r="D150" s="372" t="s">
        <v>185</v>
      </c>
      <c r="E150" s="372" t="s">
        <v>185</v>
      </c>
      <c r="F150" s="372" t="s">
        <v>185</v>
      </c>
      <c r="G150" s="372" t="s">
        <v>185</v>
      </c>
      <c r="H150" s="372" t="s">
        <v>185</v>
      </c>
      <c r="I150" s="375" t="s">
        <v>185</v>
      </c>
      <c r="J150" s="375" t="s">
        <v>185</v>
      </c>
      <c r="K150" s="376" t="s">
        <v>185</v>
      </c>
    </row>
    <row r="151" spans="2:11" ht="15.5">
      <c r="B151" s="379" t="s">
        <v>291</v>
      </c>
      <c r="C151" s="372" t="s">
        <v>185</v>
      </c>
      <c r="D151" s="372" t="s">
        <v>185</v>
      </c>
      <c r="E151" s="372" t="s">
        <v>185</v>
      </c>
      <c r="F151" s="372" t="s">
        <v>185</v>
      </c>
      <c r="G151" s="372" t="s">
        <v>185</v>
      </c>
      <c r="H151" s="372" t="s">
        <v>185</v>
      </c>
      <c r="I151" s="375" t="s">
        <v>185</v>
      </c>
      <c r="J151" s="375" t="s">
        <v>185</v>
      </c>
      <c r="K151" s="376" t="s">
        <v>185</v>
      </c>
    </row>
    <row r="152" spans="2:11" ht="15.5">
      <c r="B152" s="379" t="s">
        <v>292</v>
      </c>
      <c r="C152" s="372" t="s">
        <v>185</v>
      </c>
      <c r="D152" s="372" t="s">
        <v>185</v>
      </c>
      <c r="E152" s="372" t="s">
        <v>185</v>
      </c>
      <c r="F152" s="372" t="s">
        <v>185</v>
      </c>
      <c r="G152" s="372" t="s">
        <v>185</v>
      </c>
      <c r="H152" s="372" t="s">
        <v>185</v>
      </c>
      <c r="I152" s="375" t="s">
        <v>185</v>
      </c>
      <c r="J152" s="375" t="s">
        <v>185</v>
      </c>
      <c r="K152" s="376" t="s">
        <v>185</v>
      </c>
    </row>
    <row r="153" spans="2:11" ht="15.5">
      <c r="B153" s="379" t="s">
        <v>293</v>
      </c>
      <c r="C153" s="372">
        <v>5</v>
      </c>
      <c r="D153" s="372">
        <v>2.6</v>
      </c>
      <c r="E153" s="372">
        <v>2.4</v>
      </c>
      <c r="F153" s="372">
        <v>5</v>
      </c>
      <c r="G153" s="372">
        <v>2.6</v>
      </c>
      <c r="H153" s="372">
        <v>2.4</v>
      </c>
      <c r="I153" s="375" t="s">
        <v>185</v>
      </c>
      <c r="J153" s="375" t="s">
        <v>185</v>
      </c>
      <c r="K153" s="376" t="s">
        <v>185</v>
      </c>
    </row>
    <row r="154" spans="2:11" ht="15.5">
      <c r="B154" s="379" t="s">
        <v>294</v>
      </c>
      <c r="C154" s="372">
        <v>0.9</v>
      </c>
      <c r="D154" s="372">
        <v>0.5</v>
      </c>
      <c r="E154" s="372">
        <v>0.4</v>
      </c>
      <c r="F154" s="372">
        <v>0.9</v>
      </c>
      <c r="G154" s="372">
        <v>0.5</v>
      </c>
      <c r="H154" s="372">
        <v>0.4</v>
      </c>
      <c r="I154" s="375" t="s">
        <v>185</v>
      </c>
      <c r="J154" s="375" t="s">
        <v>185</v>
      </c>
      <c r="K154" s="376" t="s">
        <v>185</v>
      </c>
    </row>
    <row r="155" spans="2:11" ht="15.5">
      <c r="B155" s="379" t="s">
        <v>295</v>
      </c>
      <c r="C155" s="372">
        <v>26</v>
      </c>
      <c r="D155" s="372">
        <v>13</v>
      </c>
      <c r="E155" s="372">
        <v>13</v>
      </c>
      <c r="F155" s="372">
        <v>26</v>
      </c>
      <c r="G155" s="372">
        <v>13</v>
      </c>
      <c r="H155" s="372">
        <v>13</v>
      </c>
      <c r="I155" s="375" t="s">
        <v>185</v>
      </c>
      <c r="J155" s="375" t="s">
        <v>185</v>
      </c>
      <c r="K155" s="376" t="s">
        <v>185</v>
      </c>
    </row>
    <row r="156" spans="2:11" ht="15.5">
      <c r="B156" s="379" t="s">
        <v>296</v>
      </c>
      <c r="C156" s="372">
        <v>0.1</v>
      </c>
      <c r="D156" s="372">
        <v>0.1</v>
      </c>
      <c r="E156" s="372">
        <v>0</v>
      </c>
      <c r="F156" s="372">
        <v>0.1</v>
      </c>
      <c r="G156" s="372">
        <v>0.1</v>
      </c>
      <c r="H156" s="372">
        <v>0</v>
      </c>
      <c r="I156" s="375" t="s">
        <v>185</v>
      </c>
      <c r="J156" s="375" t="s">
        <v>185</v>
      </c>
      <c r="K156" s="376" t="s">
        <v>185</v>
      </c>
    </row>
    <row r="157" spans="2:11" ht="15.5">
      <c r="B157" s="379" t="s">
        <v>297</v>
      </c>
      <c r="C157" s="372">
        <v>39.4</v>
      </c>
      <c r="D157" s="372">
        <v>20.2</v>
      </c>
      <c r="E157" s="372">
        <v>19.2</v>
      </c>
      <c r="F157" s="372">
        <v>39.4</v>
      </c>
      <c r="G157" s="372">
        <v>20.2</v>
      </c>
      <c r="H157" s="372">
        <v>19.2</v>
      </c>
      <c r="I157" s="375" t="s">
        <v>185</v>
      </c>
      <c r="J157" s="375" t="s">
        <v>185</v>
      </c>
      <c r="K157" s="376" t="s">
        <v>185</v>
      </c>
    </row>
    <row r="158" spans="2:11" ht="15.5">
      <c r="B158" s="379" t="s">
        <v>298</v>
      </c>
      <c r="C158" s="372">
        <v>0.1</v>
      </c>
      <c r="D158" s="372">
        <v>0.1</v>
      </c>
      <c r="E158" s="372">
        <v>0</v>
      </c>
      <c r="F158" s="372">
        <v>0.1</v>
      </c>
      <c r="G158" s="372">
        <v>0.1</v>
      </c>
      <c r="H158" s="372">
        <v>0</v>
      </c>
      <c r="I158" s="375" t="s">
        <v>185</v>
      </c>
      <c r="J158" s="375" t="s">
        <v>185</v>
      </c>
      <c r="K158" s="376" t="s">
        <v>185</v>
      </c>
    </row>
    <row r="159" spans="2:11" ht="15.5">
      <c r="B159" s="379" t="s">
        <v>299</v>
      </c>
      <c r="C159" s="372" t="s">
        <v>185</v>
      </c>
      <c r="D159" s="372" t="s">
        <v>185</v>
      </c>
      <c r="E159" s="372" t="s">
        <v>185</v>
      </c>
      <c r="F159" s="372" t="s">
        <v>185</v>
      </c>
      <c r="G159" s="372" t="s">
        <v>185</v>
      </c>
      <c r="H159" s="372" t="s">
        <v>185</v>
      </c>
      <c r="I159" s="375" t="s">
        <v>185</v>
      </c>
      <c r="J159" s="375" t="s">
        <v>185</v>
      </c>
      <c r="K159" s="376" t="s">
        <v>185</v>
      </c>
    </row>
    <row r="160" spans="2:11" ht="15.5">
      <c r="B160" s="379" t="s">
        <v>300</v>
      </c>
      <c r="C160" s="372">
        <v>1.3</v>
      </c>
      <c r="D160" s="372">
        <v>0.6</v>
      </c>
      <c r="E160" s="372">
        <v>0.70000000000000007</v>
      </c>
      <c r="F160" s="372">
        <v>1.3</v>
      </c>
      <c r="G160" s="372">
        <v>0.6</v>
      </c>
      <c r="H160" s="372">
        <v>0.70000000000000007</v>
      </c>
      <c r="I160" s="375" t="s">
        <v>185</v>
      </c>
      <c r="J160" s="375" t="s">
        <v>185</v>
      </c>
      <c r="K160" s="376" t="s">
        <v>185</v>
      </c>
    </row>
    <row r="161" spans="2:11" ht="15.5">
      <c r="B161" s="379" t="s">
        <v>301</v>
      </c>
      <c r="C161" s="372">
        <v>2.5</v>
      </c>
      <c r="D161" s="372">
        <v>1.2</v>
      </c>
      <c r="E161" s="372">
        <v>1.3</v>
      </c>
      <c r="F161" s="372">
        <v>2.5</v>
      </c>
      <c r="G161" s="372">
        <v>1.2</v>
      </c>
      <c r="H161" s="372">
        <v>1.3</v>
      </c>
      <c r="I161" s="375" t="s">
        <v>185</v>
      </c>
      <c r="J161" s="375" t="s">
        <v>185</v>
      </c>
      <c r="K161" s="376" t="s">
        <v>185</v>
      </c>
    </row>
    <row r="162" spans="2:11" ht="15.5">
      <c r="B162" s="379" t="s">
        <v>302</v>
      </c>
      <c r="C162" s="372">
        <v>17.7</v>
      </c>
      <c r="D162" s="372">
        <v>9.1</v>
      </c>
      <c r="E162" s="372">
        <v>8.6</v>
      </c>
      <c r="F162" s="372">
        <v>17.7</v>
      </c>
      <c r="G162" s="372">
        <v>9.1</v>
      </c>
      <c r="H162" s="372">
        <v>8.6</v>
      </c>
      <c r="I162" s="375" t="s">
        <v>185</v>
      </c>
      <c r="J162" s="375" t="s">
        <v>185</v>
      </c>
      <c r="K162" s="376" t="s">
        <v>185</v>
      </c>
    </row>
    <row r="163" spans="2:11" ht="15.5">
      <c r="B163" s="379" t="s">
        <v>303</v>
      </c>
      <c r="C163" s="372">
        <v>10</v>
      </c>
      <c r="D163" s="372">
        <v>5.0999999999999996</v>
      </c>
      <c r="E163" s="372">
        <v>4.9000000000000004</v>
      </c>
      <c r="F163" s="372">
        <v>10</v>
      </c>
      <c r="G163" s="372">
        <v>5.0999999999999996</v>
      </c>
      <c r="H163" s="372">
        <v>4.9000000000000004</v>
      </c>
      <c r="I163" s="375" t="s">
        <v>185</v>
      </c>
      <c r="J163" s="375" t="s">
        <v>185</v>
      </c>
      <c r="K163" s="376" t="s">
        <v>185</v>
      </c>
    </row>
    <row r="164" spans="2:11" ht="15.5">
      <c r="B164" s="379" t="s">
        <v>304</v>
      </c>
      <c r="C164" s="372">
        <v>1.5</v>
      </c>
      <c r="D164" s="372">
        <v>0.8</v>
      </c>
      <c r="E164" s="372">
        <v>0.7</v>
      </c>
      <c r="F164" s="372">
        <v>1.5</v>
      </c>
      <c r="G164" s="372">
        <v>0.8</v>
      </c>
      <c r="H164" s="372">
        <v>0.7</v>
      </c>
      <c r="I164" s="375" t="s">
        <v>185</v>
      </c>
      <c r="J164" s="375" t="s">
        <v>185</v>
      </c>
      <c r="K164" s="376" t="s">
        <v>185</v>
      </c>
    </row>
    <row r="165" spans="2:11" ht="15.5">
      <c r="B165" s="379" t="s">
        <v>305</v>
      </c>
      <c r="C165" s="372">
        <v>4.8</v>
      </c>
      <c r="D165" s="372">
        <v>2.4</v>
      </c>
      <c r="E165" s="372">
        <v>2.4</v>
      </c>
      <c r="F165" s="372">
        <v>4.8</v>
      </c>
      <c r="G165" s="372">
        <v>2.4</v>
      </c>
      <c r="H165" s="372">
        <v>2.4</v>
      </c>
      <c r="I165" s="375" t="s">
        <v>185</v>
      </c>
      <c r="J165" s="375" t="s">
        <v>185</v>
      </c>
      <c r="K165" s="376" t="s">
        <v>185</v>
      </c>
    </row>
    <row r="166" spans="2:11" ht="15.5">
      <c r="B166" s="379" t="s">
        <v>306</v>
      </c>
      <c r="C166" s="372">
        <v>0.8</v>
      </c>
      <c r="D166" s="372">
        <v>0.4</v>
      </c>
      <c r="E166" s="372">
        <v>0.4</v>
      </c>
      <c r="F166" s="372">
        <v>0.8</v>
      </c>
      <c r="G166" s="372">
        <v>0.4</v>
      </c>
      <c r="H166" s="372">
        <v>0.4</v>
      </c>
      <c r="I166" s="375" t="s">
        <v>185</v>
      </c>
      <c r="J166" s="375" t="s">
        <v>185</v>
      </c>
      <c r="K166" s="376" t="s">
        <v>185</v>
      </c>
    </row>
    <row r="167" spans="2:11" ht="15">
      <c r="B167" s="371" t="s">
        <v>307</v>
      </c>
      <c r="C167" s="373">
        <v>166.5</v>
      </c>
      <c r="D167" s="373">
        <v>84.9</v>
      </c>
      <c r="E167" s="373">
        <v>81.599999999999994</v>
      </c>
      <c r="F167" s="373">
        <v>166.5</v>
      </c>
      <c r="G167" s="373">
        <v>84.9</v>
      </c>
      <c r="H167" s="373">
        <v>81.599999999999994</v>
      </c>
      <c r="I167" s="375" t="s">
        <v>185</v>
      </c>
      <c r="J167" s="375" t="s">
        <v>185</v>
      </c>
      <c r="K167" s="376" t="s">
        <v>185</v>
      </c>
    </row>
    <row r="168" spans="2:11" ht="15.5">
      <c r="B168" s="379" t="s">
        <v>308</v>
      </c>
      <c r="C168" s="372">
        <v>57</v>
      </c>
      <c r="D168" s="372">
        <v>28.8</v>
      </c>
      <c r="E168" s="372">
        <v>28.2</v>
      </c>
      <c r="F168" s="372">
        <v>57</v>
      </c>
      <c r="G168" s="372">
        <v>28.8</v>
      </c>
      <c r="H168" s="372">
        <v>28.2</v>
      </c>
      <c r="I168" s="375" t="s">
        <v>185</v>
      </c>
      <c r="J168" s="375" t="s">
        <v>185</v>
      </c>
      <c r="K168" s="376" t="s">
        <v>185</v>
      </c>
    </row>
    <row r="169" spans="2:11" ht="15.5">
      <c r="B169" s="379" t="s">
        <v>309</v>
      </c>
      <c r="C169" s="372">
        <v>31.5</v>
      </c>
      <c r="D169" s="372">
        <v>16</v>
      </c>
      <c r="E169" s="372">
        <v>15.5</v>
      </c>
      <c r="F169" s="372">
        <v>31.5</v>
      </c>
      <c r="G169" s="372">
        <v>16</v>
      </c>
      <c r="H169" s="372">
        <v>15.5</v>
      </c>
      <c r="I169" s="375" t="s">
        <v>185</v>
      </c>
      <c r="J169" s="375" t="s">
        <v>185</v>
      </c>
      <c r="K169" s="376" t="s">
        <v>185</v>
      </c>
    </row>
    <row r="170" spans="2:11" ht="15.5">
      <c r="B170" s="379" t="s">
        <v>310</v>
      </c>
      <c r="C170" s="372">
        <v>5</v>
      </c>
      <c r="D170" s="372">
        <v>2.6</v>
      </c>
      <c r="E170" s="372">
        <v>2.4</v>
      </c>
      <c r="F170" s="372">
        <v>5</v>
      </c>
      <c r="G170" s="372">
        <v>2.6</v>
      </c>
      <c r="H170" s="372">
        <v>2.4</v>
      </c>
      <c r="I170" s="375" t="s">
        <v>185</v>
      </c>
      <c r="J170" s="375" t="s">
        <v>185</v>
      </c>
      <c r="K170" s="376" t="s">
        <v>185</v>
      </c>
    </row>
    <row r="171" spans="2:11" ht="15.5">
      <c r="B171" s="379" t="s">
        <v>311</v>
      </c>
      <c r="C171" s="372">
        <v>25.1</v>
      </c>
      <c r="D171" s="372">
        <v>13.5</v>
      </c>
      <c r="E171" s="372">
        <v>11.600000000000001</v>
      </c>
      <c r="F171" s="372">
        <v>25.1</v>
      </c>
      <c r="G171" s="372">
        <v>13.5</v>
      </c>
      <c r="H171" s="372">
        <v>11.600000000000001</v>
      </c>
      <c r="I171" s="375" t="s">
        <v>185</v>
      </c>
      <c r="J171" s="375" t="s">
        <v>185</v>
      </c>
      <c r="K171" s="376" t="s">
        <v>185</v>
      </c>
    </row>
    <row r="172" spans="2:11" ht="15.5">
      <c r="B172" s="379" t="s">
        <v>312</v>
      </c>
      <c r="C172" s="372">
        <v>3.6</v>
      </c>
      <c r="D172" s="372">
        <v>1.8</v>
      </c>
      <c r="E172" s="372">
        <v>1.8</v>
      </c>
      <c r="F172" s="372">
        <v>3.6</v>
      </c>
      <c r="G172" s="372">
        <v>1.8</v>
      </c>
      <c r="H172" s="372">
        <v>1.8</v>
      </c>
      <c r="I172" s="375" t="s">
        <v>185</v>
      </c>
      <c r="J172" s="375" t="s">
        <v>185</v>
      </c>
      <c r="K172" s="376" t="s">
        <v>185</v>
      </c>
    </row>
    <row r="173" spans="2:11" ht="15.5">
      <c r="B173" s="379" t="s">
        <v>313</v>
      </c>
      <c r="C173" s="372">
        <v>19.399999999999999</v>
      </c>
      <c r="D173" s="372">
        <v>9.6999999999999993</v>
      </c>
      <c r="E173" s="372">
        <v>9.6999999999999993</v>
      </c>
      <c r="F173" s="372">
        <v>19.399999999999999</v>
      </c>
      <c r="G173" s="372">
        <v>9.6999999999999993</v>
      </c>
      <c r="H173" s="372">
        <v>9.6999999999999993</v>
      </c>
      <c r="I173" s="375" t="s">
        <v>185</v>
      </c>
      <c r="J173" s="375" t="s">
        <v>185</v>
      </c>
      <c r="K173" s="376" t="s">
        <v>185</v>
      </c>
    </row>
    <row r="174" spans="2:11" ht="15.5">
      <c r="B174" s="379" t="s">
        <v>314</v>
      </c>
      <c r="C174" s="372">
        <v>12.5</v>
      </c>
      <c r="D174" s="372">
        <v>6.3</v>
      </c>
      <c r="E174" s="372">
        <v>6.2</v>
      </c>
      <c r="F174" s="372">
        <v>12.5</v>
      </c>
      <c r="G174" s="372">
        <v>6.3</v>
      </c>
      <c r="H174" s="372">
        <v>6.2</v>
      </c>
      <c r="I174" s="375" t="s">
        <v>185</v>
      </c>
      <c r="J174" s="375" t="s">
        <v>185</v>
      </c>
      <c r="K174" s="376" t="s">
        <v>185</v>
      </c>
    </row>
    <row r="175" spans="2:11" ht="15.5">
      <c r="B175" s="379" t="s">
        <v>315</v>
      </c>
      <c r="C175" s="372">
        <v>12.4</v>
      </c>
      <c r="D175" s="372">
        <v>6.2</v>
      </c>
      <c r="E175" s="372">
        <v>6.2</v>
      </c>
      <c r="F175" s="372">
        <v>12.4</v>
      </c>
      <c r="G175" s="372">
        <v>6.2</v>
      </c>
      <c r="H175" s="372">
        <v>6.2</v>
      </c>
      <c r="I175" s="375" t="s">
        <v>185</v>
      </c>
      <c r="J175" s="375" t="s">
        <v>185</v>
      </c>
      <c r="K175" s="376" t="s">
        <v>185</v>
      </c>
    </row>
    <row r="176" spans="2:11" ht="15">
      <c r="B176" s="371" t="s">
        <v>316</v>
      </c>
      <c r="C176" s="373">
        <v>101.8</v>
      </c>
      <c r="D176" s="373">
        <v>48.9</v>
      </c>
      <c r="E176" s="373">
        <v>52.9</v>
      </c>
      <c r="F176" s="373">
        <v>101.8</v>
      </c>
      <c r="G176" s="373">
        <v>48.9</v>
      </c>
      <c r="H176" s="373">
        <v>52.9</v>
      </c>
      <c r="I176" s="375" t="s">
        <v>185</v>
      </c>
      <c r="J176" s="375" t="s">
        <v>185</v>
      </c>
      <c r="K176" s="376" t="s">
        <v>185</v>
      </c>
    </row>
    <row r="177" spans="2:11" ht="15.5">
      <c r="B177" s="379" t="s">
        <v>317</v>
      </c>
      <c r="C177" s="372">
        <v>22.3</v>
      </c>
      <c r="D177" s="372">
        <v>11.2</v>
      </c>
      <c r="E177" s="372">
        <v>11.100000000000001</v>
      </c>
      <c r="F177" s="372">
        <v>22.3</v>
      </c>
      <c r="G177" s="372">
        <v>11.2</v>
      </c>
      <c r="H177" s="372">
        <v>11.100000000000001</v>
      </c>
      <c r="I177" s="375" t="s">
        <v>185</v>
      </c>
      <c r="J177" s="375" t="s">
        <v>185</v>
      </c>
      <c r="K177" s="376" t="s">
        <v>185</v>
      </c>
    </row>
    <row r="178" spans="2:11" ht="15.5">
      <c r="B178" s="379" t="s">
        <v>318</v>
      </c>
      <c r="C178" s="372">
        <v>2.1</v>
      </c>
      <c r="D178" s="372">
        <v>1</v>
      </c>
      <c r="E178" s="372">
        <v>1.1000000000000001</v>
      </c>
      <c r="F178" s="372">
        <v>2.1</v>
      </c>
      <c r="G178" s="372">
        <v>1</v>
      </c>
      <c r="H178" s="372">
        <v>1.1000000000000001</v>
      </c>
      <c r="I178" s="375" t="s">
        <v>185</v>
      </c>
      <c r="J178" s="375" t="s">
        <v>185</v>
      </c>
      <c r="K178" s="376" t="s">
        <v>185</v>
      </c>
    </row>
    <row r="179" spans="2:11" ht="15">
      <c r="B179" s="371" t="s">
        <v>319</v>
      </c>
      <c r="C179" s="380">
        <v>244.6</v>
      </c>
      <c r="D179" s="380">
        <v>122.4</v>
      </c>
      <c r="E179" s="380">
        <v>122.19999999999999</v>
      </c>
      <c r="F179" s="380">
        <v>244.6</v>
      </c>
      <c r="G179" s="380">
        <v>122.4</v>
      </c>
      <c r="H179" s="380">
        <v>122.19999999999999</v>
      </c>
      <c r="I179" s="375" t="s">
        <v>185</v>
      </c>
      <c r="J179" s="375" t="s">
        <v>185</v>
      </c>
      <c r="K179" s="376" t="s">
        <v>185</v>
      </c>
    </row>
    <row r="180" spans="2:11" ht="15.5">
      <c r="B180" s="379" t="s">
        <v>320</v>
      </c>
      <c r="C180" s="381">
        <v>76.599999999999994</v>
      </c>
      <c r="D180" s="382">
        <v>38.700000000000003</v>
      </c>
      <c r="E180" s="381">
        <v>37.899999999999991</v>
      </c>
      <c r="F180" s="381">
        <v>76.599999999999994</v>
      </c>
      <c r="G180" s="382">
        <v>38.700000000000003</v>
      </c>
      <c r="H180" s="381">
        <v>37.899999999999991</v>
      </c>
      <c r="I180" s="375" t="s">
        <v>185</v>
      </c>
      <c r="J180" s="375" t="s">
        <v>185</v>
      </c>
      <c r="K180" s="376" t="s">
        <v>185</v>
      </c>
    </row>
    <row r="181" spans="2:11" ht="15.5">
      <c r="B181" s="379" t="s">
        <v>321</v>
      </c>
      <c r="C181" s="381">
        <v>14.4</v>
      </c>
      <c r="D181" s="382">
        <v>7.1</v>
      </c>
      <c r="E181" s="381">
        <v>7.3000000000000007</v>
      </c>
      <c r="F181" s="381">
        <v>14.4</v>
      </c>
      <c r="G181" s="382">
        <v>7.1</v>
      </c>
      <c r="H181" s="381">
        <v>7.3000000000000007</v>
      </c>
      <c r="I181" s="375" t="s">
        <v>185</v>
      </c>
      <c r="J181" s="375" t="s">
        <v>185</v>
      </c>
      <c r="K181" s="376" t="s">
        <v>185</v>
      </c>
    </row>
    <row r="182" spans="2:11" ht="15.5">
      <c r="B182" s="379" t="s">
        <v>322</v>
      </c>
      <c r="C182" s="381">
        <v>8.6</v>
      </c>
      <c r="D182" s="382">
        <v>4.2</v>
      </c>
      <c r="E182" s="381">
        <v>4.3999999999999995</v>
      </c>
      <c r="F182" s="381">
        <v>8.6</v>
      </c>
      <c r="G182" s="382">
        <v>4.2</v>
      </c>
      <c r="H182" s="381">
        <v>4.3999999999999995</v>
      </c>
      <c r="I182" s="375" t="s">
        <v>185</v>
      </c>
      <c r="J182" s="375" t="s">
        <v>185</v>
      </c>
      <c r="K182" s="376" t="s">
        <v>185</v>
      </c>
    </row>
    <row r="183" spans="2:11" ht="15.5">
      <c r="B183" s="379" t="s">
        <v>323</v>
      </c>
      <c r="C183" s="381">
        <v>6.7</v>
      </c>
      <c r="D183" s="382">
        <v>3.3</v>
      </c>
      <c r="E183" s="381">
        <v>3.4000000000000004</v>
      </c>
      <c r="F183" s="381">
        <v>6.7</v>
      </c>
      <c r="G183" s="382">
        <v>3.3</v>
      </c>
      <c r="H183" s="381">
        <v>3.4000000000000004</v>
      </c>
      <c r="I183" s="375" t="s">
        <v>185</v>
      </c>
      <c r="J183" s="375" t="s">
        <v>185</v>
      </c>
      <c r="K183" s="376" t="s">
        <v>185</v>
      </c>
    </row>
    <row r="184" spans="2:11" ht="15.5">
      <c r="B184" s="379" t="s">
        <v>324</v>
      </c>
      <c r="C184" s="381">
        <v>46.2</v>
      </c>
      <c r="D184" s="382">
        <v>23.3</v>
      </c>
      <c r="E184" s="381">
        <v>22.900000000000002</v>
      </c>
      <c r="F184" s="381">
        <v>46.2</v>
      </c>
      <c r="G184" s="382">
        <v>23.3</v>
      </c>
      <c r="H184" s="381">
        <v>22.900000000000002</v>
      </c>
      <c r="I184" s="375" t="s">
        <v>185</v>
      </c>
      <c r="J184" s="375" t="s">
        <v>185</v>
      </c>
      <c r="K184" s="376" t="s">
        <v>185</v>
      </c>
    </row>
    <row r="185" spans="2:11" ht="15.5">
      <c r="B185" s="379" t="s">
        <v>325</v>
      </c>
      <c r="C185" s="381">
        <v>10.199999999999999</v>
      </c>
      <c r="D185" s="382">
        <v>5.2</v>
      </c>
      <c r="E185" s="381">
        <v>4.9999999999999991</v>
      </c>
      <c r="F185" s="381">
        <v>10.199999999999999</v>
      </c>
      <c r="G185" s="382">
        <v>5.2</v>
      </c>
      <c r="H185" s="381">
        <v>4.9999999999999991</v>
      </c>
      <c r="I185" s="375" t="s">
        <v>185</v>
      </c>
      <c r="J185" s="375" t="s">
        <v>185</v>
      </c>
      <c r="K185" s="376" t="s">
        <v>185</v>
      </c>
    </row>
    <row r="186" spans="2:11" ht="15.5">
      <c r="B186" s="379" t="s">
        <v>326</v>
      </c>
      <c r="C186" s="381">
        <v>7</v>
      </c>
      <c r="D186" s="382">
        <v>3.6</v>
      </c>
      <c r="E186" s="381">
        <v>3.4</v>
      </c>
      <c r="F186" s="381">
        <v>7</v>
      </c>
      <c r="G186" s="382">
        <v>3.6</v>
      </c>
      <c r="H186" s="381">
        <v>3.4</v>
      </c>
      <c r="I186" s="375" t="s">
        <v>185</v>
      </c>
      <c r="J186" s="375" t="s">
        <v>185</v>
      </c>
      <c r="K186" s="376" t="s">
        <v>185</v>
      </c>
    </row>
    <row r="187" spans="2:11" ht="15.5">
      <c r="B187" s="379" t="s">
        <v>327</v>
      </c>
      <c r="C187" s="381">
        <v>12.9</v>
      </c>
      <c r="D187" s="382">
        <v>6.4</v>
      </c>
      <c r="E187" s="381">
        <v>6.5</v>
      </c>
      <c r="F187" s="381">
        <v>12.9</v>
      </c>
      <c r="G187" s="382">
        <v>6.4</v>
      </c>
      <c r="H187" s="381">
        <v>6.5</v>
      </c>
      <c r="I187" s="375" t="s">
        <v>185</v>
      </c>
      <c r="J187" s="375" t="s">
        <v>185</v>
      </c>
      <c r="K187" s="376" t="s">
        <v>185</v>
      </c>
    </row>
    <row r="188" spans="2:11" ht="15.5">
      <c r="B188" s="379" t="s">
        <v>328</v>
      </c>
      <c r="C188" s="381">
        <v>32.5</v>
      </c>
      <c r="D188" s="382">
        <v>16.100000000000001</v>
      </c>
      <c r="E188" s="381">
        <v>16.399999999999999</v>
      </c>
      <c r="F188" s="381">
        <v>32.5</v>
      </c>
      <c r="G188" s="382">
        <v>16.100000000000001</v>
      </c>
      <c r="H188" s="381">
        <v>16.399999999999999</v>
      </c>
      <c r="I188" s="375" t="s">
        <v>185</v>
      </c>
      <c r="J188" s="375" t="s">
        <v>185</v>
      </c>
      <c r="K188" s="376" t="s">
        <v>185</v>
      </c>
    </row>
    <row r="189" spans="2:11" ht="15.5">
      <c r="B189" s="379" t="s">
        <v>329</v>
      </c>
      <c r="C189" s="381">
        <v>29.5</v>
      </c>
      <c r="D189" s="382">
        <v>14.5</v>
      </c>
      <c r="E189" s="381">
        <v>15</v>
      </c>
      <c r="F189" s="381">
        <v>29.5</v>
      </c>
      <c r="G189" s="382">
        <v>14.5</v>
      </c>
      <c r="H189" s="381">
        <v>15</v>
      </c>
      <c r="I189" s="375" t="s">
        <v>185</v>
      </c>
      <c r="J189" s="375" t="s">
        <v>185</v>
      </c>
      <c r="K189" s="376" t="s">
        <v>185</v>
      </c>
    </row>
    <row r="190" spans="2:11" ht="15">
      <c r="B190" s="371" t="s">
        <v>330</v>
      </c>
      <c r="C190" s="380">
        <v>219.5</v>
      </c>
      <c r="D190" s="380">
        <v>108.3</v>
      </c>
      <c r="E190" s="380">
        <v>111.2</v>
      </c>
      <c r="F190" s="380">
        <v>219.5</v>
      </c>
      <c r="G190" s="380">
        <v>108.3</v>
      </c>
      <c r="H190" s="380">
        <v>111.2</v>
      </c>
      <c r="I190" s="375" t="s">
        <v>185</v>
      </c>
      <c r="J190" s="375" t="s">
        <v>185</v>
      </c>
      <c r="K190" s="376" t="s">
        <v>185</v>
      </c>
    </row>
    <row r="191" spans="2:11" ht="15.5">
      <c r="B191" s="379" t="s">
        <v>331</v>
      </c>
      <c r="C191" s="381">
        <v>25.3</v>
      </c>
      <c r="D191" s="382">
        <v>12.4</v>
      </c>
      <c r="E191" s="381">
        <v>12.9</v>
      </c>
      <c r="F191" s="381">
        <v>25.3</v>
      </c>
      <c r="G191" s="382">
        <v>12.4</v>
      </c>
      <c r="H191" s="381">
        <v>12.9</v>
      </c>
      <c r="I191" s="375" t="s">
        <v>185</v>
      </c>
      <c r="J191" s="375" t="s">
        <v>185</v>
      </c>
      <c r="K191" s="376" t="s">
        <v>185</v>
      </c>
    </row>
    <row r="192" spans="2:11" ht="15.5">
      <c r="B192" s="379" t="s">
        <v>332</v>
      </c>
      <c r="C192" s="381">
        <v>32.299999999999997</v>
      </c>
      <c r="D192" s="382">
        <v>15.7</v>
      </c>
      <c r="E192" s="381">
        <v>16.599999999999998</v>
      </c>
      <c r="F192" s="381">
        <v>32.299999999999997</v>
      </c>
      <c r="G192" s="382">
        <v>15.7</v>
      </c>
      <c r="H192" s="381">
        <v>16.599999999999998</v>
      </c>
      <c r="I192" s="375" t="s">
        <v>185</v>
      </c>
      <c r="J192" s="375" t="s">
        <v>185</v>
      </c>
      <c r="K192" s="376" t="s">
        <v>185</v>
      </c>
    </row>
    <row r="193" spans="2:11" ht="15.5">
      <c r="B193" s="379" t="s">
        <v>333</v>
      </c>
      <c r="C193" s="381">
        <v>42.3</v>
      </c>
      <c r="D193" s="382">
        <v>20.9</v>
      </c>
      <c r="E193" s="381">
        <v>21.4</v>
      </c>
      <c r="F193" s="381">
        <v>42.3</v>
      </c>
      <c r="G193" s="382">
        <v>20.9</v>
      </c>
      <c r="H193" s="381">
        <v>21.4</v>
      </c>
      <c r="I193" s="375" t="s">
        <v>185</v>
      </c>
      <c r="J193" s="375" t="s">
        <v>185</v>
      </c>
      <c r="K193" s="376" t="s">
        <v>185</v>
      </c>
    </row>
    <row r="194" spans="2:11" ht="15.5">
      <c r="B194" s="379" t="s">
        <v>334</v>
      </c>
      <c r="C194" s="381">
        <v>87.3</v>
      </c>
      <c r="D194" s="382">
        <v>43.5</v>
      </c>
      <c r="E194" s="381">
        <v>43.8</v>
      </c>
      <c r="F194" s="381">
        <v>87.3</v>
      </c>
      <c r="G194" s="382">
        <v>43.5</v>
      </c>
      <c r="H194" s="381">
        <v>43.8</v>
      </c>
      <c r="I194" s="375" t="s">
        <v>185</v>
      </c>
      <c r="J194" s="375" t="s">
        <v>185</v>
      </c>
      <c r="K194" s="376" t="s">
        <v>185</v>
      </c>
    </row>
    <row r="195" spans="2:11" ht="15.5">
      <c r="B195" s="379" t="s">
        <v>335</v>
      </c>
      <c r="C195" s="381">
        <v>18.100000000000001</v>
      </c>
      <c r="D195" s="382">
        <v>8.8000000000000007</v>
      </c>
      <c r="E195" s="381">
        <v>9.3000000000000007</v>
      </c>
      <c r="F195" s="381">
        <v>18.100000000000001</v>
      </c>
      <c r="G195" s="382">
        <v>8.8000000000000007</v>
      </c>
      <c r="H195" s="381">
        <v>9.3000000000000007</v>
      </c>
      <c r="I195" s="375" t="s">
        <v>185</v>
      </c>
      <c r="J195" s="375" t="s">
        <v>185</v>
      </c>
      <c r="K195" s="376" t="s">
        <v>185</v>
      </c>
    </row>
    <row r="196" spans="2:11" ht="15.5">
      <c r="B196" s="379" t="s">
        <v>336</v>
      </c>
      <c r="C196" s="381">
        <v>14.2</v>
      </c>
      <c r="D196" s="382">
        <v>7</v>
      </c>
      <c r="E196" s="381">
        <v>7.1999999999999993</v>
      </c>
      <c r="F196" s="381">
        <v>14.2</v>
      </c>
      <c r="G196" s="382">
        <v>7</v>
      </c>
      <c r="H196" s="381">
        <v>7.1999999999999993</v>
      </c>
      <c r="I196" s="375" t="s">
        <v>185</v>
      </c>
      <c r="J196" s="375" t="s">
        <v>185</v>
      </c>
      <c r="K196" s="376" t="s">
        <v>185</v>
      </c>
    </row>
    <row r="197" spans="2:11" ht="15">
      <c r="B197" s="371" t="s">
        <v>337</v>
      </c>
      <c r="C197" s="380">
        <v>178.3</v>
      </c>
      <c r="D197" s="380">
        <v>88.2</v>
      </c>
      <c r="E197" s="380">
        <v>90.100000000000009</v>
      </c>
      <c r="F197" s="380">
        <v>178.3</v>
      </c>
      <c r="G197" s="380">
        <v>88.2</v>
      </c>
      <c r="H197" s="380">
        <v>90.100000000000009</v>
      </c>
      <c r="I197" s="375" t="s">
        <v>185</v>
      </c>
      <c r="J197" s="375" t="s">
        <v>185</v>
      </c>
      <c r="K197" s="376" t="s">
        <v>185</v>
      </c>
    </row>
    <row r="198" spans="2:11" ht="15">
      <c r="B198" s="371" t="s">
        <v>338</v>
      </c>
      <c r="C198" s="380">
        <v>221.1</v>
      </c>
      <c r="D198" s="380">
        <v>109.7</v>
      </c>
      <c r="E198" s="380">
        <v>111.39999999999999</v>
      </c>
      <c r="F198" s="380">
        <v>221.1</v>
      </c>
      <c r="G198" s="380">
        <v>109.7</v>
      </c>
      <c r="H198" s="380">
        <v>111.39999999999999</v>
      </c>
      <c r="I198" s="375" t="s">
        <v>185</v>
      </c>
      <c r="J198" s="375" t="s">
        <v>185</v>
      </c>
      <c r="K198" s="376" t="s">
        <v>185</v>
      </c>
    </row>
    <row r="199" spans="2:11" ht="15">
      <c r="B199" s="371" t="s">
        <v>339</v>
      </c>
      <c r="C199" s="380">
        <v>200</v>
      </c>
      <c r="D199" s="380">
        <v>99.2</v>
      </c>
      <c r="E199" s="380">
        <v>100.8</v>
      </c>
      <c r="F199" s="380">
        <v>200</v>
      </c>
      <c r="G199" s="380">
        <v>99.2</v>
      </c>
      <c r="H199" s="380">
        <v>100.8</v>
      </c>
      <c r="I199" s="375" t="s">
        <v>185</v>
      </c>
      <c r="J199" s="375" t="s">
        <v>185</v>
      </c>
      <c r="K199" s="376" t="s">
        <v>185</v>
      </c>
    </row>
    <row r="200" spans="2:11" ht="15.5">
      <c r="B200" s="379" t="s">
        <v>340</v>
      </c>
      <c r="C200" s="381">
        <v>25.5</v>
      </c>
      <c r="D200" s="382">
        <v>12.5</v>
      </c>
      <c r="E200" s="381">
        <v>13</v>
      </c>
      <c r="F200" s="381">
        <v>25.5</v>
      </c>
      <c r="G200" s="382">
        <v>12.5</v>
      </c>
      <c r="H200" s="381">
        <v>13</v>
      </c>
      <c r="I200" s="375" t="s">
        <v>185</v>
      </c>
      <c r="J200" s="375" t="s">
        <v>185</v>
      </c>
      <c r="K200" s="376" t="s">
        <v>185</v>
      </c>
    </row>
    <row r="201" spans="2:11" ht="15">
      <c r="B201" s="371" t="s">
        <v>341</v>
      </c>
      <c r="C201" s="380">
        <v>20.5</v>
      </c>
      <c r="D201" s="380">
        <v>10.4</v>
      </c>
      <c r="E201" s="380">
        <v>10.1</v>
      </c>
      <c r="F201" s="380">
        <v>20.5</v>
      </c>
      <c r="G201" s="380">
        <v>10.4</v>
      </c>
      <c r="H201" s="380">
        <v>10.1</v>
      </c>
      <c r="I201" s="375" t="s">
        <v>185</v>
      </c>
      <c r="J201" s="375" t="s">
        <v>185</v>
      </c>
      <c r="K201" s="376" t="s">
        <v>185</v>
      </c>
    </row>
    <row r="202" spans="2:11" ht="15.5">
      <c r="B202" s="379" t="s">
        <v>342</v>
      </c>
      <c r="C202" s="381">
        <v>17.2</v>
      </c>
      <c r="D202" s="382">
        <v>8.3000000000000007</v>
      </c>
      <c r="E202" s="381">
        <v>8.8999999999999986</v>
      </c>
      <c r="F202" s="381">
        <v>17.2</v>
      </c>
      <c r="G202" s="382">
        <v>8.3000000000000007</v>
      </c>
      <c r="H202" s="381">
        <v>8.8999999999999986</v>
      </c>
      <c r="I202" s="375" t="s">
        <v>185</v>
      </c>
      <c r="J202" s="375" t="s">
        <v>185</v>
      </c>
      <c r="K202" s="376" t="s">
        <v>185</v>
      </c>
    </row>
    <row r="203" spans="2:11" ht="15.5">
      <c r="B203" s="379" t="s">
        <v>343</v>
      </c>
      <c r="C203" s="381">
        <v>1.7</v>
      </c>
      <c r="D203" s="382">
        <v>1.1000000000000001</v>
      </c>
      <c r="E203" s="381">
        <v>0.59999999999999987</v>
      </c>
      <c r="F203" s="381">
        <v>1.7</v>
      </c>
      <c r="G203" s="382">
        <v>1.1000000000000001</v>
      </c>
      <c r="H203" s="381">
        <v>0.59999999999999987</v>
      </c>
      <c r="I203" s="375" t="s">
        <v>185</v>
      </c>
      <c r="J203" s="375" t="s">
        <v>185</v>
      </c>
      <c r="K203" s="376" t="s">
        <v>185</v>
      </c>
    </row>
    <row r="204" spans="2:11" ht="15.5">
      <c r="B204" s="379" t="s">
        <v>344</v>
      </c>
      <c r="C204" s="381">
        <v>0.4</v>
      </c>
      <c r="D204" s="382">
        <v>0.4</v>
      </c>
      <c r="E204" s="381">
        <v>0</v>
      </c>
      <c r="F204" s="381">
        <v>0.4</v>
      </c>
      <c r="G204" s="382">
        <v>0.4</v>
      </c>
      <c r="H204" s="381">
        <v>0</v>
      </c>
      <c r="I204" s="375" t="s">
        <v>185</v>
      </c>
      <c r="J204" s="375" t="s">
        <v>185</v>
      </c>
      <c r="K204" s="376" t="s">
        <v>185</v>
      </c>
    </row>
    <row r="205" spans="2:11" ht="15.5">
      <c r="B205" s="379" t="s">
        <v>345</v>
      </c>
      <c r="C205" s="381">
        <v>1.2</v>
      </c>
      <c r="D205" s="382">
        <v>0.6</v>
      </c>
      <c r="E205" s="381">
        <v>0.6</v>
      </c>
      <c r="F205" s="381">
        <v>1.2</v>
      </c>
      <c r="G205" s="382">
        <v>0.6</v>
      </c>
      <c r="H205" s="381">
        <v>0.6</v>
      </c>
      <c r="I205" s="375" t="s">
        <v>185</v>
      </c>
      <c r="J205" s="375" t="s">
        <v>185</v>
      </c>
      <c r="K205" s="376" t="s">
        <v>185</v>
      </c>
    </row>
    <row r="206" spans="2:11" ht="15">
      <c r="B206" s="371" t="s">
        <v>346</v>
      </c>
      <c r="C206" s="380">
        <v>286.3</v>
      </c>
      <c r="D206" s="380">
        <v>142.6</v>
      </c>
      <c r="E206" s="380">
        <v>143.70000000000002</v>
      </c>
      <c r="F206" s="380">
        <v>286.3</v>
      </c>
      <c r="G206" s="380">
        <v>142.6</v>
      </c>
      <c r="H206" s="380">
        <v>143.70000000000002</v>
      </c>
      <c r="I206" s="375" t="s">
        <v>185</v>
      </c>
      <c r="J206" s="375" t="s">
        <v>185</v>
      </c>
      <c r="K206" s="376" t="s">
        <v>185</v>
      </c>
    </row>
    <row r="207" spans="2:11" ht="15.5">
      <c r="B207" s="379" t="s">
        <v>347</v>
      </c>
      <c r="C207" s="381">
        <v>11.1</v>
      </c>
      <c r="D207" s="382">
        <v>5.7</v>
      </c>
      <c r="E207" s="381">
        <v>5.3999999999999995</v>
      </c>
      <c r="F207" s="381">
        <v>11.1</v>
      </c>
      <c r="G207" s="382">
        <v>5.7</v>
      </c>
      <c r="H207" s="381">
        <v>5.3999999999999995</v>
      </c>
      <c r="I207" s="375" t="s">
        <v>185</v>
      </c>
      <c r="J207" s="375" t="s">
        <v>185</v>
      </c>
      <c r="K207" s="376" t="s">
        <v>185</v>
      </c>
    </row>
    <row r="208" spans="2:11" ht="15">
      <c r="B208" s="371" t="s">
        <v>348</v>
      </c>
      <c r="C208" s="380">
        <v>247.6</v>
      </c>
      <c r="D208" s="380">
        <v>120.5</v>
      </c>
      <c r="E208" s="380">
        <v>127.1</v>
      </c>
      <c r="F208" s="380">
        <v>247.6</v>
      </c>
      <c r="G208" s="380">
        <v>120.5</v>
      </c>
      <c r="H208" s="380">
        <v>127.1</v>
      </c>
      <c r="I208" s="375" t="s">
        <v>185</v>
      </c>
      <c r="J208" s="375" t="s">
        <v>185</v>
      </c>
      <c r="K208" s="376" t="s">
        <v>185</v>
      </c>
    </row>
    <row r="209" spans="1:11" ht="15">
      <c r="B209" s="371"/>
      <c r="C209" s="383"/>
      <c r="D209" s="384"/>
      <c r="E209" s="384"/>
      <c r="F209" s="385"/>
      <c r="G209" s="385"/>
      <c r="H209" s="385"/>
      <c r="I209" s="385"/>
      <c r="J209" s="385"/>
      <c r="K209" s="386"/>
    </row>
    <row r="210" spans="1:11" ht="15">
      <c r="A210" t="s">
        <v>938</v>
      </c>
      <c r="B210" s="371" t="s">
        <v>349</v>
      </c>
      <c r="C210" s="380">
        <v>572.6</v>
      </c>
      <c r="D210" s="380">
        <v>284.5</v>
      </c>
      <c r="E210" s="380">
        <v>288.10000000000002</v>
      </c>
      <c r="F210" s="380">
        <v>526.20000000000005</v>
      </c>
      <c r="G210" s="380">
        <v>260.7</v>
      </c>
      <c r="H210" s="380">
        <v>265.50000000000006</v>
      </c>
      <c r="I210" s="380">
        <v>46.399999999999977</v>
      </c>
      <c r="J210" s="380">
        <v>23.800000000000004</v>
      </c>
      <c r="K210" s="387">
        <v>22.599999999999973</v>
      </c>
    </row>
    <row r="211" spans="1:11" ht="15.5">
      <c r="B211" s="377" t="s">
        <v>271</v>
      </c>
      <c r="C211" s="381"/>
      <c r="D211" s="381"/>
      <c r="E211" s="381"/>
      <c r="F211" s="381"/>
      <c r="G211" s="381"/>
      <c r="H211" s="381"/>
      <c r="I211" s="381"/>
      <c r="J211" s="381"/>
      <c r="K211" s="388"/>
    </row>
    <row r="212" spans="1:11" ht="15">
      <c r="B212" s="371" t="s">
        <v>350</v>
      </c>
      <c r="C212" s="380">
        <v>16.899999999999999</v>
      </c>
      <c r="D212" s="380">
        <v>8.4</v>
      </c>
      <c r="E212" s="380">
        <v>8.4999999999999982</v>
      </c>
      <c r="F212" s="380">
        <v>8.8000000000000007</v>
      </c>
      <c r="G212" s="389">
        <v>4.3</v>
      </c>
      <c r="H212" s="380">
        <v>4.5000000000000009</v>
      </c>
      <c r="I212" s="380">
        <v>8.0999999999999979</v>
      </c>
      <c r="J212" s="380">
        <v>4.1000000000000005</v>
      </c>
      <c r="K212" s="390">
        <v>3.9999999999999973</v>
      </c>
    </row>
    <row r="213" spans="1:11" ht="15.5">
      <c r="B213" s="379" t="s">
        <v>351</v>
      </c>
      <c r="C213" s="381">
        <v>1.6</v>
      </c>
      <c r="D213" s="382">
        <v>0.8</v>
      </c>
      <c r="E213" s="381">
        <v>0.8</v>
      </c>
      <c r="F213" s="381">
        <v>1.6</v>
      </c>
      <c r="G213" s="382">
        <v>0.8</v>
      </c>
      <c r="H213" s="381">
        <v>0.8</v>
      </c>
      <c r="I213" s="375" t="s">
        <v>185</v>
      </c>
      <c r="J213" s="375" t="s">
        <v>185</v>
      </c>
      <c r="K213" s="376" t="s">
        <v>185</v>
      </c>
    </row>
    <row r="214" spans="1:11" ht="15.5">
      <c r="B214" s="379" t="s">
        <v>352</v>
      </c>
      <c r="C214" s="381">
        <v>1.4</v>
      </c>
      <c r="D214" s="382">
        <v>0.7</v>
      </c>
      <c r="E214" s="381">
        <v>0.7</v>
      </c>
      <c r="F214" s="381">
        <v>1.4</v>
      </c>
      <c r="G214" s="382">
        <v>0.7</v>
      </c>
      <c r="H214" s="381">
        <v>0.7</v>
      </c>
      <c r="I214" s="375" t="s">
        <v>185</v>
      </c>
      <c r="J214" s="375" t="s">
        <v>185</v>
      </c>
      <c r="K214" s="376" t="s">
        <v>185</v>
      </c>
    </row>
    <row r="215" spans="1:11" ht="15.5">
      <c r="B215" s="379" t="s">
        <v>353</v>
      </c>
      <c r="C215" s="381">
        <v>3.7</v>
      </c>
      <c r="D215" s="382">
        <v>1.8</v>
      </c>
      <c r="E215" s="381">
        <v>1.9000000000000001</v>
      </c>
      <c r="F215" s="381">
        <v>3.7</v>
      </c>
      <c r="G215" s="382">
        <v>1.8</v>
      </c>
      <c r="H215" s="381">
        <v>1.9000000000000001</v>
      </c>
      <c r="I215" s="375" t="s">
        <v>185</v>
      </c>
      <c r="J215" s="375" t="s">
        <v>185</v>
      </c>
      <c r="K215" s="376" t="s">
        <v>185</v>
      </c>
    </row>
    <row r="216" spans="1:11" ht="15.5">
      <c r="B216" s="379" t="s">
        <v>354</v>
      </c>
      <c r="C216" s="381">
        <v>2.1</v>
      </c>
      <c r="D216" s="382">
        <v>1</v>
      </c>
      <c r="E216" s="381">
        <v>1.1000000000000001</v>
      </c>
      <c r="F216" s="381">
        <v>2.1</v>
      </c>
      <c r="G216" s="382">
        <v>1</v>
      </c>
      <c r="H216" s="381">
        <v>1.1000000000000001</v>
      </c>
      <c r="I216" s="375" t="s">
        <v>185</v>
      </c>
      <c r="J216" s="375" t="s">
        <v>185</v>
      </c>
      <c r="K216" s="376" t="s">
        <v>185</v>
      </c>
    </row>
    <row r="217" spans="1:11" ht="15.5">
      <c r="B217" s="379"/>
      <c r="C217" s="391"/>
      <c r="D217" s="391"/>
      <c r="E217" s="391"/>
      <c r="F217" s="391"/>
      <c r="G217" s="391"/>
      <c r="H217" s="391"/>
      <c r="I217" s="391"/>
      <c r="J217" s="391"/>
      <c r="K217" s="392"/>
    </row>
    <row r="218" spans="1:11" ht="15">
      <c r="B218" s="371" t="s">
        <v>355</v>
      </c>
      <c r="C218" s="380">
        <v>212.6</v>
      </c>
      <c r="D218" s="380">
        <v>106.7</v>
      </c>
      <c r="E218" s="380">
        <v>105.89999999999999</v>
      </c>
      <c r="F218" s="380">
        <v>174.3</v>
      </c>
      <c r="G218" s="389">
        <v>87</v>
      </c>
      <c r="H218" s="380">
        <v>87.300000000000011</v>
      </c>
      <c r="I218" s="380">
        <v>38.299999999999983</v>
      </c>
      <c r="J218" s="380">
        <v>19.700000000000003</v>
      </c>
      <c r="K218" s="390">
        <v>18.59999999999998</v>
      </c>
    </row>
    <row r="219" spans="1:11" ht="15.5">
      <c r="B219" s="379" t="s">
        <v>356</v>
      </c>
      <c r="C219" s="381">
        <v>100.2</v>
      </c>
      <c r="D219" s="382">
        <v>49.5</v>
      </c>
      <c r="E219" s="381">
        <v>50.7</v>
      </c>
      <c r="F219" s="381">
        <v>100.2</v>
      </c>
      <c r="G219" s="382">
        <v>49.5</v>
      </c>
      <c r="H219" s="381">
        <v>50.7</v>
      </c>
      <c r="I219" s="375" t="s">
        <v>185</v>
      </c>
      <c r="J219" s="375" t="s">
        <v>185</v>
      </c>
      <c r="K219" s="376" t="s">
        <v>185</v>
      </c>
    </row>
    <row r="220" spans="1:11" ht="15.5">
      <c r="B220" s="379" t="s">
        <v>357</v>
      </c>
      <c r="C220" s="381">
        <v>4.4000000000000004</v>
      </c>
      <c r="D220" s="382">
        <v>2.2000000000000002</v>
      </c>
      <c r="E220" s="381">
        <v>2.2000000000000002</v>
      </c>
      <c r="F220" s="381">
        <v>4.4000000000000004</v>
      </c>
      <c r="G220" s="382">
        <v>2.2000000000000002</v>
      </c>
      <c r="H220" s="381">
        <v>2.2000000000000002</v>
      </c>
      <c r="I220" s="375" t="s">
        <v>185</v>
      </c>
      <c r="J220" s="375" t="s">
        <v>185</v>
      </c>
      <c r="K220" s="376" t="s">
        <v>185</v>
      </c>
    </row>
    <row r="221" spans="1:11" ht="15.5">
      <c r="B221" s="379" t="s">
        <v>358</v>
      </c>
      <c r="C221" s="381">
        <v>8.3000000000000007</v>
      </c>
      <c r="D221" s="382">
        <v>4.3</v>
      </c>
      <c r="E221" s="381">
        <v>4.0000000000000009</v>
      </c>
      <c r="F221" s="381">
        <v>8.3000000000000007</v>
      </c>
      <c r="G221" s="382">
        <v>4.3</v>
      </c>
      <c r="H221" s="381">
        <v>4.0000000000000009</v>
      </c>
      <c r="I221" s="375" t="s">
        <v>185</v>
      </c>
      <c r="J221" s="375" t="s">
        <v>185</v>
      </c>
      <c r="K221" s="376" t="s">
        <v>185</v>
      </c>
    </row>
    <row r="222" spans="1:11" ht="15.5">
      <c r="B222" s="379" t="s">
        <v>359</v>
      </c>
      <c r="C222" s="381">
        <v>5</v>
      </c>
      <c r="D222" s="382">
        <v>2.6</v>
      </c>
      <c r="E222" s="381">
        <v>2.4</v>
      </c>
      <c r="F222" s="381">
        <v>5</v>
      </c>
      <c r="G222" s="382">
        <v>2.6</v>
      </c>
      <c r="H222" s="381">
        <v>2.4</v>
      </c>
      <c r="I222" s="375" t="s">
        <v>185</v>
      </c>
      <c r="J222" s="375" t="s">
        <v>185</v>
      </c>
      <c r="K222" s="376" t="s">
        <v>185</v>
      </c>
    </row>
    <row r="223" spans="1:11" ht="15.5">
      <c r="B223" s="379" t="s">
        <v>360</v>
      </c>
      <c r="C223" s="381">
        <v>2.9</v>
      </c>
      <c r="D223" s="382">
        <v>1.5</v>
      </c>
      <c r="E223" s="381">
        <v>1.4</v>
      </c>
      <c r="F223" s="381">
        <v>2.9</v>
      </c>
      <c r="G223" s="382">
        <v>1.5</v>
      </c>
      <c r="H223" s="381">
        <v>1.4</v>
      </c>
      <c r="I223" s="375" t="s">
        <v>185</v>
      </c>
      <c r="J223" s="375" t="s">
        <v>185</v>
      </c>
      <c r="K223" s="376" t="s">
        <v>185</v>
      </c>
    </row>
    <row r="224" spans="1:11" ht="15.5">
      <c r="B224" s="379" t="s">
        <v>361</v>
      </c>
      <c r="C224" s="381">
        <v>9.9</v>
      </c>
      <c r="D224" s="382">
        <v>5</v>
      </c>
      <c r="E224" s="381">
        <v>4.9000000000000004</v>
      </c>
      <c r="F224" s="381">
        <v>9.9</v>
      </c>
      <c r="G224" s="382">
        <v>5</v>
      </c>
      <c r="H224" s="381">
        <v>4.9000000000000004</v>
      </c>
      <c r="I224" s="375" t="s">
        <v>185</v>
      </c>
      <c r="J224" s="375" t="s">
        <v>185</v>
      </c>
      <c r="K224" s="376" t="s">
        <v>185</v>
      </c>
    </row>
    <row r="225" spans="1:11" ht="15.5">
      <c r="B225" s="379" t="s">
        <v>362</v>
      </c>
      <c r="C225" s="381">
        <v>10.5</v>
      </c>
      <c r="D225" s="382">
        <v>5.0999999999999996</v>
      </c>
      <c r="E225" s="381">
        <v>5.4</v>
      </c>
      <c r="F225" s="381">
        <v>10.5</v>
      </c>
      <c r="G225" s="382">
        <v>5.0999999999999996</v>
      </c>
      <c r="H225" s="381">
        <v>5.4</v>
      </c>
      <c r="I225" s="375" t="s">
        <v>185</v>
      </c>
      <c r="J225" s="375" t="s">
        <v>185</v>
      </c>
      <c r="K225" s="376" t="s">
        <v>185</v>
      </c>
    </row>
    <row r="226" spans="1:11" ht="15.5">
      <c r="B226" s="379" t="s">
        <v>363</v>
      </c>
      <c r="C226" s="381">
        <v>12.7</v>
      </c>
      <c r="D226" s="382">
        <v>6.5</v>
      </c>
      <c r="E226" s="381">
        <v>6.1999999999999993</v>
      </c>
      <c r="F226" s="381">
        <v>12.7</v>
      </c>
      <c r="G226" s="382">
        <v>6.5</v>
      </c>
      <c r="H226" s="381">
        <v>6.1999999999999993</v>
      </c>
      <c r="I226" s="375" t="s">
        <v>185</v>
      </c>
      <c r="J226" s="375" t="s">
        <v>185</v>
      </c>
      <c r="K226" s="376" t="s">
        <v>185</v>
      </c>
    </row>
    <row r="227" spans="1:11" ht="15.5">
      <c r="B227" s="379" t="s">
        <v>364</v>
      </c>
      <c r="C227" s="381">
        <v>20.399999999999999</v>
      </c>
      <c r="D227" s="382">
        <v>10.3</v>
      </c>
      <c r="E227" s="381">
        <v>10.099999999999998</v>
      </c>
      <c r="F227" s="381">
        <v>20.399999999999999</v>
      </c>
      <c r="G227" s="382">
        <v>10.3</v>
      </c>
      <c r="H227" s="381">
        <v>10.099999999999998</v>
      </c>
      <c r="I227" s="375" t="s">
        <v>185</v>
      </c>
      <c r="J227" s="375" t="s">
        <v>185</v>
      </c>
      <c r="K227" s="376" t="s">
        <v>185</v>
      </c>
    </row>
    <row r="228" spans="1:11" ht="15.5">
      <c r="B228" s="379"/>
      <c r="C228" s="384"/>
      <c r="D228" s="384"/>
      <c r="E228" s="384"/>
      <c r="F228" s="384"/>
      <c r="G228" s="384"/>
      <c r="H228" s="384"/>
      <c r="I228" s="384"/>
      <c r="J228" s="384"/>
      <c r="K228" s="393"/>
    </row>
    <row r="229" spans="1:11" ht="15">
      <c r="B229" s="371" t="s">
        <v>365</v>
      </c>
      <c r="C229" s="380">
        <v>343.1</v>
      </c>
      <c r="D229" s="380">
        <v>169.4</v>
      </c>
      <c r="E229" s="380">
        <v>173.70000000000002</v>
      </c>
      <c r="F229" s="380">
        <v>343.1</v>
      </c>
      <c r="G229" s="380">
        <v>169.4</v>
      </c>
      <c r="H229" s="380">
        <v>173.70000000000002</v>
      </c>
      <c r="I229" s="375" t="s">
        <v>185</v>
      </c>
      <c r="J229" s="375" t="s">
        <v>185</v>
      </c>
      <c r="K229" s="376" t="s">
        <v>185</v>
      </c>
    </row>
    <row r="230" spans="1:11" ht="15.5">
      <c r="B230" s="379" t="s">
        <v>365</v>
      </c>
      <c r="C230" s="381">
        <v>306.10000000000002</v>
      </c>
      <c r="D230" s="382">
        <v>151</v>
      </c>
      <c r="E230" s="381">
        <v>155.10000000000002</v>
      </c>
      <c r="F230" s="381">
        <v>306.10000000000002</v>
      </c>
      <c r="G230" s="382">
        <v>151</v>
      </c>
      <c r="H230" s="381">
        <v>155.10000000000002</v>
      </c>
      <c r="I230" s="375" t="s">
        <v>185</v>
      </c>
      <c r="J230" s="375" t="s">
        <v>185</v>
      </c>
      <c r="K230" s="376" t="s">
        <v>185</v>
      </c>
    </row>
    <row r="231" spans="1:11" ht="15.5">
      <c r="B231" s="379" t="s">
        <v>366</v>
      </c>
      <c r="C231" s="381">
        <v>13.6</v>
      </c>
      <c r="D231" s="382">
        <v>6.7</v>
      </c>
      <c r="E231" s="381">
        <v>6.8999999999999995</v>
      </c>
      <c r="F231" s="381">
        <v>13.6</v>
      </c>
      <c r="G231" s="382">
        <v>6.7</v>
      </c>
      <c r="H231" s="381">
        <v>6.8999999999999995</v>
      </c>
      <c r="I231" s="375" t="s">
        <v>185</v>
      </c>
      <c r="J231" s="375" t="s">
        <v>185</v>
      </c>
      <c r="K231" s="376" t="s">
        <v>185</v>
      </c>
    </row>
    <row r="232" spans="1:11" ht="15.5">
      <c r="B232" s="379" t="s">
        <v>367</v>
      </c>
      <c r="C232" s="381">
        <v>23.4</v>
      </c>
      <c r="D232" s="382">
        <v>11.7</v>
      </c>
      <c r="E232" s="381">
        <v>11.7</v>
      </c>
      <c r="F232" s="381">
        <v>23.4</v>
      </c>
      <c r="G232" s="382">
        <v>11.7</v>
      </c>
      <c r="H232" s="381">
        <v>11.7</v>
      </c>
      <c r="I232" s="375" t="s">
        <v>185</v>
      </c>
      <c r="J232" s="375" t="s">
        <v>185</v>
      </c>
      <c r="K232" s="376" t="s">
        <v>185</v>
      </c>
    </row>
    <row r="233" spans="1:11" ht="15.5">
      <c r="B233" s="379"/>
      <c r="C233" s="394"/>
      <c r="D233" s="394"/>
      <c r="E233" s="394"/>
      <c r="F233" s="395"/>
      <c r="G233" s="396"/>
      <c r="H233" s="396"/>
      <c r="I233" s="396"/>
      <c r="J233" s="396"/>
      <c r="K233" s="397"/>
    </row>
    <row r="234" spans="1:11" ht="15">
      <c r="A234" t="s">
        <v>938</v>
      </c>
      <c r="B234" s="371" t="s">
        <v>368</v>
      </c>
      <c r="C234" s="398">
        <v>1284.2</v>
      </c>
      <c r="D234" s="398">
        <v>641.4</v>
      </c>
      <c r="E234" s="398">
        <v>642.80000000000007</v>
      </c>
      <c r="F234" s="380">
        <v>587.79999999999995</v>
      </c>
      <c r="G234" s="380">
        <v>289.39999999999998</v>
      </c>
      <c r="H234" s="398">
        <v>298.39999999999998</v>
      </c>
      <c r="I234" s="380">
        <v>696.39999999999986</v>
      </c>
      <c r="J234" s="380">
        <v>351.99999999999994</v>
      </c>
      <c r="K234" s="387">
        <v>344.4</v>
      </c>
    </row>
    <row r="235" spans="1:11" ht="15.5">
      <c r="B235" s="377" t="s">
        <v>271</v>
      </c>
      <c r="C235" s="372"/>
      <c r="D235" s="372"/>
      <c r="E235" s="372"/>
      <c r="F235" s="372"/>
      <c r="G235" s="372"/>
      <c r="H235" s="372"/>
      <c r="I235" s="372"/>
      <c r="J235" s="372"/>
      <c r="K235" s="378"/>
    </row>
    <row r="236" spans="1:11" ht="15">
      <c r="B236" s="371" t="s">
        <v>369</v>
      </c>
      <c r="C236" s="380">
        <v>334</v>
      </c>
      <c r="D236" s="380">
        <v>163.1</v>
      </c>
      <c r="E236" s="380">
        <v>170.9</v>
      </c>
      <c r="F236" s="380">
        <v>334</v>
      </c>
      <c r="G236" s="380">
        <v>163.1</v>
      </c>
      <c r="H236" s="380">
        <v>170.9</v>
      </c>
      <c r="I236" s="375" t="s">
        <v>185</v>
      </c>
      <c r="J236" s="375" t="s">
        <v>185</v>
      </c>
      <c r="K236" s="376" t="s">
        <v>185</v>
      </c>
    </row>
    <row r="237" spans="1:11" ht="15.5">
      <c r="B237" s="399" t="s">
        <v>370</v>
      </c>
      <c r="C237" s="372"/>
      <c r="D237" s="372"/>
      <c r="E237" s="372"/>
      <c r="F237" s="372"/>
      <c r="G237" s="372"/>
      <c r="H237" s="372"/>
      <c r="I237" s="400"/>
      <c r="J237" s="400"/>
      <c r="K237" s="401"/>
    </row>
    <row r="238" spans="1:11" ht="15.5">
      <c r="B238" s="402" t="s">
        <v>339</v>
      </c>
      <c r="C238" s="381">
        <v>152.5</v>
      </c>
      <c r="D238" s="381">
        <v>74.400000000000006</v>
      </c>
      <c r="E238" s="381">
        <v>78.099999999999994</v>
      </c>
      <c r="F238" s="381">
        <v>152.5</v>
      </c>
      <c r="G238" s="381">
        <v>74.400000000000006</v>
      </c>
      <c r="H238" s="381">
        <v>78.099999999999994</v>
      </c>
      <c r="I238" s="375" t="s">
        <v>185</v>
      </c>
      <c r="J238" s="375" t="s">
        <v>185</v>
      </c>
      <c r="K238" s="376" t="s">
        <v>185</v>
      </c>
    </row>
    <row r="239" spans="1:11" ht="15.5">
      <c r="B239" s="402" t="s">
        <v>371</v>
      </c>
      <c r="C239" s="381">
        <v>181.5</v>
      </c>
      <c r="D239" s="381">
        <v>88.7</v>
      </c>
      <c r="E239" s="381">
        <v>92.8</v>
      </c>
      <c r="F239" s="381">
        <v>181.5</v>
      </c>
      <c r="G239" s="381">
        <v>88.7</v>
      </c>
      <c r="H239" s="381">
        <v>92.8</v>
      </c>
      <c r="I239" s="375" t="s">
        <v>185</v>
      </c>
      <c r="J239" s="375" t="s">
        <v>185</v>
      </c>
      <c r="K239" s="376" t="s">
        <v>185</v>
      </c>
    </row>
    <row r="240" spans="1:11" ht="15.5">
      <c r="B240" s="379" t="s">
        <v>372</v>
      </c>
      <c r="C240" s="381">
        <v>0.4</v>
      </c>
      <c r="D240" s="382">
        <v>0.2</v>
      </c>
      <c r="E240" s="381">
        <v>0.2</v>
      </c>
      <c r="F240" s="381">
        <v>0.4</v>
      </c>
      <c r="G240" s="382">
        <v>0.2</v>
      </c>
      <c r="H240" s="381">
        <v>0.2</v>
      </c>
      <c r="I240" s="375" t="s">
        <v>185</v>
      </c>
      <c r="J240" s="375" t="s">
        <v>185</v>
      </c>
      <c r="K240" s="376" t="s">
        <v>185</v>
      </c>
    </row>
    <row r="241" spans="2:11" ht="15.5">
      <c r="B241" s="379" t="s">
        <v>373</v>
      </c>
      <c r="C241" s="381" t="s">
        <v>185</v>
      </c>
      <c r="D241" s="381" t="s">
        <v>185</v>
      </c>
      <c r="E241" s="381" t="s">
        <v>185</v>
      </c>
      <c r="F241" s="381" t="s">
        <v>185</v>
      </c>
      <c r="G241" s="381" t="s">
        <v>185</v>
      </c>
      <c r="H241" s="381" t="s">
        <v>185</v>
      </c>
      <c r="I241" s="375" t="s">
        <v>185</v>
      </c>
      <c r="J241" s="375" t="s">
        <v>185</v>
      </c>
      <c r="K241" s="376" t="s">
        <v>185</v>
      </c>
    </row>
    <row r="242" spans="2:11" ht="15.5">
      <c r="B242" s="379" t="s">
        <v>374</v>
      </c>
      <c r="C242" s="381">
        <v>4.4000000000000004</v>
      </c>
      <c r="D242" s="382">
        <v>2.2000000000000002</v>
      </c>
      <c r="E242" s="381">
        <v>2.2000000000000002</v>
      </c>
      <c r="F242" s="381">
        <v>4.4000000000000004</v>
      </c>
      <c r="G242" s="382">
        <v>2.2000000000000002</v>
      </c>
      <c r="H242" s="381">
        <v>2.2000000000000002</v>
      </c>
      <c r="I242" s="375" t="s">
        <v>185</v>
      </c>
      <c r="J242" s="375" t="s">
        <v>185</v>
      </c>
      <c r="K242" s="376" t="s">
        <v>185</v>
      </c>
    </row>
    <row r="243" spans="2:11" ht="15.5">
      <c r="B243" s="379" t="s">
        <v>375</v>
      </c>
      <c r="C243" s="381">
        <v>14.3</v>
      </c>
      <c r="D243" s="382">
        <v>7</v>
      </c>
      <c r="E243" s="381">
        <v>7.3000000000000007</v>
      </c>
      <c r="F243" s="381">
        <v>14.3</v>
      </c>
      <c r="G243" s="382">
        <v>7</v>
      </c>
      <c r="H243" s="381">
        <v>7.3000000000000007</v>
      </c>
      <c r="I243" s="375" t="s">
        <v>185</v>
      </c>
      <c r="J243" s="375" t="s">
        <v>185</v>
      </c>
      <c r="K243" s="376" t="s">
        <v>185</v>
      </c>
    </row>
    <row r="244" spans="2:11" ht="15.5">
      <c r="B244" s="379" t="s">
        <v>376</v>
      </c>
      <c r="C244" s="381">
        <v>4.8</v>
      </c>
      <c r="D244" s="382">
        <v>2.2999999999999998</v>
      </c>
      <c r="E244" s="381">
        <v>2.5</v>
      </c>
      <c r="F244" s="381">
        <v>4.8</v>
      </c>
      <c r="G244" s="382">
        <v>2.2999999999999998</v>
      </c>
      <c r="H244" s="381">
        <v>2.5</v>
      </c>
      <c r="I244" s="375" t="s">
        <v>185</v>
      </c>
      <c r="J244" s="375" t="s">
        <v>185</v>
      </c>
      <c r="K244" s="376" t="s">
        <v>185</v>
      </c>
    </row>
    <row r="245" spans="2:11" ht="15.5">
      <c r="B245" s="379" t="s">
        <v>377</v>
      </c>
      <c r="C245" s="381">
        <v>11.2</v>
      </c>
      <c r="D245" s="382">
        <v>5.5</v>
      </c>
      <c r="E245" s="381">
        <v>5.6999999999999993</v>
      </c>
      <c r="F245" s="381">
        <v>11.2</v>
      </c>
      <c r="G245" s="382">
        <v>5.5</v>
      </c>
      <c r="H245" s="381">
        <v>5.6999999999999993</v>
      </c>
      <c r="I245" s="375" t="s">
        <v>185</v>
      </c>
      <c r="J245" s="375" t="s">
        <v>185</v>
      </c>
      <c r="K245" s="376" t="s">
        <v>185</v>
      </c>
    </row>
    <row r="246" spans="2:11" ht="15.5">
      <c r="B246" s="379" t="s">
        <v>378</v>
      </c>
      <c r="C246" s="381">
        <v>8.5</v>
      </c>
      <c r="D246" s="382">
        <v>4.0999999999999996</v>
      </c>
      <c r="E246" s="381">
        <v>4.4000000000000004</v>
      </c>
      <c r="F246" s="381">
        <v>8.5</v>
      </c>
      <c r="G246" s="382">
        <v>4.0999999999999996</v>
      </c>
      <c r="H246" s="381">
        <v>4.4000000000000004</v>
      </c>
      <c r="I246" s="375" t="s">
        <v>185</v>
      </c>
      <c r="J246" s="375" t="s">
        <v>185</v>
      </c>
      <c r="K246" s="376" t="s">
        <v>185</v>
      </c>
    </row>
    <row r="247" spans="2:11" ht="15.5">
      <c r="B247" s="379"/>
      <c r="C247" s="384"/>
      <c r="D247" s="384"/>
      <c r="E247" s="384"/>
      <c r="F247" s="384"/>
      <c r="G247" s="384"/>
      <c r="H247" s="384"/>
      <c r="I247" s="384"/>
      <c r="J247" s="384"/>
      <c r="K247" s="393"/>
    </row>
    <row r="248" spans="2:11" ht="15">
      <c r="B248" s="371" t="s">
        <v>379</v>
      </c>
      <c r="C248" s="380">
        <v>97.6</v>
      </c>
      <c r="D248" s="380">
        <v>48.1</v>
      </c>
      <c r="E248" s="380">
        <v>49.499999999999993</v>
      </c>
      <c r="F248" s="380">
        <v>21.9</v>
      </c>
      <c r="G248" s="389">
        <v>10.6</v>
      </c>
      <c r="H248" s="380">
        <v>11.299999999999999</v>
      </c>
      <c r="I248" s="380">
        <v>75.699999999999989</v>
      </c>
      <c r="J248" s="380">
        <v>37.5</v>
      </c>
      <c r="K248" s="390">
        <v>38.199999999999989</v>
      </c>
    </row>
    <row r="249" spans="2:11" ht="15.5">
      <c r="B249" s="379" t="s">
        <v>380</v>
      </c>
      <c r="C249" s="381">
        <v>21.9</v>
      </c>
      <c r="D249" s="382">
        <v>10.6</v>
      </c>
      <c r="E249" s="381">
        <v>11.299999999999999</v>
      </c>
      <c r="F249" s="381">
        <v>21.9</v>
      </c>
      <c r="G249" s="382">
        <v>10.6</v>
      </c>
      <c r="H249" s="381">
        <v>11.299999999999999</v>
      </c>
      <c r="I249" s="375" t="s">
        <v>185</v>
      </c>
      <c r="J249" s="375" t="s">
        <v>185</v>
      </c>
      <c r="K249" s="376" t="s">
        <v>185</v>
      </c>
    </row>
    <row r="250" spans="2:11" ht="15.5">
      <c r="B250" s="379"/>
      <c r="C250" s="391"/>
      <c r="D250" s="391"/>
      <c r="E250" s="391"/>
      <c r="F250" s="391"/>
      <c r="G250" s="391"/>
      <c r="H250" s="391"/>
      <c r="I250" s="391"/>
      <c r="J250" s="391"/>
      <c r="K250" s="392"/>
    </row>
    <row r="251" spans="2:11" ht="15">
      <c r="B251" s="371" t="s">
        <v>381</v>
      </c>
      <c r="C251" s="380">
        <v>87.9</v>
      </c>
      <c r="D251" s="380">
        <v>43.4</v>
      </c>
      <c r="E251" s="380">
        <v>44.500000000000007</v>
      </c>
      <c r="F251" s="380">
        <v>21.4</v>
      </c>
      <c r="G251" s="389">
        <v>10.6</v>
      </c>
      <c r="H251" s="380">
        <v>10.799999999999999</v>
      </c>
      <c r="I251" s="380">
        <v>66.5</v>
      </c>
      <c r="J251" s="380">
        <v>32.799999999999997</v>
      </c>
      <c r="K251" s="390">
        <v>33.700000000000003</v>
      </c>
    </row>
    <row r="252" spans="2:11" ht="15.5">
      <c r="B252" s="379" t="s">
        <v>382</v>
      </c>
      <c r="C252" s="381">
        <v>12.8</v>
      </c>
      <c r="D252" s="382">
        <v>6.4</v>
      </c>
      <c r="E252" s="381">
        <v>6.4</v>
      </c>
      <c r="F252" s="381">
        <v>12.8</v>
      </c>
      <c r="G252" s="382">
        <v>6.4</v>
      </c>
      <c r="H252" s="381">
        <v>6.4</v>
      </c>
      <c r="I252" s="375" t="s">
        <v>185</v>
      </c>
      <c r="J252" s="375" t="s">
        <v>185</v>
      </c>
      <c r="K252" s="376" t="s">
        <v>185</v>
      </c>
    </row>
    <row r="253" spans="2:11" ht="15.5">
      <c r="B253" s="379" t="s">
        <v>383</v>
      </c>
      <c r="C253" s="381">
        <v>1.1000000000000001</v>
      </c>
      <c r="D253" s="382">
        <v>0.6</v>
      </c>
      <c r="E253" s="381">
        <v>0.50000000000000011</v>
      </c>
      <c r="F253" s="381">
        <v>1.1000000000000001</v>
      </c>
      <c r="G253" s="382">
        <v>0.6</v>
      </c>
      <c r="H253" s="381">
        <v>0.50000000000000011</v>
      </c>
      <c r="I253" s="375" t="s">
        <v>185</v>
      </c>
      <c r="J253" s="375" t="s">
        <v>185</v>
      </c>
      <c r="K253" s="376" t="s">
        <v>185</v>
      </c>
    </row>
    <row r="254" spans="2:11" ht="15.5">
      <c r="B254" s="379" t="s">
        <v>384</v>
      </c>
      <c r="C254" s="381">
        <v>0</v>
      </c>
      <c r="D254" s="382">
        <v>0</v>
      </c>
      <c r="E254" s="381">
        <v>0</v>
      </c>
      <c r="F254" s="381">
        <v>0</v>
      </c>
      <c r="G254" s="382">
        <v>0</v>
      </c>
      <c r="H254" s="381">
        <v>0</v>
      </c>
      <c r="I254" s="375" t="s">
        <v>185</v>
      </c>
      <c r="J254" s="375" t="s">
        <v>185</v>
      </c>
      <c r="K254" s="376" t="s">
        <v>185</v>
      </c>
    </row>
    <row r="255" spans="2:11" ht="15.5">
      <c r="B255" s="379" t="s">
        <v>385</v>
      </c>
      <c r="C255" s="381">
        <v>0.6</v>
      </c>
      <c r="D255" s="382">
        <v>0.3</v>
      </c>
      <c r="E255" s="381">
        <v>0.3</v>
      </c>
      <c r="F255" s="381">
        <v>0.6</v>
      </c>
      <c r="G255" s="382">
        <v>0.3</v>
      </c>
      <c r="H255" s="381">
        <v>0.3</v>
      </c>
      <c r="I255" s="375" t="s">
        <v>185</v>
      </c>
      <c r="J255" s="375" t="s">
        <v>185</v>
      </c>
      <c r="K255" s="376" t="s">
        <v>185</v>
      </c>
    </row>
    <row r="256" spans="2:11" ht="15.5">
      <c r="B256" s="379" t="s">
        <v>386</v>
      </c>
      <c r="C256" s="381">
        <v>0.2</v>
      </c>
      <c r="D256" s="382">
        <v>0.1</v>
      </c>
      <c r="E256" s="381">
        <v>0.1</v>
      </c>
      <c r="F256" s="381">
        <v>0.2</v>
      </c>
      <c r="G256" s="382">
        <v>0.1</v>
      </c>
      <c r="H256" s="381">
        <v>0.1</v>
      </c>
      <c r="I256" s="375" t="s">
        <v>185</v>
      </c>
      <c r="J256" s="375" t="s">
        <v>185</v>
      </c>
      <c r="K256" s="376" t="s">
        <v>185</v>
      </c>
    </row>
    <row r="257" spans="2:11" ht="15.5">
      <c r="B257" s="379" t="s">
        <v>387</v>
      </c>
      <c r="C257" s="381">
        <v>0.2</v>
      </c>
      <c r="D257" s="382">
        <v>0.1</v>
      </c>
      <c r="E257" s="381">
        <v>0.1</v>
      </c>
      <c r="F257" s="381">
        <v>0.2</v>
      </c>
      <c r="G257" s="382">
        <v>0.1</v>
      </c>
      <c r="H257" s="381">
        <v>0.1</v>
      </c>
      <c r="I257" s="375" t="s">
        <v>185</v>
      </c>
      <c r="J257" s="375" t="s">
        <v>185</v>
      </c>
      <c r="K257" s="376" t="s">
        <v>185</v>
      </c>
    </row>
    <row r="258" spans="2:11" ht="15.5">
      <c r="B258" s="379" t="s">
        <v>388</v>
      </c>
      <c r="C258" s="381">
        <v>1.7</v>
      </c>
      <c r="D258" s="382">
        <v>0.8</v>
      </c>
      <c r="E258" s="381">
        <v>0.89999999999999991</v>
      </c>
      <c r="F258" s="381">
        <v>1.7</v>
      </c>
      <c r="G258" s="382">
        <v>0.8</v>
      </c>
      <c r="H258" s="381">
        <v>0.89999999999999991</v>
      </c>
      <c r="I258" s="375" t="s">
        <v>185</v>
      </c>
      <c r="J258" s="375" t="s">
        <v>185</v>
      </c>
      <c r="K258" s="376" t="s">
        <v>185</v>
      </c>
    </row>
    <row r="259" spans="2:11" ht="15.5">
      <c r="B259" s="379" t="s">
        <v>389</v>
      </c>
      <c r="C259" s="381">
        <v>0</v>
      </c>
      <c r="D259" s="382">
        <v>0</v>
      </c>
      <c r="E259" s="381">
        <v>0</v>
      </c>
      <c r="F259" s="381">
        <v>0</v>
      </c>
      <c r="G259" s="382">
        <v>0</v>
      </c>
      <c r="H259" s="381">
        <v>0</v>
      </c>
      <c r="I259" s="375" t="s">
        <v>185</v>
      </c>
      <c r="J259" s="375" t="s">
        <v>185</v>
      </c>
      <c r="K259" s="376" t="s">
        <v>185</v>
      </c>
    </row>
    <row r="260" spans="2:11" ht="15.5">
      <c r="B260" s="379" t="s">
        <v>390</v>
      </c>
      <c r="C260" s="381">
        <v>1.8</v>
      </c>
      <c r="D260" s="382">
        <v>0.9</v>
      </c>
      <c r="E260" s="381">
        <v>0.9</v>
      </c>
      <c r="F260" s="381">
        <v>1.8</v>
      </c>
      <c r="G260" s="382">
        <v>0.9</v>
      </c>
      <c r="H260" s="381">
        <v>0.9</v>
      </c>
      <c r="I260" s="375" t="s">
        <v>185</v>
      </c>
      <c r="J260" s="375" t="s">
        <v>185</v>
      </c>
      <c r="K260" s="376" t="s">
        <v>185</v>
      </c>
    </row>
    <row r="261" spans="2:11" ht="15.5">
      <c r="B261" s="379" t="s">
        <v>391</v>
      </c>
      <c r="C261" s="381">
        <v>3</v>
      </c>
      <c r="D261" s="382">
        <v>1.4</v>
      </c>
      <c r="E261" s="381">
        <v>1.6</v>
      </c>
      <c r="F261" s="381">
        <v>3</v>
      </c>
      <c r="G261" s="382">
        <v>1.4</v>
      </c>
      <c r="H261" s="381">
        <v>1.6</v>
      </c>
      <c r="I261" s="375" t="s">
        <v>185</v>
      </c>
      <c r="J261" s="375" t="s">
        <v>185</v>
      </c>
      <c r="K261" s="376" t="s">
        <v>185</v>
      </c>
    </row>
    <row r="262" spans="2:11" ht="15.5">
      <c r="B262" s="379"/>
      <c r="C262" s="403"/>
      <c r="D262" s="403"/>
      <c r="E262" s="403"/>
      <c r="F262" s="403"/>
      <c r="G262" s="403"/>
      <c r="H262" s="403"/>
      <c r="I262" s="403"/>
      <c r="J262" s="403"/>
      <c r="K262" s="404"/>
    </row>
    <row r="263" spans="2:11" ht="15">
      <c r="B263" s="371" t="s">
        <v>392</v>
      </c>
      <c r="C263" s="380">
        <v>175.5</v>
      </c>
      <c r="D263" s="380">
        <v>88.8</v>
      </c>
      <c r="E263" s="380">
        <v>86.7</v>
      </c>
      <c r="F263" s="380">
        <v>29.3</v>
      </c>
      <c r="G263" s="389">
        <v>14.6</v>
      </c>
      <c r="H263" s="380">
        <v>14.700000000000001</v>
      </c>
      <c r="I263" s="380">
        <v>146.19999999999999</v>
      </c>
      <c r="J263" s="380">
        <v>74.2</v>
      </c>
      <c r="K263" s="390">
        <v>71.999999999999986</v>
      </c>
    </row>
    <row r="264" spans="2:11" ht="15.5">
      <c r="B264" s="379" t="s">
        <v>393</v>
      </c>
      <c r="C264" s="381">
        <v>14.1</v>
      </c>
      <c r="D264" s="382">
        <v>6.9</v>
      </c>
      <c r="E264" s="381">
        <v>7.1999999999999993</v>
      </c>
      <c r="F264" s="381">
        <v>14.1</v>
      </c>
      <c r="G264" s="382">
        <v>6.9</v>
      </c>
      <c r="H264" s="381">
        <v>7.1999999999999993</v>
      </c>
      <c r="I264" s="375" t="s">
        <v>185</v>
      </c>
      <c r="J264" s="375" t="s">
        <v>185</v>
      </c>
      <c r="K264" s="376" t="s">
        <v>185</v>
      </c>
    </row>
    <row r="265" spans="2:11" ht="15.5">
      <c r="B265" s="379" t="s">
        <v>394</v>
      </c>
      <c r="C265" s="381">
        <v>15.2</v>
      </c>
      <c r="D265" s="382">
        <v>7.7</v>
      </c>
      <c r="E265" s="381">
        <v>7.4999999999999991</v>
      </c>
      <c r="F265" s="381">
        <v>15.2</v>
      </c>
      <c r="G265" s="382">
        <v>7.7</v>
      </c>
      <c r="H265" s="381">
        <v>7.4999999999999991</v>
      </c>
      <c r="I265" s="375" t="s">
        <v>185</v>
      </c>
      <c r="J265" s="375" t="s">
        <v>185</v>
      </c>
      <c r="K265" s="376" t="s">
        <v>185</v>
      </c>
    </row>
    <row r="266" spans="2:11" ht="15.5">
      <c r="B266" s="379"/>
      <c r="C266" s="391"/>
      <c r="D266" s="391"/>
      <c r="E266" s="391"/>
      <c r="F266" s="391"/>
      <c r="G266" s="391"/>
      <c r="H266" s="391"/>
      <c r="I266" s="391"/>
      <c r="J266" s="391"/>
      <c r="K266" s="392"/>
    </row>
    <row r="267" spans="2:11" ht="15">
      <c r="B267" s="371" t="s">
        <v>395</v>
      </c>
      <c r="C267" s="380">
        <v>217.2</v>
      </c>
      <c r="D267" s="380">
        <v>110.3</v>
      </c>
      <c r="E267" s="380">
        <v>106.89999999999999</v>
      </c>
      <c r="F267" s="380">
        <v>75.400000000000006</v>
      </c>
      <c r="G267" s="389">
        <v>37.9</v>
      </c>
      <c r="H267" s="380">
        <v>37.500000000000007</v>
      </c>
      <c r="I267" s="380">
        <v>141.79999999999998</v>
      </c>
      <c r="J267" s="380">
        <v>72.400000000000006</v>
      </c>
      <c r="K267" s="390">
        <v>69.399999999999977</v>
      </c>
    </row>
    <row r="268" spans="2:11" ht="15.5">
      <c r="B268" s="379" t="s">
        <v>396</v>
      </c>
      <c r="C268" s="381">
        <v>43.4</v>
      </c>
      <c r="D268" s="382">
        <v>21.8</v>
      </c>
      <c r="E268" s="381">
        <v>21.599999999999998</v>
      </c>
      <c r="F268" s="381">
        <v>43.4</v>
      </c>
      <c r="G268" s="382">
        <v>21.8</v>
      </c>
      <c r="H268" s="381">
        <v>21.599999999999998</v>
      </c>
      <c r="I268" s="375" t="s">
        <v>185</v>
      </c>
      <c r="J268" s="375" t="s">
        <v>185</v>
      </c>
      <c r="K268" s="376" t="s">
        <v>185</v>
      </c>
    </row>
    <row r="269" spans="2:11" ht="15.5">
      <c r="B269" s="379" t="s">
        <v>397</v>
      </c>
      <c r="C269" s="381">
        <v>0.4</v>
      </c>
      <c r="D269" s="382">
        <v>0.2</v>
      </c>
      <c r="E269" s="381">
        <v>0.2</v>
      </c>
      <c r="F269" s="381">
        <v>0.4</v>
      </c>
      <c r="G269" s="382">
        <v>0.2</v>
      </c>
      <c r="H269" s="381">
        <v>0.2</v>
      </c>
      <c r="I269" s="375" t="s">
        <v>185</v>
      </c>
      <c r="J269" s="375" t="s">
        <v>185</v>
      </c>
      <c r="K269" s="376" t="s">
        <v>185</v>
      </c>
    </row>
    <row r="270" spans="2:11" ht="15.5">
      <c r="B270" s="379" t="s">
        <v>398</v>
      </c>
      <c r="C270" s="381">
        <v>0.7</v>
      </c>
      <c r="D270" s="382">
        <v>0.3</v>
      </c>
      <c r="E270" s="381">
        <v>0.39999999999999997</v>
      </c>
      <c r="F270" s="381">
        <v>0.7</v>
      </c>
      <c r="G270" s="382">
        <v>0.3</v>
      </c>
      <c r="H270" s="381">
        <v>0.39999999999999997</v>
      </c>
      <c r="I270" s="375" t="s">
        <v>185</v>
      </c>
      <c r="J270" s="375" t="s">
        <v>185</v>
      </c>
      <c r="K270" s="376" t="s">
        <v>185</v>
      </c>
    </row>
    <row r="271" spans="2:11" ht="15.5">
      <c r="B271" s="379" t="s">
        <v>399</v>
      </c>
      <c r="C271" s="381">
        <v>8.4</v>
      </c>
      <c r="D271" s="382">
        <v>4.2</v>
      </c>
      <c r="E271" s="381">
        <v>4.2</v>
      </c>
      <c r="F271" s="381">
        <v>8.4</v>
      </c>
      <c r="G271" s="382">
        <v>4.2</v>
      </c>
      <c r="H271" s="381">
        <v>4.2</v>
      </c>
      <c r="I271" s="375" t="s">
        <v>185</v>
      </c>
      <c r="J271" s="375" t="s">
        <v>185</v>
      </c>
      <c r="K271" s="376" t="s">
        <v>185</v>
      </c>
    </row>
    <row r="272" spans="2:11" ht="15.5">
      <c r="B272" s="379" t="s">
        <v>400</v>
      </c>
      <c r="C272" s="381">
        <v>1.5</v>
      </c>
      <c r="D272" s="382">
        <v>0.8</v>
      </c>
      <c r="E272" s="381">
        <v>0.7</v>
      </c>
      <c r="F272" s="381">
        <v>1.5</v>
      </c>
      <c r="G272" s="382">
        <v>0.8</v>
      </c>
      <c r="H272" s="381">
        <v>0.7</v>
      </c>
      <c r="I272" s="375" t="s">
        <v>185</v>
      </c>
      <c r="J272" s="375" t="s">
        <v>185</v>
      </c>
      <c r="K272" s="376" t="s">
        <v>185</v>
      </c>
    </row>
    <row r="273" spans="2:11" ht="15.5">
      <c r="B273" s="379" t="s">
        <v>401</v>
      </c>
      <c r="C273" s="381">
        <v>7.3</v>
      </c>
      <c r="D273" s="382">
        <v>3.6</v>
      </c>
      <c r="E273" s="381">
        <v>3.6999999999999997</v>
      </c>
      <c r="F273" s="381">
        <v>7.3</v>
      </c>
      <c r="G273" s="382">
        <v>3.6</v>
      </c>
      <c r="H273" s="381">
        <v>3.6999999999999997</v>
      </c>
      <c r="I273" s="375" t="s">
        <v>185</v>
      </c>
      <c r="J273" s="375" t="s">
        <v>185</v>
      </c>
      <c r="K273" s="376" t="s">
        <v>185</v>
      </c>
    </row>
    <row r="274" spans="2:11" ht="15.5">
      <c r="B274" s="379" t="s">
        <v>402</v>
      </c>
      <c r="C274" s="381">
        <v>5.0999999999999996</v>
      </c>
      <c r="D274" s="382">
        <v>2.6</v>
      </c>
      <c r="E274" s="381">
        <v>2.4999999999999996</v>
      </c>
      <c r="F274" s="381">
        <v>5.0999999999999996</v>
      </c>
      <c r="G274" s="382">
        <v>2.6</v>
      </c>
      <c r="H274" s="381">
        <v>2.4999999999999996</v>
      </c>
      <c r="I274" s="375" t="s">
        <v>185</v>
      </c>
      <c r="J274" s="375" t="s">
        <v>185</v>
      </c>
      <c r="K274" s="376" t="s">
        <v>185</v>
      </c>
    </row>
    <row r="275" spans="2:11" ht="15.5">
      <c r="B275" s="379" t="s">
        <v>403</v>
      </c>
      <c r="C275" s="381">
        <v>8.6</v>
      </c>
      <c r="D275" s="382">
        <v>4.4000000000000004</v>
      </c>
      <c r="E275" s="381">
        <v>4.1999999999999993</v>
      </c>
      <c r="F275" s="381">
        <v>8.6</v>
      </c>
      <c r="G275" s="382">
        <v>4.4000000000000004</v>
      </c>
      <c r="H275" s="381">
        <v>4.1999999999999993</v>
      </c>
      <c r="I275" s="375" t="s">
        <v>185</v>
      </c>
      <c r="J275" s="375" t="s">
        <v>185</v>
      </c>
      <c r="K275" s="376" t="s">
        <v>185</v>
      </c>
    </row>
    <row r="276" spans="2:11" ht="15.5">
      <c r="B276" s="379"/>
      <c r="C276" s="403"/>
      <c r="D276" s="403"/>
      <c r="E276" s="403"/>
      <c r="F276" s="403"/>
      <c r="G276" s="403"/>
      <c r="H276" s="403"/>
      <c r="I276" s="403"/>
      <c r="J276" s="403"/>
      <c r="K276" s="404"/>
    </row>
    <row r="277" spans="2:11" ht="15">
      <c r="B277" s="371" t="s">
        <v>404</v>
      </c>
      <c r="C277" s="380">
        <v>100.4</v>
      </c>
      <c r="D277" s="380">
        <v>50.7</v>
      </c>
      <c r="E277" s="380">
        <v>49.7</v>
      </c>
      <c r="F277" s="380">
        <v>11.7</v>
      </c>
      <c r="G277" s="389">
        <v>5.7</v>
      </c>
      <c r="H277" s="380">
        <v>5.9999999999999991</v>
      </c>
      <c r="I277" s="380">
        <v>88.7</v>
      </c>
      <c r="J277" s="380">
        <v>45</v>
      </c>
      <c r="K277" s="390">
        <v>43.7</v>
      </c>
    </row>
    <row r="278" spans="2:11" ht="15.5">
      <c r="B278" s="379" t="s">
        <v>405</v>
      </c>
      <c r="C278" s="381">
        <v>11.7</v>
      </c>
      <c r="D278" s="382">
        <v>5.7</v>
      </c>
      <c r="E278" s="381">
        <v>5.9999999999999991</v>
      </c>
      <c r="F278" s="381">
        <v>11.7</v>
      </c>
      <c r="G278" s="382">
        <v>5.7</v>
      </c>
      <c r="H278" s="381">
        <v>5.9999999999999991</v>
      </c>
      <c r="I278" s="375" t="s">
        <v>185</v>
      </c>
      <c r="J278" s="375" t="s">
        <v>185</v>
      </c>
      <c r="K278" s="376" t="s">
        <v>185</v>
      </c>
    </row>
    <row r="279" spans="2:11" ht="15.5">
      <c r="B279" s="379"/>
      <c r="C279" s="391"/>
      <c r="D279" s="391"/>
      <c r="E279" s="391"/>
      <c r="F279" s="391"/>
      <c r="G279" s="391"/>
      <c r="H279" s="391"/>
      <c r="I279" s="391"/>
      <c r="J279" s="391"/>
      <c r="K279" s="392"/>
    </row>
    <row r="280" spans="2:11" ht="15">
      <c r="B280" s="371" t="s">
        <v>406</v>
      </c>
      <c r="C280" s="380">
        <v>35.1</v>
      </c>
      <c r="D280" s="380">
        <v>17.899999999999999</v>
      </c>
      <c r="E280" s="380">
        <v>17.200000000000003</v>
      </c>
      <c r="F280" s="380">
        <v>15.3</v>
      </c>
      <c r="G280" s="389">
        <v>7.6</v>
      </c>
      <c r="H280" s="380">
        <v>7.7000000000000011</v>
      </c>
      <c r="I280" s="380">
        <v>19.8</v>
      </c>
      <c r="J280" s="380">
        <v>10.299999999999999</v>
      </c>
      <c r="K280" s="387">
        <v>9.5000000000000018</v>
      </c>
    </row>
    <row r="281" spans="2:11" ht="15.5">
      <c r="B281" s="379" t="s">
        <v>407</v>
      </c>
      <c r="C281" s="381">
        <v>11.1</v>
      </c>
      <c r="D281" s="382">
        <v>5.4</v>
      </c>
      <c r="E281" s="381">
        <v>5.6999999999999993</v>
      </c>
      <c r="F281" s="381">
        <v>11.1</v>
      </c>
      <c r="G281" s="382">
        <v>5.4</v>
      </c>
      <c r="H281" s="381">
        <v>5.6999999999999993</v>
      </c>
      <c r="I281" s="375" t="s">
        <v>185</v>
      </c>
      <c r="J281" s="375" t="s">
        <v>185</v>
      </c>
      <c r="K281" s="376" t="s">
        <v>185</v>
      </c>
    </row>
    <row r="282" spans="2:11" ht="15.5">
      <c r="B282" s="379" t="s">
        <v>408</v>
      </c>
      <c r="C282" s="381">
        <v>0.8</v>
      </c>
      <c r="D282" s="382">
        <v>0.4</v>
      </c>
      <c r="E282" s="381">
        <v>0.4</v>
      </c>
      <c r="F282" s="381">
        <v>0.8</v>
      </c>
      <c r="G282" s="382">
        <v>0.4</v>
      </c>
      <c r="H282" s="381">
        <v>0.4</v>
      </c>
      <c r="I282" s="375" t="s">
        <v>185</v>
      </c>
      <c r="J282" s="375" t="s">
        <v>185</v>
      </c>
      <c r="K282" s="376" t="s">
        <v>185</v>
      </c>
    </row>
    <row r="283" spans="2:11" ht="15.5">
      <c r="B283" s="379" t="s">
        <v>409</v>
      </c>
      <c r="C283" s="381">
        <v>0.4</v>
      </c>
      <c r="D283" s="382">
        <v>0.2</v>
      </c>
      <c r="E283" s="381">
        <v>0.2</v>
      </c>
      <c r="F283" s="381">
        <v>0.4</v>
      </c>
      <c r="G283" s="382">
        <v>0.2</v>
      </c>
      <c r="H283" s="381">
        <v>0.2</v>
      </c>
      <c r="I283" s="375" t="s">
        <v>185</v>
      </c>
      <c r="J283" s="375" t="s">
        <v>185</v>
      </c>
      <c r="K283" s="376" t="s">
        <v>185</v>
      </c>
    </row>
    <row r="284" spans="2:11" ht="15.5">
      <c r="B284" s="379" t="s">
        <v>410</v>
      </c>
      <c r="C284" s="381">
        <v>0.5</v>
      </c>
      <c r="D284" s="382">
        <v>0.3</v>
      </c>
      <c r="E284" s="381">
        <v>0.2</v>
      </c>
      <c r="F284" s="381">
        <v>0.5</v>
      </c>
      <c r="G284" s="382">
        <v>0.3</v>
      </c>
      <c r="H284" s="381">
        <v>0.2</v>
      </c>
      <c r="I284" s="375" t="s">
        <v>185</v>
      </c>
      <c r="J284" s="375" t="s">
        <v>185</v>
      </c>
      <c r="K284" s="376" t="s">
        <v>185</v>
      </c>
    </row>
    <row r="285" spans="2:11" ht="15.5">
      <c r="B285" s="379" t="s">
        <v>411</v>
      </c>
      <c r="C285" s="381">
        <v>0.5</v>
      </c>
      <c r="D285" s="382">
        <v>0.2</v>
      </c>
      <c r="E285" s="381">
        <v>0.3</v>
      </c>
      <c r="F285" s="381">
        <v>0.5</v>
      </c>
      <c r="G285" s="382">
        <v>0.2</v>
      </c>
      <c r="H285" s="381">
        <v>0.3</v>
      </c>
      <c r="I285" s="375" t="s">
        <v>185</v>
      </c>
      <c r="J285" s="375" t="s">
        <v>185</v>
      </c>
      <c r="K285" s="376" t="s">
        <v>185</v>
      </c>
    </row>
    <row r="286" spans="2:11" ht="15.5">
      <c r="B286" s="379" t="s">
        <v>412</v>
      </c>
      <c r="C286" s="381">
        <v>2</v>
      </c>
      <c r="D286" s="382">
        <v>1.1000000000000001</v>
      </c>
      <c r="E286" s="381">
        <v>0.89999999999999991</v>
      </c>
      <c r="F286" s="381">
        <v>2</v>
      </c>
      <c r="G286" s="382">
        <v>1.1000000000000001</v>
      </c>
      <c r="H286" s="381">
        <v>0.89999999999999991</v>
      </c>
      <c r="I286" s="375" t="s">
        <v>185</v>
      </c>
      <c r="J286" s="375" t="s">
        <v>185</v>
      </c>
      <c r="K286" s="376" t="s">
        <v>185</v>
      </c>
    </row>
    <row r="287" spans="2:11" ht="15.5">
      <c r="B287" s="379"/>
      <c r="C287" s="403"/>
      <c r="D287" s="403"/>
      <c r="E287" s="403"/>
      <c r="F287" s="403"/>
      <c r="G287" s="403"/>
      <c r="H287" s="403"/>
      <c r="I287" s="403"/>
      <c r="J287" s="403"/>
      <c r="K287" s="404"/>
    </row>
    <row r="288" spans="2:11" ht="15">
      <c r="B288" s="371" t="s">
        <v>413</v>
      </c>
      <c r="C288" s="380">
        <v>58.3</v>
      </c>
      <c r="D288" s="380">
        <v>29.2</v>
      </c>
      <c r="E288" s="380">
        <v>29.099999999999998</v>
      </c>
      <c r="F288" s="380">
        <v>21.9</v>
      </c>
      <c r="G288" s="389">
        <v>10.9</v>
      </c>
      <c r="H288" s="380">
        <v>10.999999999999998</v>
      </c>
      <c r="I288" s="380">
        <v>36.4</v>
      </c>
      <c r="J288" s="380">
        <v>18.299999999999997</v>
      </c>
      <c r="K288" s="387">
        <v>18.100000000000001</v>
      </c>
    </row>
    <row r="289" spans="2:11" ht="15.5">
      <c r="B289" s="379" t="s">
        <v>414</v>
      </c>
      <c r="C289" s="381">
        <v>10.199999999999999</v>
      </c>
      <c r="D289" s="382">
        <v>5.0999999999999996</v>
      </c>
      <c r="E289" s="381">
        <v>5.0999999999999996</v>
      </c>
      <c r="F289" s="381">
        <v>10.199999999999999</v>
      </c>
      <c r="G289" s="382">
        <v>5.0999999999999996</v>
      </c>
      <c r="H289" s="381">
        <v>5.0999999999999996</v>
      </c>
      <c r="I289" s="375" t="s">
        <v>185</v>
      </c>
      <c r="J289" s="375" t="s">
        <v>185</v>
      </c>
      <c r="K289" s="376" t="s">
        <v>185</v>
      </c>
    </row>
    <row r="290" spans="2:11" ht="15.5">
      <c r="B290" s="379" t="s">
        <v>415</v>
      </c>
      <c r="C290" s="381">
        <v>1.3</v>
      </c>
      <c r="D290" s="382">
        <v>0.6</v>
      </c>
      <c r="E290" s="381">
        <v>0.70000000000000007</v>
      </c>
      <c r="F290" s="381">
        <v>1.3</v>
      </c>
      <c r="G290" s="382">
        <v>0.6</v>
      </c>
      <c r="H290" s="381">
        <v>0.70000000000000007</v>
      </c>
      <c r="I290" s="375" t="s">
        <v>185</v>
      </c>
      <c r="J290" s="375" t="s">
        <v>185</v>
      </c>
      <c r="K290" s="376" t="s">
        <v>185</v>
      </c>
    </row>
    <row r="291" spans="2:11" ht="15.5">
      <c r="B291" s="379" t="s">
        <v>416</v>
      </c>
      <c r="C291" s="381">
        <v>6.3</v>
      </c>
      <c r="D291" s="382">
        <v>3.2</v>
      </c>
      <c r="E291" s="381">
        <v>3.0999999999999996</v>
      </c>
      <c r="F291" s="381">
        <v>6.3</v>
      </c>
      <c r="G291" s="382">
        <v>3.2</v>
      </c>
      <c r="H291" s="381">
        <v>3.0999999999999996</v>
      </c>
      <c r="I291" s="375" t="s">
        <v>185</v>
      </c>
      <c r="J291" s="375" t="s">
        <v>185</v>
      </c>
      <c r="K291" s="376" t="s">
        <v>185</v>
      </c>
    </row>
    <row r="292" spans="2:11" ht="15.5">
      <c r="B292" s="379" t="s">
        <v>417</v>
      </c>
      <c r="C292" s="381">
        <v>0</v>
      </c>
      <c r="D292" s="382">
        <v>0</v>
      </c>
      <c r="E292" s="381">
        <v>0</v>
      </c>
      <c r="F292" s="381">
        <v>0</v>
      </c>
      <c r="G292" s="382">
        <v>0</v>
      </c>
      <c r="H292" s="381">
        <v>0</v>
      </c>
      <c r="I292" s="375" t="s">
        <v>185</v>
      </c>
      <c r="J292" s="375" t="s">
        <v>185</v>
      </c>
      <c r="K292" s="376" t="s">
        <v>185</v>
      </c>
    </row>
    <row r="293" spans="2:11" ht="15.5">
      <c r="B293" s="379" t="s">
        <v>418</v>
      </c>
      <c r="C293" s="381">
        <v>2</v>
      </c>
      <c r="D293" s="382">
        <v>1</v>
      </c>
      <c r="E293" s="381">
        <v>1</v>
      </c>
      <c r="F293" s="381">
        <v>2</v>
      </c>
      <c r="G293" s="382">
        <v>1</v>
      </c>
      <c r="H293" s="381">
        <v>1</v>
      </c>
      <c r="I293" s="375" t="s">
        <v>185</v>
      </c>
      <c r="J293" s="375" t="s">
        <v>185</v>
      </c>
      <c r="K293" s="376" t="s">
        <v>185</v>
      </c>
    </row>
    <row r="294" spans="2:11" ht="15.5">
      <c r="B294" s="379" t="s">
        <v>419</v>
      </c>
      <c r="C294" s="381">
        <v>1.5</v>
      </c>
      <c r="D294" s="382">
        <v>0.7</v>
      </c>
      <c r="E294" s="381">
        <v>0.8</v>
      </c>
      <c r="F294" s="381">
        <v>1.5</v>
      </c>
      <c r="G294" s="382">
        <v>0.7</v>
      </c>
      <c r="H294" s="381">
        <v>0.8</v>
      </c>
      <c r="I294" s="375" t="s">
        <v>185</v>
      </c>
      <c r="J294" s="375" t="s">
        <v>185</v>
      </c>
      <c r="K294" s="376" t="s">
        <v>185</v>
      </c>
    </row>
    <row r="295" spans="2:11" ht="15.5">
      <c r="B295" s="379" t="s">
        <v>420</v>
      </c>
      <c r="C295" s="381">
        <v>0.6</v>
      </c>
      <c r="D295" s="382">
        <v>0.3</v>
      </c>
      <c r="E295" s="381">
        <v>0.3</v>
      </c>
      <c r="F295" s="381">
        <v>0.6</v>
      </c>
      <c r="G295" s="382">
        <v>0.3</v>
      </c>
      <c r="H295" s="381">
        <v>0.3</v>
      </c>
      <c r="I295" s="375" t="s">
        <v>185</v>
      </c>
      <c r="J295" s="375" t="s">
        <v>185</v>
      </c>
      <c r="K295" s="376" t="s">
        <v>185</v>
      </c>
    </row>
    <row r="296" spans="2:11" ht="15.5">
      <c r="B296" s="379"/>
      <c r="C296" s="384"/>
      <c r="D296" s="384"/>
      <c r="E296" s="384"/>
      <c r="F296" s="384"/>
      <c r="G296" s="384"/>
      <c r="H296" s="384"/>
      <c r="I296" s="384"/>
      <c r="J296" s="384"/>
      <c r="K296" s="393"/>
    </row>
    <row r="297" spans="2:11" ht="15">
      <c r="B297" s="371" t="s">
        <v>421</v>
      </c>
      <c r="C297" s="380">
        <v>63.9</v>
      </c>
      <c r="D297" s="380">
        <v>32.4</v>
      </c>
      <c r="E297" s="380">
        <v>31.5</v>
      </c>
      <c r="F297" s="380">
        <v>25.8</v>
      </c>
      <c r="G297" s="389">
        <v>13</v>
      </c>
      <c r="H297" s="380">
        <v>12.8</v>
      </c>
      <c r="I297" s="380">
        <v>38.099999999999994</v>
      </c>
      <c r="J297" s="380">
        <v>19.399999999999999</v>
      </c>
      <c r="K297" s="387">
        <v>18.699999999999996</v>
      </c>
    </row>
    <row r="298" spans="2:11" ht="15.5">
      <c r="B298" s="379" t="s">
        <v>422</v>
      </c>
      <c r="C298" s="381">
        <v>19.3</v>
      </c>
      <c r="D298" s="382">
        <v>9.6999999999999993</v>
      </c>
      <c r="E298" s="381">
        <v>9.6000000000000014</v>
      </c>
      <c r="F298" s="381">
        <v>19.3</v>
      </c>
      <c r="G298" s="382">
        <v>9.6999999999999993</v>
      </c>
      <c r="H298" s="381">
        <v>9.6000000000000014</v>
      </c>
      <c r="I298" s="375" t="s">
        <v>185</v>
      </c>
      <c r="J298" s="375" t="s">
        <v>185</v>
      </c>
      <c r="K298" s="376" t="s">
        <v>185</v>
      </c>
    </row>
    <row r="299" spans="2:11" ht="15.5">
      <c r="B299" s="379" t="s">
        <v>423</v>
      </c>
      <c r="C299" s="381">
        <v>0.3</v>
      </c>
      <c r="D299" s="382">
        <v>0.2</v>
      </c>
      <c r="E299" s="381">
        <v>9.9999999999999978E-2</v>
      </c>
      <c r="F299" s="381">
        <v>0.3</v>
      </c>
      <c r="G299" s="382">
        <v>0.2</v>
      </c>
      <c r="H299" s="381">
        <v>9.9999999999999978E-2</v>
      </c>
      <c r="I299" s="375" t="s">
        <v>185</v>
      </c>
      <c r="J299" s="375" t="s">
        <v>185</v>
      </c>
      <c r="K299" s="376" t="s">
        <v>185</v>
      </c>
    </row>
    <row r="300" spans="2:11" ht="15.5">
      <c r="B300" s="379" t="s">
        <v>424</v>
      </c>
      <c r="C300" s="381">
        <v>0.1</v>
      </c>
      <c r="D300" s="382">
        <v>0.1</v>
      </c>
      <c r="E300" s="381">
        <v>0</v>
      </c>
      <c r="F300" s="381">
        <v>0.1</v>
      </c>
      <c r="G300" s="382">
        <v>0.1</v>
      </c>
      <c r="H300" s="381">
        <v>0</v>
      </c>
      <c r="I300" s="375" t="s">
        <v>185</v>
      </c>
      <c r="J300" s="375" t="s">
        <v>185</v>
      </c>
      <c r="K300" s="376" t="s">
        <v>185</v>
      </c>
    </row>
    <row r="301" spans="2:11" ht="15.5">
      <c r="B301" s="379" t="s">
        <v>425</v>
      </c>
      <c r="C301" s="381">
        <v>0.4</v>
      </c>
      <c r="D301" s="382">
        <v>0.2</v>
      </c>
      <c r="E301" s="381">
        <v>0.2</v>
      </c>
      <c r="F301" s="381">
        <v>0.4</v>
      </c>
      <c r="G301" s="382">
        <v>0.2</v>
      </c>
      <c r="H301" s="381">
        <v>0.2</v>
      </c>
      <c r="I301" s="375" t="s">
        <v>185</v>
      </c>
      <c r="J301" s="375" t="s">
        <v>185</v>
      </c>
      <c r="K301" s="376" t="s">
        <v>185</v>
      </c>
    </row>
    <row r="302" spans="2:11" ht="15.5">
      <c r="B302" s="379" t="s">
        <v>426</v>
      </c>
      <c r="C302" s="381">
        <v>4.3</v>
      </c>
      <c r="D302" s="382">
        <v>2.1</v>
      </c>
      <c r="E302" s="381">
        <v>2.1999999999999997</v>
      </c>
      <c r="F302" s="381">
        <v>4.3</v>
      </c>
      <c r="G302" s="382">
        <v>2.1</v>
      </c>
      <c r="H302" s="381">
        <v>2.1999999999999997</v>
      </c>
      <c r="I302" s="375" t="s">
        <v>185</v>
      </c>
      <c r="J302" s="375" t="s">
        <v>185</v>
      </c>
      <c r="K302" s="376" t="s">
        <v>185</v>
      </c>
    </row>
    <row r="303" spans="2:11" ht="15.5">
      <c r="B303" s="379" t="s">
        <v>427</v>
      </c>
      <c r="C303" s="381">
        <v>0.4</v>
      </c>
      <c r="D303" s="382">
        <v>0.2</v>
      </c>
      <c r="E303" s="381">
        <v>0.2</v>
      </c>
      <c r="F303" s="381">
        <v>0.4</v>
      </c>
      <c r="G303" s="382">
        <v>0.2</v>
      </c>
      <c r="H303" s="381">
        <v>0.2</v>
      </c>
      <c r="I303" s="375" t="s">
        <v>185</v>
      </c>
      <c r="J303" s="375" t="s">
        <v>185</v>
      </c>
      <c r="K303" s="376" t="s">
        <v>185</v>
      </c>
    </row>
    <row r="304" spans="2:11" ht="15.5">
      <c r="B304" s="379" t="s">
        <v>428</v>
      </c>
      <c r="C304" s="381">
        <v>1</v>
      </c>
      <c r="D304" s="382">
        <v>0.5</v>
      </c>
      <c r="E304" s="381">
        <v>0.5</v>
      </c>
      <c r="F304" s="381">
        <v>1</v>
      </c>
      <c r="G304" s="382">
        <v>0.5</v>
      </c>
      <c r="H304" s="381">
        <v>0.5</v>
      </c>
      <c r="I304" s="375" t="s">
        <v>185</v>
      </c>
      <c r="J304" s="375" t="s">
        <v>185</v>
      </c>
      <c r="K304" s="376" t="s">
        <v>185</v>
      </c>
    </row>
    <row r="305" spans="1:11" ht="15.5">
      <c r="B305" s="379"/>
      <c r="C305" s="391"/>
      <c r="D305" s="391"/>
      <c r="E305" s="391"/>
      <c r="F305" s="391"/>
      <c r="G305" s="391"/>
      <c r="H305" s="391"/>
      <c r="I305" s="391"/>
      <c r="J305" s="391"/>
      <c r="K305" s="392"/>
    </row>
    <row r="306" spans="1:11" ht="15">
      <c r="B306" s="371" t="s">
        <v>429</v>
      </c>
      <c r="C306" s="380">
        <v>104.1</v>
      </c>
      <c r="D306" s="380">
        <v>52.5</v>
      </c>
      <c r="E306" s="380">
        <v>51.599999999999994</v>
      </c>
      <c r="F306" s="380">
        <v>22.2</v>
      </c>
      <c r="G306" s="389">
        <v>11.1</v>
      </c>
      <c r="H306" s="380">
        <v>11.1</v>
      </c>
      <c r="I306" s="380">
        <v>81.899999999999991</v>
      </c>
      <c r="J306" s="380">
        <v>41.4</v>
      </c>
      <c r="K306" s="387">
        <v>40.499999999999993</v>
      </c>
    </row>
    <row r="307" spans="1:11" ht="15.5">
      <c r="B307" s="379" t="s">
        <v>430</v>
      </c>
      <c r="C307" s="381">
        <v>7.4</v>
      </c>
      <c r="D307" s="382">
        <v>3.7</v>
      </c>
      <c r="E307" s="381">
        <v>3.7</v>
      </c>
      <c r="F307" s="381">
        <v>7.4</v>
      </c>
      <c r="G307" s="382">
        <v>3.7</v>
      </c>
      <c r="H307" s="381">
        <v>3.7</v>
      </c>
      <c r="I307" s="375" t="s">
        <v>185</v>
      </c>
      <c r="J307" s="375" t="s">
        <v>185</v>
      </c>
      <c r="K307" s="376" t="s">
        <v>185</v>
      </c>
    </row>
    <row r="308" spans="1:11" ht="15.5">
      <c r="B308" s="379" t="s">
        <v>431</v>
      </c>
      <c r="C308" s="381">
        <v>5.6</v>
      </c>
      <c r="D308" s="382">
        <v>2.8</v>
      </c>
      <c r="E308" s="381">
        <v>2.8</v>
      </c>
      <c r="F308" s="381">
        <v>5.6</v>
      </c>
      <c r="G308" s="382">
        <v>2.8</v>
      </c>
      <c r="H308" s="381">
        <v>2.8</v>
      </c>
      <c r="I308" s="375" t="s">
        <v>185</v>
      </c>
      <c r="J308" s="375" t="s">
        <v>185</v>
      </c>
      <c r="K308" s="376" t="s">
        <v>185</v>
      </c>
    </row>
    <row r="309" spans="1:11" ht="15.5">
      <c r="B309" s="379" t="s">
        <v>432</v>
      </c>
      <c r="C309" s="381">
        <v>0</v>
      </c>
      <c r="D309" s="382">
        <v>0</v>
      </c>
      <c r="E309" s="381">
        <v>0</v>
      </c>
      <c r="F309" s="381">
        <v>0</v>
      </c>
      <c r="G309" s="382">
        <v>0</v>
      </c>
      <c r="H309" s="381">
        <v>0</v>
      </c>
      <c r="I309" s="375" t="s">
        <v>185</v>
      </c>
      <c r="J309" s="375" t="s">
        <v>185</v>
      </c>
      <c r="K309" s="376" t="s">
        <v>185</v>
      </c>
    </row>
    <row r="310" spans="1:11" ht="15.5">
      <c r="B310" s="379" t="s">
        <v>433</v>
      </c>
      <c r="C310" s="381">
        <v>7.1</v>
      </c>
      <c r="D310" s="382">
        <v>3.6</v>
      </c>
      <c r="E310" s="381">
        <v>3.4999999999999996</v>
      </c>
      <c r="F310" s="381">
        <v>7.1</v>
      </c>
      <c r="G310" s="382">
        <v>3.6</v>
      </c>
      <c r="H310" s="381">
        <v>3.4999999999999996</v>
      </c>
      <c r="I310" s="375" t="s">
        <v>185</v>
      </c>
      <c r="J310" s="375" t="s">
        <v>185</v>
      </c>
      <c r="K310" s="376" t="s">
        <v>185</v>
      </c>
    </row>
    <row r="311" spans="1:11" ht="15.5">
      <c r="B311" s="379" t="s">
        <v>434</v>
      </c>
      <c r="C311" s="381">
        <v>0.3</v>
      </c>
      <c r="D311" s="382">
        <v>0.1</v>
      </c>
      <c r="E311" s="381">
        <v>0.19999999999999998</v>
      </c>
      <c r="F311" s="381">
        <v>0.3</v>
      </c>
      <c r="G311" s="382">
        <v>0.1</v>
      </c>
      <c r="H311" s="381">
        <v>0.19999999999999998</v>
      </c>
      <c r="I311" s="375" t="s">
        <v>185</v>
      </c>
      <c r="J311" s="375" t="s">
        <v>185</v>
      </c>
      <c r="K311" s="376" t="s">
        <v>185</v>
      </c>
    </row>
    <row r="312" spans="1:11" ht="15.5">
      <c r="B312" s="379" t="s">
        <v>435</v>
      </c>
      <c r="C312" s="381">
        <v>0.8</v>
      </c>
      <c r="D312" s="382">
        <v>0.4</v>
      </c>
      <c r="E312" s="381">
        <v>0.4</v>
      </c>
      <c r="F312" s="381">
        <v>0.8</v>
      </c>
      <c r="G312" s="382">
        <v>0.4</v>
      </c>
      <c r="H312" s="381">
        <v>0.4</v>
      </c>
      <c r="I312" s="375" t="s">
        <v>185</v>
      </c>
      <c r="J312" s="375" t="s">
        <v>185</v>
      </c>
      <c r="K312" s="376" t="s">
        <v>185</v>
      </c>
    </row>
    <row r="313" spans="1:11" ht="15.5">
      <c r="B313" s="379" t="s">
        <v>436</v>
      </c>
      <c r="C313" s="381">
        <v>0.8</v>
      </c>
      <c r="D313" s="382">
        <v>0.4</v>
      </c>
      <c r="E313" s="381">
        <v>0.4</v>
      </c>
      <c r="F313" s="381">
        <v>0.8</v>
      </c>
      <c r="G313" s="382">
        <v>0.4</v>
      </c>
      <c r="H313" s="381">
        <v>0.4</v>
      </c>
      <c r="I313" s="375" t="s">
        <v>185</v>
      </c>
      <c r="J313" s="375" t="s">
        <v>185</v>
      </c>
      <c r="K313" s="376" t="s">
        <v>185</v>
      </c>
    </row>
    <row r="314" spans="1:11" ht="15.5">
      <c r="B314" s="379" t="s">
        <v>437</v>
      </c>
      <c r="C314" s="381">
        <v>0.2</v>
      </c>
      <c r="D314" s="382">
        <v>0.1</v>
      </c>
      <c r="E314" s="381">
        <v>0.1</v>
      </c>
      <c r="F314" s="381">
        <v>0.2</v>
      </c>
      <c r="G314" s="382">
        <v>0.1</v>
      </c>
      <c r="H314" s="381">
        <v>0.1</v>
      </c>
      <c r="I314" s="375" t="s">
        <v>185</v>
      </c>
      <c r="J314" s="375" t="s">
        <v>185</v>
      </c>
      <c r="K314" s="376" t="s">
        <v>185</v>
      </c>
    </row>
    <row r="315" spans="1:11" ht="15.5">
      <c r="B315" s="379"/>
      <c r="C315" s="391"/>
      <c r="D315" s="391"/>
      <c r="E315" s="391"/>
      <c r="F315" s="391"/>
      <c r="G315" s="391"/>
      <c r="H315" s="391"/>
      <c r="I315" s="391"/>
      <c r="J315" s="391"/>
      <c r="K315" s="392"/>
    </row>
    <row r="316" spans="1:11" ht="15">
      <c r="B316" s="371" t="s">
        <v>438</v>
      </c>
      <c r="C316" s="380">
        <v>10.199999999999999</v>
      </c>
      <c r="D316" s="380">
        <v>5</v>
      </c>
      <c r="E316" s="380">
        <v>5.1999999999999993</v>
      </c>
      <c r="F316" s="380">
        <v>8.9</v>
      </c>
      <c r="G316" s="389">
        <v>4.3</v>
      </c>
      <c r="H316" s="380">
        <v>4.6000000000000005</v>
      </c>
      <c r="I316" s="380">
        <v>1.2999999999999989</v>
      </c>
      <c r="J316" s="380">
        <v>0.70000000000000018</v>
      </c>
      <c r="K316" s="387">
        <v>0.59999999999999876</v>
      </c>
    </row>
    <row r="317" spans="1:11" ht="15">
      <c r="B317" s="371"/>
      <c r="C317" s="405"/>
      <c r="D317" s="405"/>
      <c r="E317" s="405"/>
      <c r="F317" s="405"/>
      <c r="G317" s="405"/>
      <c r="H317" s="405"/>
      <c r="I317" s="405"/>
      <c r="J317" s="405"/>
      <c r="K317" s="406"/>
    </row>
    <row r="318" spans="1:11" ht="15">
      <c r="A318" t="s">
        <v>938</v>
      </c>
      <c r="B318" s="371" t="s">
        <v>439</v>
      </c>
      <c r="C318" s="398">
        <v>621.4</v>
      </c>
      <c r="D318" s="398">
        <v>310.2</v>
      </c>
      <c r="E318" s="398">
        <v>311.2</v>
      </c>
      <c r="F318" s="380">
        <v>173.60000000000002</v>
      </c>
      <c r="G318" s="380">
        <v>84.7</v>
      </c>
      <c r="H318" s="398">
        <v>88.90000000000002</v>
      </c>
      <c r="I318" s="380">
        <v>447.79999999999995</v>
      </c>
      <c r="J318" s="380">
        <v>225.5</v>
      </c>
      <c r="K318" s="390">
        <v>222.29999999999995</v>
      </c>
    </row>
    <row r="319" spans="1:11" ht="15.5">
      <c r="B319" s="377" t="s">
        <v>271</v>
      </c>
      <c r="C319" s="372"/>
      <c r="D319" s="372"/>
      <c r="E319" s="372"/>
      <c r="F319" s="372"/>
      <c r="G319" s="372"/>
      <c r="H319" s="372"/>
      <c r="I319" s="372"/>
      <c r="J319" s="372"/>
      <c r="K319" s="378"/>
    </row>
    <row r="320" spans="1:11" ht="15">
      <c r="B320" s="371" t="s">
        <v>440</v>
      </c>
      <c r="C320" s="380">
        <v>98.3</v>
      </c>
      <c r="D320" s="380">
        <v>48.8</v>
      </c>
      <c r="E320" s="380">
        <v>49.5</v>
      </c>
      <c r="F320" s="380">
        <v>15</v>
      </c>
      <c r="G320" s="380">
        <v>7</v>
      </c>
      <c r="H320" s="380">
        <v>8</v>
      </c>
      <c r="I320" s="380">
        <v>83.3</v>
      </c>
      <c r="J320" s="380">
        <v>41.8</v>
      </c>
      <c r="K320" s="387">
        <v>41.5</v>
      </c>
    </row>
    <row r="321" spans="2:11" ht="15.5">
      <c r="B321" s="379" t="s">
        <v>441</v>
      </c>
      <c r="C321" s="381">
        <v>14</v>
      </c>
      <c r="D321" s="382">
        <v>6.5</v>
      </c>
      <c r="E321" s="381">
        <v>7.5</v>
      </c>
      <c r="F321" s="381">
        <v>14</v>
      </c>
      <c r="G321" s="382">
        <v>6.5</v>
      </c>
      <c r="H321" s="381">
        <v>7.5</v>
      </c>
      <c r="I321" s="375" t="s">
        <v>185</v>
      </c>
      <c r="J321" s="375" t="s">
        <v>185</v>
      </c>
      <c r="K321" s="376" t="s">
        <v>185</v>
      </c>
    </row>
    <row r="322" spans="2:11" ht="15.5">
      <c r="B322" s="379" t="s">
        <v>442</v>
      </c>
      <c r="C322" s="381">
        <v>1</v>
      </c>
      <c r="D322" s="382">
        <v>0.5</v>
      </c>
      <c r="E322" s="381">
        <v>0.5</v>
      </c>
      <c r="F322" s="381">
        <v>1</v>
      </c>
      <c r="G322" s="382">
        <v>0.5</v>
      </c>
      <c r="H322" s="381">
        <v>0.5</v>
      </c>
      <c r="I322" s="375" t="s">
        <v>185</v>
      </c>
      <c r="J322" s="375" t="s">
        <v>185</v>
      </c>
      <c r="K322" s="376" t="s">
        <v>185</v>
      </c>
    </row>
    <row r="323" spans="2:11" ht="15.5">
      <c r="B323" s="379"/>
      <c r="C323" s="391"/>
      <c r="D323" s="391"/>
      <c r="E323" s="391"/>
      <c r="F323" s="391"/>
      <c r="G323" s="391"/>
      <c r="H323" s="391"/>
      <c r="I323" s="391"/>
      <c r="J323" s="391"/>
      <c r="K323" s="392"/>
    </row>
    <row r="324" spans="2:11" ht="15">
      <c r="B324" s="371" t="s">
        <v>443</v>
      </c>
      <c r="C324" s="380">
        <v>128.69999999999999</v>
      </c>
      <c r="D324" s="380">
        <v>63.6</v>
      </c>
      <c r="E324" s="380">
        <v>65.099999999999994</v>
      </c>
      <c r="F324" s="380">
        <v>32.799999999999997</v>
      </c>
      <c r="G324" s="380">
        <v>15.9</v>
      </c>
      <c r="H324" s="380">
        <v>16.899999999999999</v>
      </c>
      <c r="I324" s="380">
        <v>95.899999999999991</v>
      </c>
      <c r="J324" s="380">
        <v>47.7</v>
      </c>
      <c r="K324" s="387">
        <v>48.199999999999989</v>
      </c>
    </row>
    <row r="325" spans="2:11" ht="15.5">
      <c r="B325" s="379" t="s">
        <v>444</v>
      </c>
      <c r="C325" s="381">
        <v>21.7</v>
      </c>
      <c r="D325" s="382">
        <v>10.4</v>
      </c>
      <c r="E325" s="381">
        <v>11.299999999999999</v>
      </c>
      <c r="F325" s="381">
        <v>21.7</v>
      </c>
      <c r="G325" s="382">
        <v>10.4</v>
      </c>
      <c r="H325" s="381">
        <v>11.299999999999999</v>
      </c>
      <c r="I325" s="375" t="s">
        <v>185</v>
      </c>
      <c r="J325" s="375" t="s">
        <v>185</v>
      </c>
      <c r="K325" s="376" t="s">
        <v>185</v>
      </c>
    </row>
    <row r="326" spans="2:11" ht="15.5">
      <c r="B326" s="379" t="s">
        <v>445</v>
      </c>
      <c r="C326" s="381">
        <v>11.1</v>
      </c>
      <c r="D326" s="382">
        <v>5.5</v>
      </c>
      <c r="E326" s="381">
        <v>5.6</v>
      </c>
      <c r="F326" s="381">
        <v>11.1</v>
      </c>
      <c r="G326" s="382">
        <v>5.5</v>
      </c>
      <c r="H326" s="381">
        <v>5.6</v>
      </c>
      <c r="I326" s="375" t="s">
        <v>185</v>
      </c>
      <c r="J326" s="375" t="s">
        <v>185</v>
      </c>
      <c r="K326" s="376" t="s">
        <v>185</v>
      </c>
    </row>
    <row r="327" spans="2:11" ht="15.5">
      <c r="B327" s="379"/>
      <c r="C327" s="391"/>
      <c r="D327" s="391"/>
      <c r="E327" s="391"/>
      <c r="F327" s="391"/>
      <c r="G327" s="391"/>
      <c r="H327" s="391"/>
      <c r="I327" s="391"/>
      <c r="J327" s="391"/>
      <c r="K327" s="392"/>
    </row>
    <row r="328" spans="2:11" ht="15">
      <c r="B328" s="371" t="s">
        <v>446</v>
      </c>
      <c r="C328" s="380">
        <v>56.9</v>
      </c>
      <c r="D328" s="380">
        <v>27.7</v>
      </c>
      <c r="E328" s="380">
        <v>29.2</v>
      </c>
      <c r="F328" s="380">
        <v>14.4</v>
      </c>
      <c r="G328" s="380">
        <v>6.8</v>
      </c>
      <c r="H328" s="380">
        <v>7.6000000000000005</v>
      </c>
      <c r="I328" s="380">
        <v>42.5</v>
      </c>
      <c r="J328" s="380">
        <v>20.9</v>
      </c>
      <c r="K328" s="387">
        <v>21.6</v>
      </c>
    </row>
    <row r="329" spans="2:11" ht="15.5">
      <c r="B329" s="379" t="s">
        <v>447</v>
      </c>
      <c r="C329" s="381">
        <v>14.4</v>
      </c>
      <c r="D329" s="382">
        <v>6.8</v>
      </c>
      <c r="E329" s="381">
        <v>7.6000000000000005</v>
      </c>
      <c r="F329" s="381">
        <v>14.4</v>
      </c>
      <c r="G329" s="382">
        <v>6.8</v>
      </c>
      <c r="H329" s="381">
        <v>7.6000000000000005</v>
      </c>
      <c r="I329" s="375" t="s">
        <v>185</v>
      </c>
      <c r="J329" s="375" t="s">
        <v>185</v>
      </c>
      <c r="K329" s="376" t="s">
        <v>185</v>
      </c>
    </row>
    <row r="330" spans="2:11" ht="15.5">
      <c r="B330" s="379"/>
      <c r="C330" s="391"/>
      <c r="D330" s="391"/>
      <c r="E330" s="391"/>
      <c r="F330" s="391"/>
      <c r="G330" s="391"/>
      <c r="H330" s="391"/>
      <c r="I330" s="391"/>
      <c r="J330" s="391"/>
      <c r="K330" s="407" t="s">
        <v>185</v>
      </c>
    </row>
    <row r="331" spans="2:11" ht="15">
      <c r="B331" s="371" t="s">
        <v>448</v>
      </c>
      <c r="C331" s="380">
        <v>186.6</v>
      </c>
      <c r="D331" s="380">
        <v>93.4</v>
      </c>
      <c r="E331" s="380">
        <v>93.199999999999989</v>
      </c>
      <c r="F331" s="380">
        <v>67.8</v>
      </c>
      <c r="G331" s="380">
        <v>33.1</v>
      </c>
      <c r="H331" s="380">
        <v>34.699999999999996</v>
      </c>
      <c r="I331" s="380">
        <v>118.8</v>
      </c>
      <c r="J331" s="380">
        <v>60.300000000000004</v>
      </c>
      <c r="K331" s="387">
        <v>58.499999999999993</v>
      </c>
    </row>
    <row r="332" spans="2:11" ht="15.5">
      <c r="B332" s="379" t="s">
        <v>448</v>
      </c>
      <c r="C332" s="381">
        <v>65.3</v>
      </c>
      <c r="D332" s="382">
        <v>31.8</v>
      </c>
      <c r="E332" s="381">
        <v>33.5</v>
      </c>
      <c r="F332" s="381">
        <v>65.3</v>
      </c>
      <c r="G332" s="382">
        <v>31.8</v>
      </c>
      <c r="H332" s="381">
        <v>33.5</v>
      </c>
      <c r="I332" s="375" t="s">
        <v>185</v>
      </c>
      <c r="J332" s="375" t="s">
        <v>185</v>
      </c>
      <c r="K332" s="376" t="s">
        <v>185</v>
      </c>
    </row>
    <row r="333" spans="2:11" ht="15.5">
      <c r="B333" s="379" t="s">
        <v>449</v>
      </c>
      <c r="C333" s="381">
        <v>2.2000000000000002</v>
      </c>
      <c r="D333" s="382">
        <v>1.1000000000000001</v>
      </c>
      <c r="E333" s="381">
        <v>1.1000000000000001</v>
      </c>
      <c r="F333" s="381">
        <v>2.2000000000000002</v>
      </c>
      <c r="G333" s="382">
        <v>1.1000000000000001</v>
      </c>
      <c r="H333" s="381">
        <v>1.1000000000000001</v>
      </c>
      <c r="I333" s="375" t="s">
        <v>185</v>
      </c>
      <c r="J333" s="375" t="s">
        <v>185</v>
      </c>
      <c r="K333" s="376" t="s">
        <v>185</v>
      </c>
    </row>
    <row r="334" spans="2:11" ht="15.5">
      <c r="B334" s="379" t="s">
        <v>450</v>
      </c>
      <c r="C334" s="381">
        <v>0.3</v>
      </c>
      <c r="D334" s="382">
        <v>0.2</v>
      </c>
      <c r="E334" s="381">
        <v>9.9999999999999978E-2</v>
      </c>
      <c r="F334" s="381">
        <v>0.3</v>
      </c>
      <c r="G334" s="382">
        <v>0.2</v>
      </c>
      <c r="H334" s="381">
        <v>9.9999999999999978E-2</v>
      </c>
      <c r="I334" s="375" t="s">
        <v>185</v>
      </c>
      <c r="J334" s="375" t="s">
        <v>185</v>
      </c>
      <c r="K334" s="376" t="s">
        <v>185</v>
      </c>
    </row>
    <row r="335" spans="2:11" ht="15.5">
      <c r="B335" s="379"/>
      <c r="C335" s="384"/>
      <c r="D335" s="384"/>
      <c r="E335" s="384"/>
      <c r="F335" s="384"/>
      <c r="G335" s="384"/>
      <c r="H335" s="384"/>
      <c r="I335" s="384"/>
      <c r="J335" s="384"/>
      <c r="K335" s="393"/>
    </row>
    <row r="336" spans="2:11" ht="15">
      <c r="B336" s="371" t="s">
        <v>451</v>
      </c>
      <c r="C336" s="380">
        <v>44.3</v>
      </c>
      <c r="D336" s="380">
        <v>22.4</v>
      </c>
      <c r="E336" s="380">
        <v>21.9</v>
      </c>
      <c r="F336" s="380">
        <v>7.4</v>
      </c>
      <c r="G336" s="380">
        <v>3.7</v>
      </c>
      <c r="H336" s="380">
        <v>3.7</v>
      </c>
      <c r="I336" s="380">
        <v>36.9</v>
      </c>
      <c r="J336" s="380">
        <v>18.7</v>
      </c>
      <c r="K336" s="387">
        <v>18.2</v>
      </c>
    </row>
    <row r="337" spans="1:11" ht="15.5">
      <c r="B337" s="379" t="s">
        <v>452</v>
      </c>
      <c r="C337" s="381">
        <v>7.4</v>
      </c>
      <c r="D337" s="382">
        <v>3.7</v>
      </c>
      <c r="E337" s="381">
        <v>3.7</v>
      </c>
      <c r="F337" s="381">
        <v>7.4</v>
      </c>
      <c r="G337" s="382">
        <v>3.7</v>
      </c>
      <c r="H337" s="381">
        <v>3.7</v>
      </c>
      <c r="I337" s="375" t="s">
        <v>185</v>
      </c>
      <c r="J337" s="375" t="s">
        <v>185</v>
      </c>
      <c r="K337" s="376" t="s">
        <v>185</v>
      </c>
    </row>
    <row r="338" spans="1:11" ht="15.5">
      <c r="B338" s="379"/>
      <c r="C338" s="408"/>
      <c r="D338" s="408"/>
      <c r="E338" s="408"/>
      <c r="F338" s="408"/>
      <c r="G338" s="408"/>
      <c r="H338" s="408"/>
      <c r="I338" s="408"/>
      <c r="J338" s="408"/>
      <c r="K338" s="409"/>
    </row>
    <row r="339" spans="1:11" ht="15">
      <c r="B339" s="371" t="s">
        <v>453</v>
      </c>
      <c r="C339" s="380">
        <v>106.6</v>
      </c>
      <c r="D339" s="380">
        <v>54.3</v>
      </c>
      <c r="E339" s="380">
        <v>52.3</v>
      </c>
      <c r="F339" s="380">
        <v>36.200000000000003</v>
      </c>
      <c r="G339" s="380">
        <v>18.2</v>
      </c>
      <c r="H339" s="380">
        <v>18.000000000000004</v>
      </c>
      <c r="I339" s="380">
        <v>70.399999999999991</v>
      </c>
      <c r="J339" s="380">
        <v>36.099999999999994</v>
      </c>
      <c r="K339" s="387">
        <v>34.299999999999997</v>
      </c>
    </row>
    <row r="340" spans="1:11" ht="15.5">
      <c r="B340" s="379" t="s">
        <v>454</v>
      </c>
      <c r="C340" s="381">
        <v>14</v>
      </c>
      <c r="D340" s="382">
        <v>6.9</v>
      </c>
      <c r="E340" s="381">
        <v>7.1</v>
      </c>
      <c r="F340" s="381">
        <v>14</v>
      </c>
      <c r="G340" s="382">
        <v>6.9</v>
      </c>
      <c r="H340" s="381">
        <v>7.1</v>
      </c>
      <c r="I340" s="375" t="s">
        <v>185</v>
      </c>
      <c r="J340" s="375" t="s">
        <v>185</v>
      </c>
      <c r="K340" s="376" t="s">
        <v>185</v>
      </c>
    </row>
    <row r="341" spans="1:11" ht="15.5">
      <c r="B341" s="379" t="s">
        <v>455</v>
      </c>
      <c r="C341" s="381">
        <v>5.8</v>
      </c>
      <c r="D341" s="382">
        <v>3.1</v>
      </c>
      <c r="E341" s="381">
        <v>2.6999999999999997</v>
      </c>
      <c r="F341" s="381">
        <v>5.8</v>
      </c>
      <c r="G341" s="382">
        <v>3.1</v>
      </c>
      <c r="H341" s="381">
        <v>2.6999999999999997</v>
      </c>
      <c r="I341" s="375" t="s">
        <v>185</v>
      </c>
      <c r="J341" s="375" t="s">
        <v>185</v>
      </c>
      <c r="K341" s="376" t="s">
        <v>185</v>
      </c>
    </row>
    <row r="342" spans="1:11" ht="15.5">
      <c r="B342" s="379" t="s">
        <v>456</v>
      </c>
      <c r="C342" s="381">
        <v>6.2</v>
      </c>
      <c r="D342" s="382">
        <v>3.1</v>
      </c>
      <c r="E342" s="381">
        <v>3.1</v>
      </c>
      <c r="F342" s="381">
        <v>6.2</v>
      </c>
      <c r="G342" s="382">
        <v>3.1</v>
      </c>
      <c r="H342" s="381">
        <v>3.1</v>
      </c>
      <c r="I342" s="375" t="s">
        <v>185</v>
      </c>
      <c r="J342" s="375" t="s">
        <v>185</v>
      </c>
      <c r="K342" s="376" t="s">
        <v>185</v>
      </c>
    </row>
    <row r="343" spans="1:11" ht="15.5">
      <c r="B343" s="379" t="s">
        <v>457</v>
      </c>
      <c r="C343" s="381">
        <v>10.199999999999999</v>
      </c>
      <c r="D343" s="382">
        <v>5.0999999999999996</v>
      </c>
      <c r="E343" s="381">
        <v>5.0999999999999996</v>
      </c>
      <c r="F343" s="381">
        <v>10.199999999999999</v>
      </c>
      <c r="G343" s="382">
        <v>5.0999999999999996</v>
      </c>
      <c r="H343" s="381">
        <v>5.0999999999999996</v>
      </c>
      <c r="I343" s="375" t="s">
        <v>185</v>
      </c>
      <c r="J343" s="375" t="s">
        <v>185</v>
      </c>
      <c r="K343" s="376" t="s">
        <v>185</v>
      </c>
    </row>
    <row r="344" spans="1:11" ht="15.5">
      <c r="B344" s="379"/>
      <c r="C344" s="384"/>
      <c r="D344" s="384"/>
      <c r="E344" s="384"/>
      <c r="F344" s="384"/>
      <c r="G344" s="384"/>
      <c r="H344" s="384"/>
      <c r="I344" s="384"/>
      <c r="J344" s="384"/>
      <c r="K344" s="393"/>
    </row>
    <row r="345" spans="1:11" ht="15">
      <c r="A345" t="s">
        <v>938</v>
      </c>
      <c r="B345" s="371" t="s">
        <v>458</v>
      </c>
      <c r="C345" s="398">
        <v>937.19999999999993</v>
      </c>
      <c r="D345" s="398">
        <v>473.7</v>
      </c>
      <c r="E345" s="398">
        <v>463.49999999999994</v>
      </c>
      <c r="F345" s="380">
        <v>251.29999999999998</v>
      </c>
      <c r="G345" s="380">
        <v>125.80000000000001</v>
      </c>
      <c r="H345" s="398">
        <v>125.49999999999997</v>
      </c>
      <c r="I345" s="380">
        <v>685.9</v>
      </c>
      <c r="J345" s="380">
        <v>347.90000000000003</v>
      </c>
      <c r="K345" s="387">
        <v>337.99999999999994</v>
      </c>
    </row>
    <row r="346" spans="1:11" ht="15.5">
      <c r="B346" s="377" t="s">
        <v>271</v>
      </c>
      <c r="C346" s="381"/>
      <c r="D346" s="381"/>
      <c r="E346" s="381"/>
      <c r="F346" s="381"/>
      <c r="G346" s="381"/>
      <c r="H346" s="381"/>
      <c r="I346" s="381"/>
      <c r="J346" s="381"/>
      <c r="K346" s="388"/>
    </row>
    <row r="347" spans="1:11" ht="15">
      <c r="B347" s="371" t="s">
        <v>459</v>
      </c>
      <c r="C347" s="380">
        <v>108.6</v>
      </c>
      <c r="D347" s="380">
        <v>54.6</v>
      </c>
      <c r="E347" s="380">
        <v>53.999999999999993</v>
      </c>
      <c r="F347" s="380">
        <v>33.6</v>
      </c>
      <c r="G347" s="380">
        <v>16.600000000000001</v>
      </c>
      <c r="H347" s="380">
        <v>17</v>
      </c>
      <c r="I347" s="380">
        <v>75</v>
      </c>
      <c r="J347" s="380">
        <v>38</v>
      </c>
      <c r="K347" s="387">
        <v>37</v>
      </c>
    </row>
    <row r="348" spans="1:11" ht="15.5">
      <c r="B348" s="379" t="s">
        <v>460</v>
      </c>
      <c r="C348" s="381">
        <v>17.5</v>
      </c>
      <c r="D348" s="382">
        <v>8.6</v>
      </c>
      <c r="E348" s="381">
        <v>8.9</v>
      </c>
      <c r="F348" s="381">
        <v>17.5</v>
      </c>
      <c r="G348" s="382">
        <v>8.6</v>
      </c>
      <c r="H348" s="381">
        <v>8.9</v>
      </c>
      <c r="I348" s="375" t="s">
        <v>185</v>
      </c>
      <c r="J348" s="375" t="s">
        <v>185</v>
      </c>
      <c r="K348" s="376" t="s">
        <v>185</v>
      </c>
    </row>
    <row r="349" spans="1:11" ht="15.5">
      <c r="B349" s="379" t="s">
        <v>461</v>
      </c>
      <c r="C349" s="381">
        <v>6.4</v>
      </c>
      <c r="D349" s="382">
        <v>3.1</v>
      </c>
      <c r="E349" s="381">
        <v>3.3000000000000003</v>
      </c>
      <c r="F349" s="381">
        <v>6.4</v>
      </c>
      <c r="G349" s="382">
        <v>3.1</v>
      </c>
      <c r="H349" s="381">
        <v>3.3000000000000003</v>
      </c>
      <c r="I349" s="375" t="s">
        <v>185</v>
      </c>
      <c r="J349" s="375" t="s">
        <v>185</v>
      </c>
      <c r="K349" s="376" t="s">
        <v>185</v>
      </c>
    </row>
    <row r="350" spans="1:11" ht="15.5">
      <c r="B350" s="379" t="s">
        <v>462</v>
      </c>
      <c r="C350" s="381">
        <v>9.6999999999999993</v>
      </c>
      <c r="D350" s="382">
        <v>4.9000000000000004</v>
      </c>
      <c r="E350" s="381">
        <v>4.7999999999999989</v>
      </c>
      <c r="F350" s="381">
        <v>9.6999999999999993</v>
      </c>
      <c r="G350" s="382">
        <v>4.9000000000000004</v>
      </c>
      <c r="H350" s="381">
        <v>4.7999999999999989</v>
      </c>
      <c r="I350" s="375" t="s">
        <v>185</v>
      </c>
      <c r="J350" s="375" t="s">
        <v>185</v>
      </c>
      <c r="K350" s="376" t="s">
        <v>185</v>
      </c>
    </row>
    <row r="351" spans="1:11" ht="15.5">
      <c r="B351" s="379"/>
      <c r="C351" s="403"/>
      <c r="D351" s="403"/>
      <c r="E351" s="403"/>
      <c r="F351" s="403"/>
      <c r="G351" s="403"/>
      <c r="H351" s="403"/>
      <c r="I351" s="403"/>
      <c r="J351" s="403"/>
      <c r="K351" s="404"/>
    </row>
    <row r="352" spans="1:11" ht="15">
      <c r="B352" s="371" t="s">
        <v>463</v>
      </c>
      <c r="C352" s="380">
        <v>228.7</v>
      </c>
      <c r="D352" s="380">
        <v>114.9</v>
      </c>
      <c r="E352" s="380">
        <v>113.79999999999998</v>
      </c>
      <c r="F352" s="380">
        <v>88.6</v>
      </c>
      <c r="G352" s="380">
        <v>43.6</v>
      </c>
      <c r="H352" s="380">
        <v>44.999999999999993</v>
      </c>
      <c r="I352" s="380">
        <v>140.1</v>
      </c>
      <c r="J352" s="380">
        <v>71.300000000000011</v>
      </c>
      <c r="K352" s="387">
        <v>68.799999999999983</v>
      </c>
    </row>
    <row r="353" spans="2:11" ht="15.5">
      <c r="B353" s="379" t="s">
        <v>463</v>
      </c>
      <c r="C353" s="381">
        <v>52.6</v>
      </c>
      <c r="D353" s="382">
        <v>25.7</v>
      </c>
      <c r="E353" s="381">
        <v>26.900000000000002</v>
      </c>
      <c r="F353" s="381">
        <v>52.6</v>
      </c>
      <c r="G353" s="382">
        <v>25.7</v>
      </c>
      <c r="H353" s="381">
        <v>26.900000000000002</v>
      </c>
      <c r="I353" s="375" t="s">
        <v>185</v>
      </c>
      <c r="J353" s="375" t="s">
        <v>185</v>
      </c>
      <c r="K353" s="376" t="s">
        <v>185</v>
      </c>
    </row>
    <row r="354" spans="2:11" ht="15.5">
      <c r="B354" s="379" t="s">
        <v>464</v>
      </c>
      <c r="C354" s="381">
        <v>11.5</v>
      </c>
      <c r="D354" s="382">
        <v>5.7</v>
      </c>
      <c r="E354" s="381">
        <v>5.8</v>
      </c>
      <c r="F354" s="381">
        <v>11.5</v>
      </c>
      <c r="G354" s="382">
        <v>5.7</v>
      </c>
      <c r="H354" s="381">
        <v>5.8</v>
      </c>
      <c r="I354" s="375" t="s">
        <v>185</v>
      </c>
      <c r="J354" s="375" t="s">
        <v>185</v>
      </c>
      <c r="K354" s="376" t="s">
        <v>185</v>
      </c>
    </row>
    <row r="355" spans="2:11" ht="15.5">
      <c r="B355" s="379" t="s">
        <v>465</v>
      </c>
      <c r="C355" s="381">
        <v>1.9</v>
      </c>
      <c r="D355" s="382">
        <v>0.9</v>
      </c>
      <c r="E355" s="381">
        <v>0.99999999999999989</v>
      </c>
      <c r="F355" s="381">
        <v>1.9</v>
      </c>
      <c r="G355" s="382">
        <v>0.9</v>
      </c>
      <c r="H355" s="381">
        <v>0.99999999999999989</v>
      </c>
      <c r="I355" s="375" t="s">
        <v>185</v>
      </c>
      <c r="J355" s="375" t="s">
        <v>185</v>
      </c>
      <c r="K355" s="376" t="s">
        <v>185</v>
      </c>
    </row>
    <row r="356" spans="2:11" ht="15.5">
      <c r="B356" s="379" t="s">
        <v>466</v>
      </c>
      <c r="C356" s="381">
        <v>3.2</v>
      </c>
      <c r="D356" s="382">
        <v>1.6</v>
      </c>
      <c r="E356" s="381">
        <v>1.6</v>
      </c>
      <c r="F356" s="381">
        <v>3.2</v>
      </c>
      <c r="G356" s="382">
        <v>1.6</v>
      </c>
      <c r="H356" s="381">
        <v>1.6</v>
      </c>
      <c r="I356" s="375" t="s">
        <v>185</v>
      </c>
      <c r="J356" s="375" t="s">
        <v>185</v>
      </c>
      <c r="K356" s="376" t="s">
        <v>185</v>
      </c>
    </row>
    <row r="357" spans="2:11" ht="15.5">
      <c r="B357" s="379" t="s">
        <v>467</v>
      </c>
      <c r="C357" s="381">
        <v>2.2999999999999998</v>
      </c>
      <c r="D357" s="382">
        <v>1.1000000000000001</v>
      </c>
      <c r="E357" s="381">
        <v>1.1999999999999997</v>
      </c>
      <c r="F357" s="381">
        <v>2.2999999999999998</v>
      </c>
      <c r="G357" s="382">
        <v>1.1000000000000001</v>
      </c>
      <c r="H357" s="381">
        <v>1.1999999999999997</v>
      </c>
      <c r="I357" s="375" t="s">
        <v>185</v>
      </c>
      <c r="J357" s="375" t="s">
        <v>185</v>
      </c>
      <c r="K357" s="376" t="s">
        <v>185</v>
      </c>
    </row>
    <row r="358" spans="2:11" ht="15.5">
      <c r="B358" s="379" t="s">
        <v>468</v>
      </c>
      <c r="C358" s="381">
        <v>4.5</v>
      </c>
      <c r="D358" s="382">
        <v>2.2999999999999998</v>
      </c>
      <c r="E358" s="381">
        <v>2.2000000000000002</v>
      </c>
      <c r="F358" s="381">
        <v>4.5</v>
      </c>
      <c r="G358" s="382">
        <v>2.2999999999999998</v>
      </c>
      <c r="H358" s="381">
        <v>2.2000000000000002</v>
      </c>
      <c r="I358" s="375" t="s">
        <v>185</v>
      </c>
      <c r="J358" s="375" t="s">
        <v>185</v>
      </c>
      <c r="K358" s="376" t="s">
        <v>185</v>
      </c>
    </row>
    <row r="359" spans="2:11" ht="15.5">
      <c r="B359" s="379" t="s">
        <v>469</v>
      </c>
      <c r="C359" s="381">
        <v>5.0999999999999996</v>
      </c>
      <c r="D359" s="382">
        <v>2.5</v>
      </c>
      <c r="E359" s="381">
        <v>2.5999999999999996</v>
      </c>
      <c r="F359" s="381">
        <v>5.0999999999999996</v>
      </c>
      <c r="G359" s="382">
        <v>2.5</v>
      </c>
      <c r="H359" s="381">
        <v>2.5999999999999996</v>
      </c>
      <c r="I359" s="375" t="s">
        <v>185</v>
      </c>
      <c r="J359" s="375" t="s">
        <v>185</v>
      </c>
      <c r="K359" s="376" t="s">
        <v>185</v>
      </c>
    </row>
    <row r="360" spans="2:11" ht="15.5">
      <c r="B360" s="379" t="s">
        <v>470</v>
      </c>
      <c r="C360" s="381">
        <v>2.5</v>
      </c>
      <c r="D360" s="382">
        <v>1.3</v>
      </c>
      <c r="E360" s="381">
        <v>1.2</v>
      </c>
      <c r="F360" s="381">
        <v>2.5</v>
      </c>
      <c r="G360" s="382">
        <v>1.3</v>
      </c>
      <c r="H360" s="381">
        <v>1.2</v>
      </c>
      <c r="I360" s="375" t="s">
        <v>185</v>
      </c>
      <c r="J360" s="375" t="s">
        <v>185</v>
      </c>
      <c r="K360" s="376" t="s">
        <v>185</v>
      </c>
    </row>
    <row r="361" spans="2:11" ht="15.5">
      <c r="B361" s="379" t="s">
        <v>471</v>
      </c>
      <c r="C361" s="381">
        <v>1.3</v>
      </c>
      <c r="D361" s="382">
        <v>0.7</v>
      </c>
      <c r="E361" s="381">
        <v>0.60000000000000009</v>
      </c>
      <c r="F361" s="381">
        <v>1.3</v>
      </c>
      <c r="G361" s="382">
        <v>0.7</v>
      </c>
      <c r="H361" s="381">
        <v>0.60000000000000009</v>
      </c>
      <c r="I361" s="375" t="s">
        <v>185</v>
      </c>
      <c r="J361" s="375" t="s">
        <v>185</v>
      </c>
      <c r="K361" s="376" t="s">
        <v>185</v>
      </c>
    </row>
    <row r="362" spans="2:11" ht="15.5">
      <c r="B362" s="379" t="s">
        <v>472</v>
      </c>
      <c r="C362" s="381">
        <v>3.7</v>
      </c>
      <c r="D362" s="382">
        <v>1.8</v>
      </c>
      <c r="E362" s="381">
        <v>1.9000000000000001</v>
      </c>
      <c r="F362" s="381">
        <v>3.7</v>
      </c>
      <c r="G362" s="382">
        <v>1.8</v>
      </c>
      <c r="H362" s="381">
        <v>1.9000000000000001</v>
      </c>
      <c r="I362" s="375" t="s">
        <v>185</v>
      </c>
      <c r="J362" s="375" t="s">
        <v>185</v>
      </c>
      <c r="K362" s="376" t="s">
        <v>185</v>
      </c>
    </row>
    <row r="363" spans="2:11" ht="15.5">
      <c r="B363" s="379"/>
      <c r="C363" s="403"/>
      <c r="D363" s="403"/>
      <c r="E363" s="403"/>
      <c r="F363" s="403"/>
      <c r="G363" s="403"/>
      <c r="H363" s="403"/>
      <c r="I363" s="403"/>
      <c r="J363" s="403"/>
      <c r="K363" s="404"/>
    </row>
    <row r="364" spans="2:11" ht="15">
      <c r="B364" s="371" t="s">
        <v>473</v>
      </c>
      <c r="C364" s="380">
        <v>84.7</v>
      </c>
      <c r="D364" s="380">
        <v>42.9</v>
      </c>
      <c r="E364" s="380">
        <v>41.800000000000004</v>
      </c>
      <c r="F364" s="380">
        <v>8.5</v>
      </c>
      <c r="G364" s="380">
        <v>4.3</v>
      </c>
      <c r="H364" s="380">
        <v>4.2</v>
      </c>
      <c r="I364" s="380">
        <v>76.2</v>
      </c>
      <c r="J364" s="380">
        <v>38.6</v>
      </c>
      <c r="K364" s="387">
        <v>37.6</v>
      </c>
    </row>
    <row r="365" spans="2:11" ht="15.5">
      <c r="B365" s="379" t="s">
        <v>474</v>
      </c>
      <c r="C365" s="381">
        <v>8.5</v>
      </c>
      <c r="D365" s="382">
        <v>4.3</v>
      </c>
      <c r="E365" s="381">
        <v>4.2</v>
      </c>
      <c r="F365" s="381">
        <v>8.5</v>
      </c>
      <c r="G365" s="382">
        <v>4.3</v>
      </c>
      <c r="H365" s="381">
        <v>4.2</v>
      </c>
      <c r="I365" s="375" t="s">
        <v>185</v>
      </c>
      <c r="J365" s="375" t="s">
        <v>185</v>
      </c>
      <c r="K365" s="376" t="s">
        <v>185</v>
      </c>
    </row>
    <row r="366" spans="2:11" ht="15.5">
      <c r="B366" s="379"/>
      <c r="C366" s="391"/>
      <c r="D366" s="391"/>
      <c r="E366" s="391"/>
      <c r="F366" s="391"/>
      <c r="G366" s="391"/>
      <c r="H366" s="391"/>
      <c r="I366" s="391"/>
      <c r="J366" s="391"/>
      <c r="K366" s="392"/>
    </row>
    <row r="367" spans="2:11" ht="15">
      <c r="B367" s="371" t="s">
        <v>475</v>
      </c>
      <c r="C367" s="380">
        <v>67</v>
      </c>
      <c r="D367" s="380">
        <v>34.299999999999997</v>
      </c>
      <c r="E367" s="380">
        <v>32.700000000000003</v>
      </c>
      <c r="F367" s="380">
        <v>7.5</v>
      </c>
      <c r="G367" s="380">
        <v>3.9</v>
      </c>
      <c r="H367" s="380">
        <v>3.6</v>
      </c>
      <c r="I367" s="380">
        <v>59.5</v>
      </c>
      <c r="J367" s="380">
        <v>30.4</v>
      </c>
      <c r="K367" s="387">
        <v>29.1</v>
      </c>
    </row>
    <row r="368" spans="2:11" ht="15.5">
      <c r="B368" s="379" t="s">
        <v>476</v>
      </c>
      <c r="C368" s="381">
        <v>7.5</v>
      </c>
      <c r="D368" s="382">
        <v>3.9</v>
      </c>
      <c r="E368" s="381">
        <v>3.6</v>
      </c>
      <c r="F368" s="381">
        <v>7.5</v>
      </c>
      <c r="G368" s="382">
        <v>3.9</v>
      </c>
      <c r="H368" s="381">
        <v>3.6</v>
      </c>
      <c r="I368" s="375" t="s">
        <v>185</v>
      </c>
      <c r="J368" s="375" t="s">
        <v>185</v>
      </c>
      <c r="K368" s="376" t="s">
        <v>185</v>
      </c>
    </row>
    <row r="369" spans="1:11" ht="15.5">
      <c r="B369" s="379"/>
      <c r="C369" s="391"/>
      <c r="D369" s="391"/>
      <c r="E369" s="391"/>
      <c r="F369" s="391"/>
      <c r="G369" s="391"/>
      <c r="H369" s="391"/>
      <c r="I369" s="391"/>
      <c r="J369" s="391"/>
      <c r="K369" s="392"/>
    </row>
    <row r="370" spans="1:11" ht="15">
      <c r="B370" s="371" t="s">
        <v>477</v>
      </c>
      <c r="C370" s="380">
        <v>225.8</v>
      </c>
      <c r="D370" s="380">
        <v>114.7</v>
      </c>
      <c r="E370" s="380">
        <v>111.10000000000001</v>
      </c>
      <c r="F370" s="380">
        <v>51.1</v>
      </c>
      <c r="G370" s="380">
        <v>26.3</v>
      </c>
      <c r="H370" s="380">
        <v>24.8</v>
      </c>
      <c r="I370" s="380">
        <v>174.70000000000002</v>
      </c>
      <c r="J370" s="380">
        <v>88.4</v>
      </c>
      <c r="K370" s="387">
        <v>86.300000000000011</v>
      </c>
    </row>
    <row r="371" spans="1:11" ht="15.5">
      <c r="B371" s="379" t="s">
        <v>478</v>
      </c>
      <c r="C371" s="381">
        <v>26.3</v>
      </c>
      <c r="D371" s="382">
        <v>13.4</v>
      </c>
      <c r="E371" s="381">
        <v>12.9</v>
      </c>
      <c r="F371" s="381">
        <v>26.3</v>
      </c>
      <c r="G371" s="382">
        <v>13.4</v>
      </c>
      <c r="H371" s="381">
        <v>12.9</v>
      </c>
      <c r="I371" s="375" t="s">
        <v>185</v>
      </c>
      <c r="J371" s="375" t="s">
        <v>185</v>
      </c>
      <c r="K371" s="376" t="s">
        <v>185</v>
      </c>
    </row>
    <row r="372" spans="1:11" ht="15.5">
      <c r="B372" s="379" t="s">
        <v>479</v>
      </c>
      <c r="C372" s="381">
        <v>7</v>
      </c>
      <c r="D372" s="382">
        <v>3.6</v>
      </c>
      <c r="E372" s="381">
        <v>3.4</v>
      </c>
      <c r="F372" s="381">
        <v>7</v>
      </c>
      <c r="G372" s="382">
        <v>3.6</v>
      </c>
      <c r="H372" s="381">
        <v>3.4</v>
      </c>
      <c r="I372" s="375" t="s">
        <v>185</v>
      </c>
      <c r="J372" s="375" t="s">
        <v>185</v>
      </c>
      <c r="K372" s="376" t="s">
        <v>185</v>
      </c>
    </row>
    <row r="373" spans="1:11" ht="15.5">
      <c r="B373" s="379" t="s">
        <v>480</v>
      </c>
      <c r="C373" s="381">
        <v>17.8</v>
      </c>
      <c r="D373" s="382">
        <v>9.3000000000000007</v>
      </c>
      <c r="E373" s="381">
        <v>8.5</v>
      </c>
      <c r="F373" s="381">
        <v>17.8</v>
      </c>
      <c r="G373" s="382">
        <v>9.3000000000000007</v>
      </c>
      <c r="H373" s="381">
        <v>8.5</v>
      </c>
      <c r="I373" s="375" t="s">
        <v>185</v>
      </c>
      <c r="J373" s="375" t="s">
        <v>185</v>
      </c>
      <c r="K373" s="376" t="s">
        <v>185</v>
      </c>
    </row>
    <row r="374" spans="1:11" ht="15.5">
      <c r="B374" s="379"/>
      <c r="C374" s="384"/>
      <c r="D374" s="384"/>
      <c r="E374" s="384"/>
      <c r="F374" s="384"/>
      <c r="G374" s="384"/>
      <c r="H374" s="384"/>
      <c r="I374" s="384"/>
      <c r="J374" s="384"/>
      <c r="K374" s="393"/>
    </row>
    <row r="375" spans="1:11" ht="15">
      <c r="B375" s="371" t="s">
        <v>481</v>
      </c>
      <c r="C375" s="380">
        <v>222.4</v>
      </c>
      <c r="D375" s="380">
        <v>112.3</v>
      </c>
      <c r="E375" s="380">
        <v>110.10000000000001</v>
      </c>
      <c r="F375" s="380">
        <v>62</v>
      </c>
      <c r="G375" s="380">
        <v>31.1</v>
      </c>
      <c r="H375" s="380">
        <v>30.9</v>
      </c>
      <c r="I375" s="380">
        <v>160.4</v>
      </c>
      <c r="J375" s="380">
        <v>81.199999999999989</v>
      </c>
      <c r="K375" s="387">
        <v>79.200000000000017</v>
      </c>
    </row>
    <row r="376" spans="1:11" ht="15.5">
      <c r="B376" s="379" t="s">
        <v>482</v>
      </c>
      <c r="C376" s="381">
        <v>46.7</v>
      </c>
      <c r="D376" s="382">
        <v>23.4</v>
      </c>
      <c r="E376" s="381">
        <v>23.300000000000004</v>
      </c>
      <c r="F376" s="381">
        <v>46.7</v>
      </c>
      <c r="G376" s="382">
        <v>23.4</v>
      </c>
      <c r="H376" s="381">
        <v>23.300000000000004</v>
      </c>
      <c r="I376" s="375" t="s">
        <v>185</v>
      </c>
      <c r="J376" s="375" t="s">
        <v>185</v>
      </c>
      <c r="K376" s="376" t="s">
        <v>185</v>
      </c>
    </row>
    <row r="377" spans="1:11" ht="15.5">
      <c r="B377" s="379" t="s">
        <v>483</v>
      </c>
      <c r="C377" s="381">
        <v>15.3</v>
      </c>
      <c r="D377" s="382">
        <v>7.7</v>
      </c>
      <c r="E377" s="381">
        <v>7.6000000000000005</v>
      </c>
      <c r="F377" s="381">
        <v>15.3</v>
      </c>
      <c r="G377" s="382">
        <v>7.7</v>
      </c>
      <c r="H377" s="381">
        <v>7.6000000000000005</v>
      </c>
      <c r="I377" s="375" t="s">
        <v>185</v>
      </c>
      <c r="J377" s="375" t="s">
        <v>185</v>
      </c>
      <c r="K377" s="376" t="s">
        <v>185</v>
      </c>
    </row>
    <row r="378" spans="1:11" ht="15.5">
      <c r="B378" s="379" t="s">
        <v>484</v>
      </c>
      <c r="C378" s="381" t="s">
        <v>185</v>
      </c>
      <c r="D378" s="381" t="s">
        <v>185</v>
      </c>
      <c r="E378" s="381" t="s">
        <v>185</v>
      </c>
      <c r="F378" s="381" t="s">
        <v>185</v>
      </c>
      <c r="G378" s="381" t="s">
        <v>185</v>
      </c>
      <c r="H378" s="381" t="s">
        <v>185</v>
      </c>
      <c r="I378" s="375" t="s">
        <v>185</v>
      </c>
      <c r="J378" s="375" t="s">
        <v>185</v>
      </c>
      <c r="K378" s="376" t="s">
        <v>185</v>
      </c>
    </row>
    <row r="379" spans="1:11" ht="15.5">
      <c r="B379" s="379"/>
      <c r="C379" s="384"/>
      <c r="D379" s="384"/>
      <c r="E379" s="384"/>
      <c r="F379" s="384"/>
      <c r="G379" s="384"/>
      <c r="H379" s="384"/>
      <c r="I379" s="384"/>
      <c r="J379" s="384"/>
      <c r="K379" s="393"/>
    </row>
    <row r="380" spans="1:11" ht="15">
      <c r="A380" t="s">
        <v>938</v>
      </c>
      <c r="B380" s="371" t="s">
        <v>485</v>
      </c>
      <c r="C380" s="398">
        <v>549.4</v>
      </c>
      <c r="D380" s="398">
        <v>276.89999999999998</v>
      </c>
      <c r="E380" s="398">
        <v>272.5</v>
      </c>
      <c r="F380" s="380">
        <v>181.8</v>
      </c>
      <c r="G380" s="380">
        <v>90.5</v>
      </c>
      <c r="H380" s="398">
        <v>91.300000000000011</v>
      </c>
      <c r="I380" s="380">
        <v>367.59999999999997</v>
      </c>
      <c r="J380" s="380">
        <v>186.4</v>
      </c>
      <c r="K380" s="387">
        <v>181.19999999999996</v>
      </c>
    </row>
    <row r="381" spans="1:11" ht="15.5">
      <c r="B381" s="377" t="s">
        <v>271</v>
      </c>
      <c r="C381" s="405"/>
      <c r="D381" s="405"/>
      <c r="E381" s="405"/>
      <c r="F381" s="405"/>
      <c r="G381" s="405"/>
      <c r="H381" s="405"/>
      <c r="I381" s="405"/>
      <c r="J381" s="405"/>
      <c r="K381" s="406"/>
    </row>
    <row r="382" spans="1:11" ht="15">
      <c r="B382" s="371" t="s">
        <v>486</v>
      </c>
      <c r="C382" s="380">
        <v>98.1</v>
      </c>
      <c r="D382" s="380">
        <v>49.1</v>
      </c>
      <c r="E382" s="380">
        <v>48.999999999999993</v>
      </c>
      <c r="F382" s="380">
        <v>20.7</v>
      </c>
      <c r="G382" s="380">
        <v>10.199999999999999</v>
      </c>
      <c r="H382" s="380">
        <v>10.5</v>
      </c>
      <c r="I382" s="380">
        <v>77.399999999999991</v>
      </c>
      <c r="J382" s="380">
        <v>38.900000000000006</v>
      </c>
      <c r="K382" s="387">
        <v>38.499999999999986</v>
      </c>
    </row>
    <row r="383" spans="1:11" ht="15.5">
      <c r="B383" s="379" t="s">
        <v>487</v>
      </c>
      <c r="C383" s="381">
        <v>18.399999999999999</v>
      </c>
      <c r="D383" s="382">
        <v>9</v>
      </c>
      <c r="E383" s="381">
        <v>9.3999999999999986</v>
      </c>
      <c r="F383" s="381">
        <v>18.399999999999999</v>
      </c>
      <c r="G383" s="382">
        <v>9</v>
      </c>
      <c r="H383" s="381">
        <v>9.3999999999999986</v>
      </c>
      <c r="I383" s="375" t="s">
        <v>185</v>
      </c>
      <c r="J383" s="375" t="s">
        <v>185</v>
      </c>
      <c r="K383" s="376" t="s">
        <v>185</v>
      </c>
    </row>
    <row r="384" spans="1:11" ht="15.5">
      <c r="B384" s="379" t="s">
        <v>488</v>
      </c>
      <c r="C384" s="381">
        <v>2.2999999999999998</v>
      </c>
      <c r="D384" s="382">
        <v>1.2</v>
      </c>
      <c r="E384" s="381">
        <v>1.0999999999999999</v>
      </c>
      <c r="F384" s="381">
        <v>2.2999999999999998</v>
      </c>
      <c r="G384" s="382">
        <v>1.2</v>
      </c>
      <c r="H384" s="381">
        <v>1.0999999999999999</v>
      </c>
      <c r="I384" s="375" t="s">
        <v>185</v>
      </c>
      <c r="J384" s="375" t="s">
        <v>185</v>
      </c>
      <c r="K384" s="376" t="s">
        <v>185</v>
      </c>
    </row>
    <row r="385" spans="2:11" ht="15.5">
      <c r="B385" s="379"/>
      <c r="C385" s="403"/>
      <c r="D385" s="403"/>
      <c r="E385" s="403"/>
      <c r="F385" s="403"/>
      <c r="G385" s="403"/>
      <c r="H385" s="403"/>
      <c r="I385" s="403"/>
      <c r="J385" s="403"/>
      <c r="K385" s="404"/>
    </row>
    <row r="386" spans="2:11" ht="15">
      <c r="B386" s="371" t="s">
        <v>489</v>
      </c>
      <c r="C386" s="380">
        <v>178.1</v>
      </c>
      <c r="D386" s="380">
        <v>89.3</v>
      </c>
      <c r="E386" s="380">
        <v>88.8</v>
      </c>
      <c r="F386" s="380">
        <v>68.2</v>
      </c>
      <c r="G386" s="380">
        <v>33.5</v>
      </c>
      <c r="H386" s="380">
        <v>34.700000000000003</v>
      </c>
      <c r="I386" s="380">
        <v>109.89999999999999</v>
      </c>
      <c r="J386" s="380">
        <v>55.8</v>
      </c>
      <c r="K386" s="387">
        <v>54.099999999999994</v>
      </c>
    </row>
    <row r="387" spans="2:11" ht="15.5">
      <c r="B387" s="379" t="s">
        <v>490</v>
      </c>
      <c r="C387" s="381">
        <v>42.4</v>
      </c>
      <c r="D387" s="382">
        <v>20.8</v>
      </c>
      <c r="E387" s="381">
        <v>21.599999999999998</v>
      </c>
      <c r="F387" s="381">
        <v>42.4</v>
      </c>
      <c r="G387" s="382">
        <v>20.8</v>
      </c>
      <c r="H387" s="381">
        <v>21.599999999999998</v>
      </c>
      <c r="I387" s="375" t="s">
        <v>185</v>
      </c>
      <c r="J387" s="375" t="s">
        <v>185</v>
      </c>
      <c r="K387" s="376" t="s">
        <v>185</v>
      </c>
    </row>
    <row r="388" spans="2:11" ht="15.5">
      <c r="B388" s="379" t="s">
        <v>491</v>
      </c>
      <c r="C388" s="381">
        <v>16.8</v>
      </c>
      <c r="D388" s="382">
        <v>8.3000000000000007</v>
      </c>
      <c r="E388" s="381">
        <v>8.5</v>
      </c>
      <c r="F388" s="381">
        <v>16.8</v>
      </c>
      <c r="G388" s="382">
        <v>8.3000000000000007</v>
      </c>
      <c r="H388" s="381">
        <v>8.5</v>
      </c>
      <c r="I388" s="375" t="s">
        <v>185</v>
      </c>
      <c r="J388" s="375" t="s">
        <v>185</v>
      </c>
      <c r="K388" s="376" t="s">
        <v>185</v>
      </c>
    </row>
    <row r="389" spans="2:11" ht="15.5">
      <c r="B389" s="379" t="s">
        <v>492</v>
      </c>
      <c r="C389" s="381">
        <v>0.2</v>
      </c>
      <c r="D389" s="382">
        <v>0.1</v>
      </c>
      <c r="E389" s="381">
        <v>0.1</v>
      </c>
      <c r="F389" s="381">
        <v>0.2</v>
      </c>
      <c r="G389" s="382">
        <v>0.1</v>
      </c>
      <c r="H389" s="381">
        <v>0.1</v>
      </c>
      <c r="I389" s="375" t="s">
        <v>185</v>
      </c>
      <c r="J389" s="375" t="s">
        <v>185</v>
      </c>
      <c r="K389" s="376" t="s">
        <v>185</v>
      </c>
    </row>
    <row r="390" spans="2:11" ht="15.5">
      <c r="B390" s="379" t="s">
        <v>493</v>
      </c>
      <c r="C390" s="381">
        <v>2.2000000000000002</v>
      </c>
      <c r="D390" s="382">
        <v>1</v>
      </c>
      <c r="E390" s="381">
        <v>1.2000000000000002</v>
      </c>
      <c r="F390" s="381">
        <v>2.2000000000000002</v>
      </c>
      <c r="G390" s="382">
        <v>1</v>
      </c>
      <c r="H390" s="381">
        <v>1.2000000000000002</v>
      </c>
      <c r="I390" s="375" t="s">
        <v>185</v>
      </c>
      <c r="J390" s="375" t="s">
        <v>185</v>
      </c>
      <c r="K390" s="376" t="s">
        <v>185</v>
      </c>
    </row>
    <row r="391" spans="2:11" ht="15.5">
      <c r="B391" s="379" t="s">
        <v>494</v>
      </c>
      <c r="C391" s="381">
        <v>0.4</v>
      </c>
      <c r="D391" s="382">
        <v>0.2</v>
      </c>
      <c r="E391" s="381">
        <v>0.2</v>
      </c>
      <c r="F391" s="381">
        <v>0.4</v>
      </c>
      <c r="G391" s="382">
        <v>0.2</v>
      </c>
      <c r="H391" s="381">
        <v>0.2</v>
      </c>
      <c r="I391" s="375" t="s">
        <v>185</v>
      </c>
      <c r="J391" s="375" t="s">
        <v>185</v>
      </c>
      <c r="K391" s="376" t="s">
        <v>185</v>
      </c>
    </row>
    <row r="392" spans="2:11" ht="15.5">
      <c r="B392" s="379" t="s">
        <v>495</v>
      </c>
      <c r="C392" s="381">
        <v>0.4</v>
      </c>
      <c r="D392" s="382">
        <v>0.2</v>
      </c>
      <c r="E392" s="381">
        <v>0.2</v>
      </c>
      <c r="F392" s="381">
        <v>0.4</v>
      </c>
      <c r="G392" s="382">
        <v>0.2</v>
      </c>
      <c r="H392" s="381">
        <v>0.2</v>
      </c>
      <c r="I392" s="375" t="s">
        <v>185</v>
      </c>
      <c r="J392" s="375" t="s">
        <v>185</v>
      </c>
      <c r="K392" s="376" t="s">
        <v>185</v>
      </c>
    </row>
    <row r="393" spans="2:11" ht="15.5">
      <c r="B393" s="379" t="s">
        <v>496</v>
      </c>
      <c r="C393" s="381">
        <v>0.2</v>
      </c>
      <c r="D393" s="382">
        <v>0.1</v>
      </c>
      <c r="E393" s="381">
        <v>0.1</v>
      </c>
      <c r="F393" s="381">
        <v>0.2</v>
      </c>
      <c r="G393" s="382">
        <v>0.1</v>
      </c>
      <c r="H393" s="381">
        <v>0.1</v>
      </c>
      <c r="I393" s="375" t="s">
        <v>185</v>
      </c>
      <c r="J393" s="375" t="s">
        <v>185</v>
      </c>
      <c r="K393" s="376" t="s">
        <v>185</v>
      </c>
    </row>
    <row r="394" spans="2:11" ht="15.5">
      <c r="B394" s="379" t="s">
        <v>497</v>
      </c>
      <c r="C394" s="381">
        <v>0.1</v>
      </c>
      <c r="D394" s="382">
        <v>0.1</v>
      </c>
      <c r="E394" s="381">
        <v>0</v>
      </c>
      <c r="F394" s="381">
        <v>0.1</v>
      </c>
      <c r="G394" s="382">
        <v>0.1</v>
      </c>
      <c r="H394" s="381">
        <v>0</v>
      </c>
      <c r="I394" s="375" t="s">
        <v>185</v>
      </c>
      <c r="J394" s="375" t="s">
        <v>185</v>
      </c>
      <c r="K394" s="376" t="s">
        <v>185</v>
      </c>
    </row>
    <row r="395" spans="2:11" ht="15.5">
      <c r="B395" s="379" t="s">
        <v>498</v>
      </c>
      <c r="C395" s="381">
        <v>0.1</v>
      </c>
      <c r="D395" s="382">
        <v>0</v>
      </c>
      <c r="E395" s="381">
        <v>0.1</v>
      </c>
      <c r="F395" s="381">
        <v>0.1</v>
      </c>
      <c r="G395" s="382">
        <v>0</v>
      </c>
      <c r="H395" s="381">
        <v>0.1</v>
      </c>
      <c r="I395" s="375" t="s">
        <v>185</v>
      </c>
      <c r="J395" s="375" t="s">
        <v>185</v>
      </c>
      <c r="K395" s="376" t="s">
        <v>185</v>
      </c>
    </row>
    <row r="396" spans="2:11" ht="15.5">
      <c r="B396" s="379" t="s">
        <v>499</v>
      </c>
      <c r="C396" s="381">
        <v>0</v>
      </c>
      <c r="D396" s="382">
        <v>0</v>
      </c>
      <c r="E396" s="381">
        <v>0</v>
      </c>
      <c r="F396" s="381">
        <v>0</v>
      </c>
      <c r="G396" s="382">
        <v>0</v>
      </c>
      <c r="H396" s="381">
        <v>0</v>
      </c>
      <c r="I396" s="375" t="s">
        <v>185</v>
      </c>
      <c r="J396" s="375" t="s">
        <v>185</v>
      </c>
      <c r="K396" s="376" t="s">
        <v>185</v>
      </c>
    </row>
    <row r="397" spans="2:11" ht="15.5">
      <c r="B397" s="379" t="s">
        <v>500</v>
      </c>
      <c r="C397" s="381">
        <v>0</v>
      </c>
      <c r="D397" s="382">
        <v>0</v>
      </c>
      <c r="E397" s="381">
        <v>0</v>
      </c>
      <c r="F397" s="381">
        <v>0</v>
      </c>
      <c r="G397" s="382">
        <v>0</v>
      </c>
      <c r="H397" s="381">
        <v>0</v>
      </c>
      <c r="I397" s="375" t="s">
        <v>185</v>
      </c>
      <c r="J397" s="375" t="s">
        <v>185</v>
      </c>
      <c r="K397" s="376" t="s">
        <v>185</v>
      </c>
    </row>
    <row r="398" spans="2:11" ht="15.5">
      <c r="B398" s="379" t="s">
        <v>501</v>
      </c>
      <c r="C398" s="381">
        <v>0.1</v>
      </c>
      <c r="D398" s="382">
        <v>0.1</v>
      </c>
      <c r="E398" s="381">
        <v>0</v>
      </c>
      <c r="F398" s="381">
        <v>0.1</v>
      </c>
      <c r="G398" s="382">
        <v>0.1</v>
      </c>
      <c r="H398" s="381">
        <v>0</v>
      </c>
      <c r="I398" s="375" t="s">
        <v>185</v>
      </c>
      <c r="J398" s="375" t="s">
        <v>185</v>
      </c>
      <c r="K398" s="376" t="s">
        <v>185</v>
      </c>
    </row>
    <row r="399" spans="2:11" ht="15.5">
      <c r="B399" s="379" t="s">
        <v>502</v>
      </c>
      <c r="C399" s="381">
        <v>1.4</v>
      </c>
      <c r="D399" s="382">
        <v>0.7</v>
      </c>
      <c r="E399" s="381">
        <v>0.7</v>
      </c>
      <c r="F399" s="381">
        <v>1.4</v>
      </c>
      <c r="G399" s="382">
        <v>0.7</v>
      </c>
      <c r="H399" s="381">
        <v>0.7</v>
      </c>
      <c r="I399" s="375" t="s">
        <v>185</v>
      </c>
      <c r="J399" s="375" t="s">
        <v>185</v>
      </c>
      <c r="K399" s="376" t="s">
        <v>185</v>
      </c>
    </row>
    <row r="400" spans="2:11" ht="15.5">
      <c r="B400" s="379" t="s">
        <v>503</v>
      </c>
      <c r="C400" s="381">
        <v>3.9</v>
      </c>
      <c r="D400" s="382">
        <v>1.9</v>
      </c>
      <c r="E400" s="381">
        <v>2</v>
      </c>
      <c r="F400" s="381">
        <v>3.9</v>
      </c>
      <c r="G400" s="382">
        <v>1.9</v>
      </c>
      <c r="H400" s="381">
        <v>2</v>
      </c>
      <c r="I400" s="375" t="s">
        <v>185</v>
      </c>
      <c r="J400" s="375" t="s">
        <v>185</v>
      </c>
      <c r="K400" s="376" t="s">
        <v>185</v>
      </c>
    </row>
    <row r="401" spans="2:11" ht="15.5">
      <c r="B401" s="379"/>
      <c r="C401" s="403"/>
      <c r="D401" s="403"/>
      <c r="E401" s="403"/>
      <c r="F401" s="403"/>
      <c r="G401" s="403"/>
      <c r="H401" s="403"/>
      <c r="I401" s="403"/>
      <c r="J401" s="403"/>
      <c r="K401" s="404"/>
    </row>
    <row r="402" spans="2:11" ht="15">
      <c r="B402" s="371" t="s">
        <v>504</v>
      </c>
      <c r="C402" s="380">
        <v>171.7</v>
      </c>
      <c r="D402" s="380">
        <v>87.3</v>
      </c>
      <c r="E402" s="380">
        <v>84.399999999999991</v>
      </c>
      <c r="F402" s="380">
        <v>40.6</v>
      </c>
      <c r="G402" s="380">
        <v>20.399999999999999</v>
      </c>
      <c r="H402" s="410">
        <v>20.200000000000003</v>
      </c>
      <c r="I402" s="380">
        <v>131.1</v>
      </c>
      <c r="J402" s="380">
        <v>66.900000000000006</v>
      </c>
      <c r="K402" s="411">
        <v>64.199999999999989</v>
      </c>
    </row>
    <row r="403" spans="2:11" ht="15.5">
      <c r="B403" s="379" t="s">
        <v>505</v>
      </c>
      <c r="C403" s="381">
        <v>25</v>
      </c>
      <c r="D403" s="382">
        <v>12.4</v>
      </c>
      <c r="E403" s="381">
        <v>12.6</v>
      </c>
      <c r="F403" s="381">
        <v>25</v>
      </c>
      <c r="G403" s="382">
        <v>12.4</v>
      </c>
      <c r="H403" s="381">
        <v>12.6</v>
      </c>
      <c r="I403" s="375" t="s">
        <v>185</v>
      </c>
      <c r="J403" s="375" t="s">
        <v>185</v>
      </c>
      <c r="K403" s="376" t="s">
        <v>185</v>
      </c>
    </row>
    <row r="404" spans="2:11" ht="15.5">
      <c r="B404" s="379" t="s">
        <v>506</v>
      </c>
      <c r="C404" s="381">
        <v>1.8</v>
      </c>
      <c r="D404" s="382">
        <v>0.9</v>
      </c>
      <c r="E404" s="381">
        <v>0.9</v>
      </c>
      <c r="F404" s="381">
        <v>1.8</v>
      </c>
      <c r="G404" s="382">
        <v>0.9</v>
      </c>
      <c r="H404" s="381">
        <v>0.9</v>
      </c>
      <c r="I404" s="375" t="s">
        <v>185</v>
      </c>
      <c r="J404" s="375" t="s">
        <v>185</v>
      </c>
      <c r="K404" s="376" t="s">
        <v>185</v>
      </c>
    </row>
    <row r="405" spans="2:11" ht="15.5">
      <c r="B405" s="379" t="s">
        <v>507</v>
      </c>
      <c r="C405" s="381">
        <v>3.2</v>
      </c>
      <c r="D405" s="382">
        <v>1.7</v>
      </c>
      <c r="E405" s="381">
        <v>1.5000000000000002</v>
      </c>
      <c r="F405" s="381">
        <v>3.2</v>
      </c>
      <c r="G405" s="382">
        <v>1.7</v>
      </c>
      <c r="H405" s="381">
        <v>1.5000000000000002</v>
      </c>
      <c r="I405" s="375" t="s">
        <v>185</v>
      </c>
      <c r="J405" s="375" t="s">
        <v>185</v>
      </c>
      <c r="K405" s="376" t="s">
        <v>185</v>
      </c>
    </row>
    <row r="406" spans="2:11" ht="15.5">
      <c r="B406" s="379" t="s">
        <v>508</v>
      </c>
      <c r="C406" s="381">
        <v>0.5</v>
      </c>
      <c r="D406" s="382">
        <v>0.2</v>
      </c>
      <c r="E406" s="381">
        <v>0.3</v>
      </c>
      <c r="F406" s="381">
        <v>0.5</v>
      </c>
      <c r="G406" s="382">
        <v>0.2</v>
      </c>
      <c r="H406" s="381">
        <v>0.3</v>
      </c>
      <c r="I406" s="375" t="s">
        <v>185</v>
      </c>
      <c r="J406" s="375" t="s">
        <v>185</v>
      </c>
      <c r="K406" s="376" t="s">
        <v>185</v>
      </c>
    </row>
    <row r="407" spans="2:11" ht="15.5">
      <c r="B407" s="379" t="s">
        <v>509</v>
      </c>
      <c r="C407" s="381">
        <v>4.5</v>
      </c>
      <c r="D407" s="382">
        <v>2.2999999999999998</v>
      </c>
      <c r="E407" s="381">
        <v>2.2000000000000002</v>
      </c>
      <c r="F407" s="381">
        <v>4.5</v>
      </c>
      <c r="G407" s="382">
        <v>2.2999999999999998</v>
      </c>
      <c r="H407" s="381">
        <v>2.2000000000000002</v>
      </c>
      <c r="I407" s="375" t="s">
        <v>185</v>
      </c>
      <c r="J407" s="375" t="s">
        <v>185</v>
      </c>
      <c r="K407" s="376" t="s">
        <v>185</v>
      </c>
    </row>
    <row r="408" spans="2:11" ht="15.5">
      <c r="B408" s="379" t="s">
        <v>510</v>
      </c>
      <c r="C408" s="381">
        <v>1.9</v>
      </c>
      <c r="D408" s="382">
        <v>1</v>
      </c>
      <c r="E408" s="381">
        <v>0.89999999999999991</v>
      </c>
      <c r="F408" s="381">
        <v>1.9</v>
      </c>
      <c r="G408" s="382">
        <v>1</v>
      </c>
      <c r="H408" s="381">
        <v>0.89999999999999991</v>
      </c>
      <c r="I408" s="375" t="s">
        <v>185</v>
      </c>
      <c r="J408" s="375" t="s">
        <v>185</v>
      </c>
      <c r="K408" s="376" t="s">
        <v>185</v>
      </c>
    </row>
    <row r="409" spans="2:11" ht="15.5">
      <c r="B409" s="379" t="s">
        <v>511</v>
      </c>
      <c r="C409" s="381">
        <v>2</v>
      </c>
      <c r="D409" s="382">
        <v>1</v>
      </c>
      <c r="E409" s="381">
        <v>1</v>
      </c>
      <c r="F409" s="381">
        <v>2</v>
      </c>
      <c r="G409" s="382">
        <v>1</v>
      </c>
      <c r="H409" s="381">
        <v>1</v>
      </c>
      <c r="I409" s="375" t="s">
        <v>185</v>
      </c>
      <c r="J409" s="375" t="s">
        <v>185</v>
      </c>
      <c r="K409" s="376" t="s">
        <v>185</v>
      </c>
    </row>
    <row r="410" spans="2:11" ht="15.5">
      <c r="B410" s="379" t="s">
        <v>512</v>
      </c>
      <c r="C410" s="381">
        <v>1.7</v>
      </c>
      <c r="D410" s="382">
        <v>0.9</v>
      </c>
      <c r="E410" s="381">
        <v>0.79999999999999993</v>
      </c>
      <c r="F410" s="381">
        <v>1.7</v>
      </c>
      <c r="G410" s="382">
        <v>0.9</v>
      </c>
      <c r="H410" s="381">
        <v>0.79999999999999993</v>
      </c>
      <c r="I410" s="375" t="s">
        <v>185</v>
      </c>
      <c r="J410" s="375" t="s">
        <v>185</v>
      </c>
      <c r="K410" s="376" t="s">
        <v>185</v>
      </c>
    </row>
    <row r="411" spans="2:11" ht="15.5">
      <c r="B411" s="379"/>
      <c r="C411" s="403"/>
      <c r="D411" s="403"/>
      <c r="E411" s="403"/>
      <c r="F411" s="403"/>
      <c r="G411" s="403"/>
      <c r="H411" s="403"/>
      <c r="I411" s="403"/>
      <c r="J411" s="403"/>
      <c r="K411" s="404"/>
    </row>
    <row r="412" spans="2:11" ht="15">
      <c r="B412" s="371" t="s">
        <v>513</v>
      </c>
      <c r="C412" s="380">
        <v>59.3</v>
      </c>
      <c r="D412" s="380">
        <v>30.2</v>
      </c>
      <c r="E412" s="380">
        <v>29.099999999999998</v>
      </c>
      <c r="F412" s="380">
        <v>25.3</v>
      </c>
      <c r="G412" s="380">
        <v>13</v>
      </c>
      <c r="H412" s="380">
        <v>12.3</v>
      </c>
      <c r="I412" s="380">
        <v>34</v>
      </c>
      <c r="J412" s="380">
        <v>17.2</v>
      </c>
      <c r="K412" s="387">
        <v>16.8</v>
      </c>
    </row>
    <row r="413" spans="2:11" ht="15.5">
      <c r="B413" s="379" t="s">
        <v>514</v>
      </c>
      <c r="C413" s="381">
        <v>25.3</v>
      </c>
      <c r="D413" s="382">
        <v>13</v>
      </c>
      <c r="E413" s="381">
        <v>12.3</v>
      </c>
      <c r="F413" s="381">
        <v>25.3</v>
      </c>
      <c r="G413" s="382">
        <v>13</v>
      </c>
      <c r="H413" s="381">
        <v>12.3</v>
      </c>
      <c r="I413" s="375" t="s">
        <v>185</v>
      </c>
      <c r="J413" s="375" t="s">
        <v>185</v>
      </c>
      <c r="K413" s="376" t="s">
        <v>185</v>
      </c>
    </row>
    <row r="414" spans="2:11" ht="15.5">
      <c r="B414" s="379"/>
      <c r="C414" s="391"/>
      <c r="D414" s="391"/>
      <c r="E414" s="391"/>
      <c r="F414" s="391"/>
      <c r="G414" s="391"/>
      <c r="H414" s="391"/>
      <c r="I414" s="391"/>
      <c r="J414" s="391"/>
      <c r="K414" s="392"/>
    </row>
    <row r="415" spans="2:11" ht="15">
      <c r="B415" s="371" t="s">
        <v>515</v>
      </c>
      <c r="C415" s="380">
        <v>42.2</v>
      </c>
      <c r="D415" s="380">
        <v>21</v>
      </c>
      <c r="E415" s="380">
        <v>21.200000000000003</v>
      </c>
      <c r="F415" s="380">
        <v>27</v>
      </c>
      <c r="G415" s="380">
        <v>13.4</v>
      </c>
      <c r="H415" s="380">
        <v>13.6</v>
      </c>
      <c r="I415" s="380">
        <v>15.200000000000003</v>
      </c>
      <c r="J415" s="380">
        <v>7.6</v>
      </c>
      <c r="K415" s="387">
        <v>7.6000000000000032</v>
      </c>
    </row>
    <row r="416" spans="2:11" ht="15.5">
      <c r="B416" s="379" t="s">
        <v>516</v>
      </c>
      <c r="C416" s="381">
        <v>25.9</v>
      </c>
      <c r="D416" s="382">
        <v>12.8</v>
      </c>
      <c r="E416" s="381">
        <v>13.099999999999998</v>
      </c>
      <c r="F416" s="381">
        <v>25.9</v>
      </c>
      <c r="G416" s="382">
        <v>12.8</v>
      </c>
      <c r="H416" s="381">
        <v>13.099999999999998</v>
      </c>
      <c r="I416" s="375" t="s">
        <v>185</v>
      </c>
      <c r="J416" s="375" t="s">
        <v>185</v>
      </c>
      <c r="K416" s="376" t="s">
        <v>185</v>
      </c>
    </row>
    <row r="417" spans="1:11" ht="15.5">
      <c r="B417" s="379" t="s">
        <v>517</v>
      </c>
      <c r="C417" s="381">
        <v>1.1000000000000001</v>
      </c>
      <c r="D417" s="382">
        <v>0.6</v>
      </c>
      <c r="E417" s="381">
        <v>0.50000000000000011</v>
      </c>
      <c r="F417" s="381">
        <v>1.1000000000000001</v>
      </c>
      <c r="G417" s="382">
        <v>0.6</v>
      </c>
      <c r="H417" s="381">
        <v>0.50000000000000011</v>
      </c>
      <c r="I417" s="375" t="s">
        <v>185</v>
      </c>
      <c r="J417" s="375" t="s">
        <v>185</v>
      </c>
      <c r="K417" s="376" t="s">
        <v>185</v>
      </c>
    </row>
    <row r="418" spans="1:11" ht="15.5">
      <c r="B418" s="379"/>
      <c r="C418" s="384"/>
      <c r="D418" s="384"/>
      <c r="E418" s="384"/>
      <c r="F418" s="384"/>
      <c r="G418" s="384"/>
      <c r="H418" s="384"/>
      <c r="I418" s="384"/>
      <c r="J418" s="384"/>
      <c r="K418" s="393"/>
    </row>
    <row r="419" spans="1:11" ht="15">
      <c r="A419" t="s">
        <v>938</v>
      </c>
      <c r="B419" s="371" t="s">
        <v>518</v>
      </c>
      <c r="C419" s="380">
        <v>2025.7999999999997</v>
      </c>
      <c r="D419" s="380">
        <v>1013.8</v>
      </c>
      <c r="E419" s="380">
        <v>1011.9999999999998</v>
      </c>
      <c r="F419" s="380">
        <v>755.1</v>
      </c>
      <c r="G419" s="380">
        <v>369.9</v>
      </c>
      <c r="H419" s="380">
        <v>385.20000000000005</v>
      </c>
      <c r="I419" s="380">
        <v>1270.7000000000003</v>
      </c>
      <c r="J419" s="380">
        <v>643.90000000000009</v>
      </c>
      <c r="K419" s="387">
        <v>626.80000000000018</v>
      </c>
    </row>
    <row r="420" spans="1:11" ht="15.5">
      <c r="B420" s="377" t="s">
        <v>271</v>
      </c>
      <c r="C420" s="381"/>
      <c r="D420" s="381"/>
      <c r="E420" s="381"/>
      <c r="F420" s="381"/>
      <c r="G420" s="381"/>
      <c r="H420" s="381"/>
      <c r="I420" s="381"/>
      <c r="J420" s="381"/>
      <c r="K420" s="388"/>
    </row>
    <row r="421" spans="1:11" ht="15">
      <c r="B421" s="371" t="s">
        <v>519</v>
      </c>
      <c r="C421" s="380">
        <v>120.6</v>
      </c>
      <c r="D421" s="380">
        <v>60.4</v>
      </c>
      <c r="E421" s="380">
        <v>60.199999999999996</v>
      </c>
      <c r="F421" s="380">
        <v>37.1</v>
      </c>
      <c r="G421" s="380">
        <v>18.2</v>
      </c>
      <c r="H421" s="380">
        <v>18.900000000000002</v>
      </c>
      <c r="I421" s="380">
        <v>83.5</v>
      </c>
      <c r="J421" s="380">
        <v>42.2</v>
      </c>
      <c r="K421" s="387">
        <v>41.3</v>
      </c>
    </row>
    <row r="422" spans="1:11" ht="15.5">
      <c r="B422" s="379" t="s">
        <v>520</v>
      </c>
      <c r="C422" s="381">
        <v>37.1</v>
      </c>
      <c r="D422" s="382">
        <v>18.2</v>
      </c>
      <c r="E422" s="381">
        <v>18.900000000000002</v>
      </c>
      <c r="F422" s="381">
        <v>37.1</v>
      </c>
      <c r="G422" s="382">
        <v>18.2</v>
      </c>
      <c r="H422" s="381">
        <v>18.900000000000002</v>
      </c>
      <c r="I422" s="375" t="s">
        <v>185</v>
      </c>
      <c r="J422" s="375" t="s">
        <v>185</v>
      </c>
      <c r="K422" s="376" t="s">
        <v>185</v>
      </c>
    </row>
    <row r="423" spans="1:11" ht="15.5">
      <c r="B423" s="379"/>
      <c r="C423" s="391"/>
      <c r="D423" s="391"/>
      <c r="E423" s="391"/>
      <c r="F423" s="391"/>
      <c r="G423" s="391"/>
      <c r="H423" s="391"/>
      <c r="I423" s="391"/>
      <c r="J423" s="391"/>
      <c r="K423" s="392"/>
    </row>
    <row r="424" spans="1:11" ht="15">
      <c r="B424" s="371" t="s">
        <v>521</v>
      </c>
      <c r="C424" s="380">
        <v>98.6</v>
      </c>
      <c r="D424" s="380">
        <v>50.1</v>
      </c>
      <c r="E424" s="380">
        <v>48.499999999999993</v>
      </c>
      <c r="F424" s="380">
        <v>40.6</v>
      </c>
      <c r="G424" s="380">
        <v>20.7</v>
      </c>
      <c r="H424" s="380">
        <v>19.900000000000002</v>
      </c>
      <c r="I424" s="380">
        <v>57.999999999999993</v>
      </c>
      <c r="J424" s="380">
        <v>29.400000000000002</v>
      </c>
      <c r="K424" s="390">
        <v>28.599999999999991</v>
      </c>
    </row>
    <row r="425" spans="1:11" ht="15.5">
      <c r="B425" s="379" t="s">
        <v>522</v>
      </c>
      <c r="C425" s="381">
        <v>16.7</v>
      </c>
      <c r="D425" s="382">
        <v>8.5</v>
      </c>
      <c r="E425" s="381">
        <v>8.1999999999999993</v>
      </c>
      <c r="F425" s="381">
        <v>16.7</v>
      </c>
      <c r="G425" s="382">
        <v>8.5</v>
      </c>
      <c r="H425" s="381">
        <v>8.1999999999999993</v>
      </c>
      <c r="I425" s="375" t="s">
        <v>185</v>
      </c>
      <c r="J425" s="375" t="s">
        <v>185</v>
      </c>
      <c r="K425" s="376" t="s">
        <v>185</v>
      </c>
    </row>
    <row r="426" spans="1:11" ht="15.5">
      <c r="B426" s="379" t="s">
        <v>523</v>
      </c>
      <c r="C426" s="381">
        <v>2</v>
      </c>
      <c r="D426" s="382">
        <v>1</v>
      </c>
      <c r="E426" s="381">
        <v>1</v>
      </c>
      <c r="F426" s="381">
        <v>2</v>
      </c>
      <c r="G426" s="382">
        <v>1</v>
      </c>
      <c r="H426" s="381">
        <v>1</v>
      </c>
      <c r="I426" s="375" t="s">
        <v>185</v>
      </c>
      <c r="J426" s="375" t="s">
        <v>185</v>
      </c>
      <c r="K426" s="376" t="s">
        <v>185</v>
      </c>
    </row>
    <row r="427" spans="1:11" ht="15.5">
      <c r="B427" s="379" t="s">
        <v>524</v>
      </c>
      <c r="C427" s="381">
        <v>1.9</v>
      </c>
      <c r="D427" s="382">
        <v>1</v>
      </c>
      <c r="E427" s="381">
        <v>0.89999999999999991</v>
      </c>
      <c r="F427" s="381">
        <v>1.9</v>
      </c>
      <c r="G427" s="382">
        <v>1</v>
      </c>
      <c r="H427" s="381">
        <v>0.89999999999999991</v>
      </c>
      <c r="I427" s="375" t="s">
        <v>185</v>
      </c>
      <c r="J427" s="375" t="s">
        <v>185</v>
      </c>
      <c r="K427" s="376" t="s">
        <v>185</v>
      </c>
    </row>
    <row r="428" spans="1:11" ht="15.5">
      <c r="B428" s="379" t="s">
        <v>525</v>
      </c>
      <c r="C428" s="381">
        <v>0.8</v>
      </c>
      <c r="D428" s="382">
        <v>0.4</v>
      </c>
      <c r="E428" s="381">
        <v>0.4</v>
      </c>
      <c r="F428" s="381">
        <v>0.8</v>
      </c>
      <c r="G428" s="382">
        <v>0.4</v>
      </c>
      <c r="H428" s="381">
        <v>0.4</v>
      </c>
      <c r="I428" s="375" t="s">
        <v>185</v>
      </c>
      <c r="J428" s="375" t="s">
        <v>185</v>
      </c>
      <c r="K428" s="376" t="s">
        <v>185</v>
      </c>
    </row>
    <row r="429" spans="1:11" ht="15.5">
      <c r="B429" s="379" t="s">
        <v>526</v>
      </c>
      <c r="C429" s="381">
        <v>2.4</v>
      </c>
      <c r="D429" s="382">
        <v>1.2</v>
      </c>
      <c r="E429" s="381">
        <v>1.2</v>
      </c>
      <c r="F429" s="381">
        <v>2.4</v>
      </c>
      <c r="G429" s="382">
        <v>1.2</v>
      </c>
      <c r="H429" s="381">
        <v>1.2</v>
      </c>
      <c r="I429" s="375" t="s">
        <v>185</v>
      </c>
      <c r="J429" s="375" t="s">
        <v>185</v>
      </c>
      <c r="K429" s="376" t="s">
        <v>185</v>
      </c>
    </row>
    <row r="430" spans="1:11" ht="15.5">
      <c r="B430" s="379" t="s">
        <v>527</v>
      </c>
      <c r="C430" s="381">
        <v>2.1</v>
      </c>
      <c r="D430" s="382">
        <v>1</v>
      </c>
      <c r="E430" s="381">
        <v>1.1000000000000001</v>
      </c>
      <c r="F430" s="381">
        <v>2.1</v>
      </c>
      <c r="G430" s="382">
        <v>1</v>
      </c>
      <c r="H430" s="381">
        <v>1.1000000000000001</v>
      </c>
      <c r="I430" s="375" t="s">
        <v>185</v>
      </c>
      <c r="J430" s="375" t="s">
        <v>185</v>
      </c>
      <c r="K430" s="376" t="s">
        <v>185</v>
      </c>
    </row>
    <row r="431" spans="1:11" ht="15.5">
      <c r="B431" s="379" t="s">
        <v>528</v>
      </c>
      <c r="C431" s="381">
        <v>1</v>
      </c>
      <c r="D431" s="382">
        <v>0.5</v>
      </c>
      <c r="E431" s="381">
        <v>0.5</v>
      </c>
      <c r="F431" s="381">
        <v>1</v>
      </c>
      <c r="G431" s="382">
        <v>0.5</v>
      </c>
      <c r="H431" s="381">
        <v>0.5</v>
      </c>
      <c r="I431" s="375" t="s">
        <v>185</v>
      </c>
      <c r="J431" s="375" t="s">
        <v>185</v>
      </c>
      <c r="K431" s="376" t="s">
        <v>185</v>
      </c>
    </row>
    <row r="432" spans="1:11" ht="15.5">
      <c r="B432" s="379" t="s">
        <v>529</v>
      </c>
      <c r="C432" s="381">
        <v>0.9</v>
      </c>
      <c r="D432" s="382">
        <v>0.5</v>
      </c>
      <c r="E432" s="381">
        <v>0.4</v>
      </c>
      <c r="F432" s="381">
        <v>0.9</v>
      </c>
      <c r="G432" s="382">
        <v>0.5</v>
      </c>
      <c r="H432" s="381">
        <v>0.4</v>
      </c>
      <c r="I432" s="375" t="s">
        <v>185</v>
      </c>
      <c r="J432" s="375" t="s">
        <v>185</v>
      </c>
      <c r="K432" s="376" t="s">
        <v>185</v>
      </c>
    </row>
    <row r="433" spans="2:11" ht="15.5">
      <c r="B433" s="379" t="s">
        <v>530</v>
      </c>
      <c r="C433" s="381">
        <v>0.9</v>
      </c>
      <c r="D433" s="382">
        <v>0.5</v>
      </c>
      <c r="E433" s="381">
        <v>0.4</v>
      </c>
      <c r="F433" s="381">
        <v>0.9</v>
      </c>
      <c r="G433" s="382">
        <v>0.5</v>
      </c>
      <c r="H433" s="381">
        <v>0.4</v>
      </c>
      <c r="I433" s="375" t="s">
        <v>185</v>
      </c>
      <c r="J433" s="375" t="s">
        <v>185</v>
      </c>
      <c r="K433" s="376" t="s">
        <v>185</v>
      </c>
    </row>
    <row r="434" spans="2:11" ht="15.5">
      <c r="B434" s="379" t="s">
        <v>531</v>
      </c>
      <c r="C434" s="381">
        <v>0.2</v>
      </c>
      <c r="D434" s="382">
        <v>0.1</v>
      </c>
      <c r="E434" s="381">
        <v>0.1</v>
      </c>
      <c r="F434" s="381">
        <v>0.2</v>
      </c>
      <c r="G434" s="382">
        <v>0.1</v>
      </c>
      <c r="H434" s="381">
        <v>0.1</v>
      </c>
      <c r="I434" s="375" t="s">
        <v>185</v>
      </c>
      <c r="J434" s="375" t="s">
        <v>185</v>
      </c>
      <c r="K434" s="376" t="s">
        <v>185</v>
      </c>
    </row>
    <row r="435" spans="2:11" ht="15.5">
      <c r="B435" s="379" t="s">
        <v>532</v>
      </c>
      <c r="C435" s="381">
        <v>1.9</v>
      </c>
      <c r="D435" s="382">
        <v>1</v>
      </c>
      <c r="E435" s="381">
        <v>0.89999999999999991</v>
      </c>
      <c r="F435" s="381">
        <v>1.9</v>
      </c>
      <c r="G435" s="382">
        <v>1</v>
      </c>
      <c r="H435" s="381">
        <v>0.89999999999999991</v>
      </c>
      <c r="I435" s="375" t="s">
        <v>185</v>
      </c>
      <c r="J435" s="375" t="s">
        <v>185</v>
      </c>
      <c r="K435" s="376" t="s">
        <v>185</v>
      </c>
    </row>
    <row r="436" spans="2:11" ht="15.5">
      <c r="B436" s="379" t="s">
        <v>533</v>
      </c>
      <c r="C436" s="381">
        <v>0.7</v>
      </c>
      <c r="D436" s="382">
        <v>0.4</v>
      </c>
      <c r="E436" s="381">
        <v>0.29999999999999993</v>
      </c>
      <c r="F436" s="381">
        <v>0.7</v>
      </c>
      <c r="G436" s="382">
        <v>0.4</v>
      </c>
      <c r="H436" s="381">
        <v>0.29999999999999993</v>
      </c>
      <c r="I436" s="375" t="s">
        <v>185</v>
      </c>
      <c r="J436" s="375" t="s">
        <v>185</v>
      </c>
      <c r="K436" s="376" t="s">
        <v>185</v>
      </c>
    </row>
    <row r="437" spans="2:11" ht="15.5">
      <c r="B437" s="379" t="s">
        <v>534</v>
      </c>
      <c r="C437" s="381">
        <v>2.4</v>
      </c>
      <c r="D437" s="382">
        <v>1.3</v>
      </c>
      <c r="E437" s="381">
        <v>1.0999999999999999</v>
      </c>
      <c r="F437" s="381">
        <v>2.4</v>
      </c>
      <c r="G437" s="382">
        <v>1.3</v>
      </c>
      <c r="H437" s="381">
        <v>1.0999999999999999</v>
      </c>
      <c r="I437" s="375" t="s">
        <v>185</v>
      </c>
      <c r="J437" s="375" t="s">
        <v>185</v>
      </c>
      <c r="K437" s="376" t="s">
        <v>185</v>
      </c>
    </row>
    <row r="438" spans="2:11" ht="15.5">
      <c r="B438" s="379" t="s">
        <v>535</v>
      </c>
      <c r="C438" s="381">
        <v>1.8</v>
      </c>
      <c r="D438" s="382">
        <v>0.9</v>
      </c>
      <c r="E438" s="381">
        <v>0.9</v>
      </c>
      <c r="F438" s="381">
        <v>1.8</v>
      </c>
      <c r="G438" s="382">
        <v>0.9</v>
      </c>
      <c r="H438" s="381">
        <v>0.9</v>
      </c>
      <c r="I438" s="375" t="s">
        <v>185</v>
      </c>
      <c r="J438" s="375" t="s">
        <v>185</v>
      </c>
      <c r="K438" s="376" t="s">
        <v>185</v>
      </c>
    </row>
    <row r="439" spans="2:11" ht="15.5">
      <c r="B439" s="379" t="s">
        <v>536</v>
      </c>
      <c r="C439" s="381">
        <v>1.3</v>
      </c>
      <c r="D439" s="382">
        <v>0.6</v>
      </c>
      <c r="E439" s="381">
        <v>0.70000000000000007</v>
      </c>
      <c r="F439" s="381">
        <v>1.3</v>
      </c>
      <c r="G439" s="382">
        <v>0.6</v>
      </c>
      <c r="H439" s="381">
        <v>0.70000000000000007</v>
      </c>
      <c r="I439" s="375" t="s">
        <v>185</v>
      </c>
      <c r="J439" s="375" t="s">
        <v>185</v>
      </c>
      <c r="K439" s="376" t="s">
        <v>185</v>
      </c>
    </row>
    <row r="440" spans="2:11" ht="15.5">
      <c r="B440" s="379" t="s">
        <v>537</v>
      </c>
      <c r="C440" s="381">
        <v>1.3</v>
      </c>
      <c r="D440" s="382">
        <v>0.6</v>
      </c>
      <c r="E440" s="381">
        <v>0.70000000000000007</v>
      </c>
      <c r="F440" s="381">
        <v>1.3</v>
      </c>
      <c r="G440" s="382">
        <v>0.6</v>
      </c>
      <c r="H440" s="381">
        <v>0.70000000000000007</v>
      </c>
      <c r="I440" s="375" t="s">
        <v>185</v>
      </c>
      <c r="J440" s="375" t="s">
        <v>185</v>
      </c>
      <c r="K440" s="376" t="s">
        <v>185</v>
      </c>
    </row>
    <row r="441" spans="2:11" ht="15.5">
      <c r="B441" s="379" t="s">
        <v>538</v>
      </c>
      <c r="C441" s="381">
        <v>2.2999999999999998</v>
      </c>
      <c r="D441" s="382">
        <v>1.2</v>
      </c>
      <c r="E441" s="381">
        <v>1.0999999999999999</v>
      </c>
      <c r="F441" s="381">
        <v>2.2999999999999998</v>
      </c>
      <c r="G441" s="382">
        <v>1.2</v>
      </c>
      <c r="H441" s="381">
        <v>1.0999999999999999</v>
      </c>
      <c r="I441" s="375" t="s">
        <v>185</v>
      </c>
      <c r="J441" s="375" t="s">
        <v>185</v>
      </c>
      <c r="K441" s="376" t="s">
        <v>185</v>
      </c>
    </row>
    <row r="442" spans="2:11" ht="15.5">
      <c r="B442" s="379"/>
      <c r="C442" s="403"/>
      <c r="D442" s="403"/>
      <c r="E442" s="403"/>
      <c r="F442" s="403"/>
      <c r="G442" s="403"/>
      <c r="H442" s="403"/>
      <c r="I442" s="403"/>
      <c r="J442" s="403"/>
      <c r="K442" s="404"/>
    </row>
    <row r="443" spans="2:11" ht="15">
      <c r="B443" s="371" t="s">
        <v>539</v>
      </c>
      <c r="C443" s="380">
        <v>135.5</v>
      </c>
      <c r="D443" s="380">
        <v>70.599999999999994</v>
      </c>
      <c r="E443" s="380">
        <v>64.900000000000006</v>
      </c>
      <c r="F443" s="380">
        <v>50.1</v>
      </c>
      <c r="G443" s="380">
        <v>25.6</v>
      </c>
      <c r="H443" s="380">
        <v>24.5</v>
      </c>
      <c r="I443" s="380">
        <v>85.4</v>
      </c>
      <c r="J443" s="380">
        <v>44.999999999999993</v>
      </c>
      <c r="K443" s="390">
        <v>40.400000000000013</v>
      </c>
    </row>
    <row r="444" spans="2:11" ht="15.5">
      <c r="B444" s="379" t="s">
        <v>540</v>
      </c>
      <c r="C444" s="381">
        <v>41.2</v>
      </c>
      <c r="D444" s="382">
        <v>21</v>
      </c>
      <c r="E444" s="381">
        <v>20.200000000000003</v>
      </c>
      <c r="F444" s="381">
        <v>41.2</v>
      </c>
      <c r="G444" s="382">
        <v>21</v>
      </c>
      <c r="H444" s="381">
        <v>20.200000000000003</v>
      </c>
      <c r="I444" s="375" t="s">
        <v>185</v>
      </c>
      <c r="J444" s="375" t="s">
        <v>185</v>
      </c>
      <c r="K444" s="376" t="s">
        <v>185</v>
      </c>
    </row>
    <row r="445" spans="2:11" ht="15.5">
      <c r="B445" s="379" t="s">
        <v>541</v>
      </c>
      <c r="C445" s="381">
        <v>8.9</v>
      </c>
      <c r="D445" s="382">
        <v>4.5999999999999996</v>
      </c>
      <c r="E445" s="381">
        <v>4.3000000000000007</v>
      </c>
      <c r="F445" s="381">
        <v>8.9</v>
      </c>
      <c r="G445" s="382">
        <v>4.5999999999999996</v>
      </c>
      <c r="H445" s="381">
        <v>4.3000000000000007</v>
      </c>
      <c r="I445" s="375" t="s">
        <v>185</v>
      </c>
      <c r="J445" s="375" t="s">
        <v>185</v>
      </c>
      <c r="K445" s="376" t="s">
        <v>185</v>
      </c>
    </row>
    <row r="446" spans="2:11" ht="15.5">
      <c r="B446" s="379"/>
      <c r="C446" s="391"/>
      <c r="D446" s="391"/>
      <c r="E446" s="391"/>
      <c r="F446" s="391"/>
      <c r="G446" s="391"/>
      <c r="H446" s="391"/>
      <c r="I446" s="391"/>
      <c r="J446" s="391"/>
      <c r="K446" s="392"/>
    </row>
    <row r="447" spans="2:11" ht="15">
      <c r="B447" s="371" t="s">
        <v>542</v>
      </c>
      <c r="C447" s="380">
        <v>156.30000000000001</v>
      </c>
      <c r="D447" s="380">
        <v>79.5</v>
      </c>
      <c r="E447" s="380">
        <v>76.800000000000011</v>
      </c>
      <c r="F447" s="380">
        <v>40</v>
      </c>
      <c r="G447" s="380">
        <v>19.8</v>
      </c>
      <c r="H447" s="380">
        <v>20.2</v>
      </c>
      <c r="I447" s="380">
        <v>116.30000000000001</v>
      </c>
      <c r="J447" s="380">
        <v>59.7</v>
      </c>
      <c r="K447" s="390">
        <v>56.600000000000009</v>
      </c>
    </row>
    <row r="448" spans="2:11" ht="15.5">
      <c r="B448" s="379" t="s">
        <v>543</v>
      </c>
      <c r="C448" s="381">
        <v>40</v>
      </c>
      <c r="D448" s="382">
        <v>19.8</v>
      </c>
      <c r="E448" s="381">
        <v>20.2</v>
      </c>
      <c r="F448" s="381">
        <v>40</v>
      </c>
      <c r="G448" s="382">
        <v>19.8</v>
      </c>
      <c r="H448" s="381">
        <v>20.2</v>
      </c>
      <c r="I448" s="375" t="s">
        <v>185</v>
      </c>
      <c r="J448" s="375" t="s">
        <v>185</v>
      </c>
      <c r="K448" s="376" t="s">
        <v>185</v>
      </c>
    </row>
    <row r="449" spans="2:11" ht="15.5">
      <c r="B449" s="379"/>
      <c r="C449" s="408"/>
      <c r="D449" s="408"/>
      <c r="E449" s="408"/>
      <c r="F449" s="408"/>
      <c r="G449" s="408"/>
      <c r="H449" s="408"/>
      <c r="I449" s="408"/>
      <c r="J449" s="408"/>
      <c r="K449" s="409"/>
    </row>
    <row r="450" spans="2:11" ht="15">
      <c r="B450" s="371" t="s">
        <v>544</v>
      </c>
      <c r="C450" s="380">
        <v>88</v>
      </c>
      <c r="D450" s="380">
        <v>43.6</v>
      </c>
      <c r="E450" s="380">
        <v>44.4</v>
      </c>
      <c r="F450" s="380">
        <v>41</v>
      </c>
      <c r="G450" s="380">
        <v>20.3</v>
      </c>
      <c r="H450" s="380">
        <v>20.7</v>
      </c>
      <c r="I450" s="380">
        <v>47</v>
      </c>
      <c r="J450" s="380">
        <v>23.3</v>
      </c>
      <c r="K450" s="390">
        <v>23.7</v>
      </c>
    </row>
    <row r="451" spans="2:11" ht="15.5">
      <c r="B451" s="379" t="s">
        <v>545</v>
      </c>
      <c r="C451" s="381">
        <v>21.9</v>
      </c>
      <c r="D451" s="382">
        <v>10.9</v>
      </c>
      <c r="E451" s="381">
        <v>10.999999999999998</v>
      </c>
      <c r="F451" s="381">
        <v>21.9</v>
      </c>
      <c r="G451" s="382">
        <v>10.9</v>
      </c>
      <c r="H451" s="381">
        <v>10.999999999999998</v>
      </c>
      <c r="I451" s="375" t="s">
        <v>185</v>
      </c>
      <c r="J451" s="375" t="s">
        <v>185</v>
      </c>
      <c r="K451" s="376" t="s">
        <v>185</v>
      </c>
    </row>
    <row r="452" spans="2:11" ht="15.5">
      <c r="B452" s="379" t="s">
        <v>546</v>
      </c>
      <c r="C452" s="381">
        <v>7.9</v>
      </c>
      <c r="D452" s="382">
        <v>3.9</v>
      </c>
      <c r="E452" s="381">
        <v>4</v>
      </c>
      <c r="F452" s="381">
        <v>7.9</v>
      </c>
      <c r="G452" s="382">
        <v>3.9</v>
      </c>
      <c r="H452" s="381">
        <v>4</v>
      </c>
      <c r="I452" s="375" t="s">
        <v>185</v>
      </c>
      <c r="J452" s="375" t="s">
        <v>185</v>
      </c>
      <c r="K452" s="376" t="s">
        <v>185</v>
      </c>
    </row>
    <row r="453" spans="2:11" ht="15.5">
      <c r="B453" s="379" t="s">
        <v>547</v>
      </c>
      <c r="C453" s="381">
        <v>6.9</v>
      </c>
      <c r="D453" s="382">
        <v>3.4</v>
      </c>
      <c r="E453" s="381">
        <v>3.5000000000000004</v>
      </c>
      <c r="F453" s="381">
        <v>6.9</v>
      </c>
      <c r="G453" s="382">
        <v>3.4</v>
      </c>
      <c r="H453" s="381">
        <v>3.5000000000000004</v>
      </c>
      <c r="I453" s="375" t="s">
        <v>185</v>
      </c>
      <c r="J453" s="375" t="s">
        <v>185</v>
      </c>
      <c r="K453" s="376" t="s">
        <v>185</v>
      </c>
    </row>
    <row r="454" spans="2:11" ht="15.5">
      <c r="B454" s="379" t="s">
        <v>548</v>
      </c>
      <c r="C454" s="381">
        <v>4.3</v>
      </c>
      <c r="D454" s="382">
        <v>2.1</v>
      </c>
      <c r="E454" s="381">
        <v>2.1999999999999997</v>
      </c>
      <c r="F454" s="381">
        <v>4.3</v>
      </c>
      <c r="G454" s="382">
        <v>2.1</v>
      </c>
      <c r="H454" s="381">
        <v>2.1999999999999997</v>
      </c>
      <c r="I454" s="375" t="s">
        <v>185</v>
      </c>
      <c r="J454" s="375" t="s">
        <v>185</v>
      </c>
      <c r="K454" s="376" t="s">
        <v>185</v>
      </c>
    </row>
    <row r="455" spans="2:11" ht="15.5">
      <c r="B455" s="379"/>
      <c r="C455" s="384"/>
      <c r="D455" s="384"/>
      <c r="E455" s="384"/>
      <c r="F455" s="384"/>
      <c r="G455" s="384"/>
      <c r="H455" s="384"/>
      <c r="I455" s="384"/>
      <c r="J455" s="384"/>
      <c r="K455" s="393"/>
    </row>
    <row r="456" spans="2:11" ht="15">
      <c r="B456" s="371" t="s">
        <v>549</v>
      </c>
      <c r="C456" s="380">
        <v>103.8</v>
      </c>
      <c r="D456" s="380">
        <v>52.4</v>
      </c>
      <c r="E456" s="380">
        <v>51.4</v>
      </c>
      <c r="F456" s="380">
        <v>23.1</v>
      </c>
      <c r="G456" s="380">
        <v>11.6</v>
      </c>
      <c r="H456" s="380">
        <v>11.500000000000002</v>
      </c>
      <c r="I456" s="380">
        <v>80.699999999999989</v>
      </c>
      <c r="J456" s="380">
        <v>40.799999999999997</v>
      </c>
      <c r="K456" s="390">
        <v>39.899999999999991</v>
      </c>
    </row>
    <row r="457" spans="2:11" ht="15.5">
      <c r="B457" s="379" t="s">
        <v>550</v>
      </c>
      <c r="C457" s="381">
        <v>23.1</v>
      </c>
      <c r="D457" s="382">
        <v>11.6</v>
      </c>
      <c r="E457" s="381">
        <v>11.500000000000002</v>
      </c>
      <c r="F457" s="381">
        <v>23.1</v>
      </c>
      <c r="G457" s="382">
        <v>11.6</v>
      </c>
      <c r="H457" s="381">
        <v>11.500000000000002</v>
      </c>
      <c r="I457" s="375" t="s">
        <v>185</v>
      </c>
      <c r="J457" s="375" t="s">
        <v>185</v>
      </c>
      <c r="K457" s="376" t="s">
        <v>185</v>
      </c>
    </row>
    <row r="458" spans="2:11" ht="15.5">
      <c r="B458" s="379"/>
      <c r="C458" s="391"/>
      <c r="D458" s="391"/>
      <c r="E458" s="391"/>
      <c r="F458" s="391"/>
      <c r="G458" s="391"/>
      <c r="H458" s="391"/>
      <c r="I458" s="391"/>
      <c r="J458" s="391"/>
      <c r="K458" s="392"/>
    </row>
    <row r="459" spans="2:11" ht="15">
      <c r="B459" s="371" t="s">
        <v>551</v>
      </c>
      <c r="C459" s="380">
        <v>138.6</v>
      </c>
      <c r="D459" s="380">
        <v>69.3</v>
      </c>
      <c r="E459" s="380">
        <v>69.3</v>
      </c>
      <c r="F459" s="380">
        <v>43.9</v>
      </c>
      <c r="G459" s="380">
        <v>21.3</v>
      </c>
      <c r="H459" s="398">
        <v>22.599999999999998</v>
      </c>
      <c r="I459" s="380">
        <v>94.699999999999989</v>
      </c>
      <c r="J459" s="380">
        <v>48</v>
      </c>
      <c r="K459" s="390">
        <v>46.699999999999989</v>
      </c>
    </row>
    <row r="460" spans="2:11" ht="15.5">
      <c r="B460" s="379" t="s">
        <v>552</v>
      </c>
      <c r="C460" s="381">
        <v>38.700000000000003</v>
      </c>
      <c r="D460" s="382">
        <v>18.7</v>
      </c>
      <c r="E460" s="381">
        <v>20.000000000000004</v>
      </c>
      <c r="F460" s="381">
        <v>38.700000000000003</v>
      </c>
      <c r="G460" s="382">
        <v>18.7</v>
      </c>
      <c r="H460" s="381">
        <v>20.000000000000004</v>
      </c>
      <c r="I460" s="375" t="s">
        <v>185</v>
      </c>
      <c r="J460" s="375" t="s">
        <v>185</v>
      </c>
      <c r="K460" s="376" t="s">
        <v>185</v>
      </c>
    </row>
    <row r="461" spans="2:11" ht="15.5">
      <c r="B461" s="379" t="s">
        <v>553</v>
      </c>
      <c r="C461" s="381">
        <v>4.9000000000000004</v>
      </c>
      <c r="D461" s="382">
        <v>2.4</v>
      </c>
      <c r="E461" s="381">
        <v>2.5000000000000004</v>
      </c>
      <c r="F461" s="381">
        <v>4.9000000000000004</v>
      </c>
      <c r="G461" s="382">
        <v>2.4</v>
      </c>
      <c r="H461" s="381">
        <v>2.5000000000000004</v>
      </c>
      <c r="I461" s="375" t="s">
        <v>185</v>
      </c>
      <c r="J461" s="375" t="s">
        <v>185</v>
      </c>
      <c r="K461" s="376" t="s">
        <v>185</v>
      </c>
    </row>
    <row r="462" spans="2:11" ht="15.5">
      <c r="B462" s="379" t="s">
        <v>554</v>
      </c>
      <c r="C462" s="381">
        <v>0.3</v>
      </c>
      <c r="D462" s="382">
        <v>0.2</v>
      </c>
      <c r="E462" s="381">
        <v>9.9999999999999978E-2</v>
      </c>
      <c r="F462" s="381">
        <v>0.3</v>
      </c>
      <c r="G462" s="382">
        <v>0.2</v>
      </c>
      <c r="H462" s="381">
        <v>9.9999999999999978E-2</v>
      </c>
      <c r="I462" s="375" t="s">
        <v>185</v>
      </c>
      <c r="J462" s="375" t="s">
        <v>185</v>
      </c>
      <c r="K462" s="376" t="s">
        <v>185</v>
      </c>
    </row>
    <row r="463" spans="2:11" ht="15.5">
      <c r="B463" s="379"/>
      <c r="C463" s="403"/>
      <c r="D463" s="403"/>
      <c r="E463" s="403"/>
      <c r="F463" s="403"/>
      <c r="G463" s="403"/>
      <c r="H463" s="403"/>
      <c r="I463" s="403"/>
      <c r="J463" s="403"/>
      <c r="K463" s="404"/>
    </row>
    <row r="464" spans="2:11" ht="15">
      <c r="B464" s="371" t="s">
        <v>555</v>
      </c>
      <c r="C464" s="380">
        <v>128.5</v>
      </c>
      <c r="D464" s="380">
        <v>61.3</v>
      </c>
      <c r="E464" s="380">
        <v>67.2</v>
      </c>
      <c r="F464" s="380">
        <v>69.400000000000006</v>
      </c>
      <c r="G464" s="380">
        <v>32</v>
      </c>
      <c r="H464" s="410">
        <v>37.400000000000006</v>
      </c>
      <c r="I464" s="380">
        <v>59.099999999999994</v>
      </c>
      <c r="J464" s="380">
        <v>29.299999999999997</v>
      </c>
      <c r="K464" s="411">
        <v>29.799999999999997</v>
      </c>
    </row>
    <row r="465" spans="2:11" ht="15.5">
      <c r="B465" s="379" t="s">
        <v>556</v>
      </c>
      <c r="C465" s="381">
        <v>61.7</v>
      </c>
      <c r="D465" s="382">
        <v>28.2</v>
      </c>
      <c r="E465" s="381">
        <v>33.5</v>
      </c>
      <c r="F465" s="381">
        <v>61.7</v>
      </c>
      <c r="G465" s="382">
        <v>28.2</v>
      </c>
      <c r="H465" s="381">
        <v>33.5</v>
      </c>
      <c r="I465" s="375" t="s">
        <v>185</v>
      </c>
      <c r="J465" s="375" t="s">
        <v>185</v>
      </c>
      <c r="K465" s="376" t="s">
        <v>185</v>
      </c>
    </row>
    <row r="466" spans="2:11" ht="15.5">
      <c r="B466" s="379" t="s">
        <v>557</v>
      </c>
      <c r="C466" s="381">
        <v>0.5</v>
      </c>
      <c r="D466" s="382">
        <v>0.2</v>
      </c>
      <c r="E466" s="381">
        <v>0.3</v>
      </c>
      <c r="F466" s="381">
        <v>0.5</v>
      </c>
      <c r="G466" s="382">
        <v>0.2</v>
      </c>
      <c r="H466" s="381">
        <v>0.3</v>
      </c>
      <c r="I466" s="375" t="s">
        <v>185</v>
      </c>
      <c r="J466" s="375" t="s">
        <v>185</v>
      </c>
      <c r="K466" s="376" t="s">
        <v>185</v>
      </c>
    </row>
    <row r="467" spans="2:11" ht="15.5">
      <c r="B467" s="379" t="s">
        <v>558</v>
      </c>
      <c r="C467" s="381">
        <v>0.3</v>
      </c>
      <c r="D467" s="382">
        <v>0.2</v>
      </c>
      <c r="E467" s="381">
        <v>9.9999999999999978E-2</v>
      </c>
      <c r="F467" s="381">
        <v>0.3</v>
      </c>
      <c r="G467" s="382">
        <v>0.2</v>
      </c>
      <c r="H467" s="381">
        <v>9.9999999999999978E-2</v>
      </c>
      <c r="I467" s="375" t="s">
        <v>185</v>
      </c>
      <c r="J467" s="375" t="s">
        <v>185</v>
      </c>
      <c r="K467" s="376" t="s">
        <v>185</v>
      </c>
    </row>
    <row r="468" spans="2:11" ht="15.5">
      <c r="B468" s="379" t="s">
        <v>559</v>
      </c>
      <c r="C468" s="381">
        <v>6.9</v>
      </c>
      <c r="D468" s="382">
        <v>3.4</v>
      </c>
      <c r="E468" s="381">
        <v>3.5000000000000004</v>
      </c>
      <c r="F468" s="381">
        <v>6.9</v>
      </c>
      <c r="G468" s="382">
        <v>3.4</v>
      </c>
      <c r="H468" s="381">
        <v>3.5000000000000004</v>
      </c>
      <c r="I468" s="375" t="s">
        <v>185</v>
      </c>
      <c r="J468" s="375" t="s">
        <v>185</v>
      </c>
      <c r="K468" s="376" t="s">
        <v>185</v>
      </c>
    </row>
    <row r="469" spans="2:11" ht="15.5">
      <c r="B469" s="379"/>
      <c r="C469" s="391"/>
      <c r="D469" s="391"/>
      <c r="E469" s="391"/>
      <c r="F469" s="391"/>
      <c r="G469" s="391"/>
      <c r="H469" s="391"/>
      <c r="I469" s="391"/>
      <c r="J469" s="391"/>
      <c r="K469" s="392"/>
    </row>
    <row r="470" spans="2:11" ht="15">
      <c r="B470" s="371" t="s">
        <v>560</v>
      </c>
      <c r="C470" s="380">
        <v>105.4</v>
      </c>
      <c r="D470" s="380">
        <v>50.7</v>
      </c>
      <c r="E470" s="380">
        <v>54.7</v>
      </c>
      <c r="F470" s="380">
        <v>105.4</v>
      </c>
      <c r="G470" s="380">
        <v>50.7</v>
      </c>
      <c r="H470" s="380">
        <v>54.7</v>
      </c>
      <c r="I470" s="375" t="s">
        <v>185</v>
      </c>
      <c r="J470" s="375" t="s">
        <v>185</v>
      </c>
      <c r="K470" s="376" t="s">
        <v>185</v>
      </c>
    </row>
    <row r="471" spans="2:11" ht="15">
      <c r="B471" s="371"/>
      <c r="C471" s="408"/>
      <c r="D471" s="408"/>
      <c r="E471" s="408"/>
      <c r="F471" s="408"/>
      <c r="G471" s="408"/>
      <c r="H471" s="408"/>
      <c r="I471" s="408"/>
      <c r="J471" s="408"/>
      <c r="K471" s="409"/>
    </row>
    <row r="472" spans="2:11" ht="15">
      <c r="B472" s="371" t="s">
        <v>561</v>
      </c>
      <c r="C472" s="380">
        <v>109.9</v>
      </c>
      <c r="D472" s="380">
        <v>54.8</v>
      </c>
      <c r="E472" s="380">
        <v>55.100000000000009</v>
      </c>
      <c r="F472" s="380">
        <v>36.4</v>
      </c>
      <c r="G472" s="389">
        <v>17.8</v>
      </c>
      <c r="H472" s="380">
        <v>18.599999999999998</v>
      </c>
      <c r="I472" s="380">
        <v>73.5</v>
      </c>
      <c r="J472" s="380">
        <v>37</v>
      </c>
      <c r="K472" s="387">
        <v>36.5</v>
      </c>
    </row>
    <row r="473" spans="2:11" ht="15.5">
      <c r="B473" s="379" t="s">
        <v>562</v>
      </c>
      <c r="C473" s="381">
        <v>32.299999999999997</v>
      </c>
      <c r="D473" s="382">
        <v>15.7</v>
      </c>
      <c r="E473" s="381">
        <v>16.599999999999998</v>
      </c>
      <c r="F473" s="381">
        <v>32.299999999999997</v>
      </c>
      <c r="G473" s="382">
        <v>15.7</v>
      </c>
      <c r="H473" s="381">
        <v>16.599999999999998</v>
      </c>
      <c r="I473" s="375" t="s">
        <v>185</v>
      </c>
      <c r="J473" s="375" t="s">
        <v>185</v>
      </c>
      <c r="K473" s="376" t="s">
        <v>185</v>
      </c>
    </row>
    <row r="474" spans="2:11" ht="15.5">
      <c r="B474" s="379" t="s">
        <v>563</v>
      </c>
      <c r="C474" s="381">
        <v>0.3</v>
      </c>
      <c r="D474" s="382">
        <v>0.2</v>
      </c>
      <c r="E474" s="381">
        <v>9.9999999999999978E-2</v>
      </c>
      <c r="F474" s="381">
        <v>0.3</v>
      </c>
      <c r="G474" s="382">
        <v>0.2</v>
      </c>
      <c r="H474" s="381">
        <v>9.9999999999999978E-2</v>
      </c>
      <c r="I474" s="375" t="s">
        <v>185</v>
      </c>
      <c r="J474" s="375" t="s">
        <v>185</v>
      </c>
      <c r="K474" s="376" t="s">
        <v>185</v>
      </c>
    </row>
    <row r="475" spans="2:11" ht="15.5">
      <c r="B475" s="379" t="s">
        <v>564</v>
      </c>
      <c r="C475" s="381">
        <v>3.8</v>
      </c>
      <c r="D475" s="382">
        <v>1.9</v>
      </c>
      <c r="E475" s="381">
        <v>1.9</v>
      </c>
      <c r="F475" s="381">
        <v>3.8</v>
      </c>
      <c r="G475" s="382">
        <v>1.9</v>
      </c>
      <c r="H475" s="381">
        <v>1.9</v>
      </c>
      <c r="I475" s="375" t="s">
        <v>185</v>
      </c>
      <c r="J475" s="375" t="s">
        <v>185</v>
      </c>
      <c r="K475" s="376" t="s">
        <v>185</v>
      </c>
    </row>
    <row r="476" spans="2:11" ht="15.5">
      <c r="B476" s="379"/>
      <c r="C476" s="403"/>
      <c r="D476" s="403"/>
      <c r="E476" s="403"/>
      <c r="F476" s="403"/>
      <c r="G476" s="403"/>
      <c r="H476" s="403"/>
      <c r="I476" s="403"/>
      <c r="J476" s="403"/>
      <c r="K476" s="404"/>
    </row>
    <row r="477" spans="2:11" ht="15">
      <c r="B477" s="371" t="s">
        <v>565</v>
      </c>
      <c r="C477" s="380">
        <v>88.6</v>
      </c>
      <c r="D477" s="380">
        <v>44.2</v>
      </c>
      <c r="E477" s="380">
        <v>44.399999999999991</v>
      </c>
      <c r="F477" s="380">
        <v>18.100000000000001</v>
      </c>
      <c r="G477" s="389">
        <v>8.8000000000000007</v>
      </c>
      <c r="H477" s="380">
        <v>9.3000000000000007</v>
      </c>
      <c r="I477" s="380">
        <v>70.5</v>
      </c>
      <c r="J477" s="380">
        <v>35.400000000000006</v>
      </c>
      <c r="K477" s="387">
        <v>35.099999999999994</v>
      </c>
    </row>
    <row r="478" spans="2:11" ht="15.5">
      <c r="B478" s="379" t="s">
        <v>566</v>
      </c>
      <c r="C478" s="381">
        <v>18.100000000000001</v>
      </c>
      <c r="D478" s="382">
        <v>8.8000000000000007</v>
      </c>
      <c r="E478" s="381">
        <v>9.3000000000000007</v>
      </c>
      <c r="F478" s="381">
        <v>18.100000000000001</v>
      </c>
      <c r="G478" s="382">
        <v>8.8000000000000007</v>
      </c>
      <c r="H478" s="381">
        <v>9.3000000000000007</v>
      </c>
      <c r="I478" s="375" t="s">
        <v>185</v>
      </c>
      <c r="J478" s="375" t="s">
        <v>185</v>
      </c>
      <c r="K478" s="376" t="s">
        <v>185</v>
      </c>
    </row>
    <row r="479" spans="2:11" ht="15.5">
      <c r="B479" s="379"/>
      <c r="C479" s="391"/>
      <c r="D479" s="391"/>
      <c r="E479" s="391"/>
      <c r="F479" s="391"/>
      <c r="G479" s="391"/>
      <c r="H479" s="391"/>
      <c r="I479" s="391"/>
      <c r="J479" s="391"/>
      <c r="K479" s="392"/>
    </row>
    <row r="480" spans="2:11" ht="15">
      <c r="B480" s="371" t="s">
        <v>567</v>
      </c>
      <c r="C480" s="380">
        <v>58.8</v>
      </c>
      <c r="D480" s="380">
        <v>29.5</v>
      </c>
      <c r="E480" s="380">
        <v>29.299999999999997</v>
      </c>
      <c r="F480" s="380">
        <v>11.9</v>
      </c>
      <c r="G480" s="389">
        <v>5.9</v>
      </c>
      <c r="H480" s="380">
        <v>6</v>
      </c>
      <c r="I480" s="380">
        <v>46.9</v>
      </c>
      <c r="J480" s="380">
        <v>23.6</v>
      </c>
      <c r="K480" s="387">
        <v>23.299999999999997</v>
      </c>
    </row>
    <row r="481" spans="2:11" ht="15.5">
      <c r="B481" s="379" t="s">
        <v>568</v>
      </c>
      <c r="C481" s="381">
        <v>10.9</v>
      </c>
      <c r="D481" s="382">
        <v>5.4</v>
      </c>
      <c r="E481" s="381">
        <v>5.5</v>
      </c>
      <c r="F481" s="381">
        <v>10.9</v>
      </c>
      <c r="G481" s="382">
        <v>5.4</v>
      </c>
      <c r="H481" s="381">
        <v>5.5</v>
      </c>
      <c r="I481" s="375" t="s">
        <v>185</v>
      </c>
      <c r="J481" s="375" t="s">
        <v>185</v>
      </c>
      <c r="K481" s="376" t="s">
        <v>185</v>
      </c>
    </row>
    <row r="482" spans="2:11" ht="15.5">
      <c r="B482" s="379" t="s">
        <v>569</v>
      </c>
      <c r="C482" s="381">
        <v>1</v>
      </c>
      <c r="D482" s="382">
        <v>0.5</v>
      </c>
      <c r="E482" s="381">
        <v>0.5</v>
      </c>
      <c r="F482" s="381">
        <v>1</v>
      </c>
      <c r="G482" s="382">
        <v>0.5</v>
      </c>
      <c r="H482" s="381">
        <v>0.5</v>
      </c>
      <c r="I482" s="375" t="s">
        <v>185</v>
      </c>
      <c r="J482" s="375" t="s">
        <v>185</v>
      </c>
      <c r="K482" s="376" t="s">
        <v>185</v>
      </c>
    </row>
    <row r="483" spans="2:11" ht="15.5">
      <c r="B483" s="379"/>
      <c r="C483" s="391"/>
      <c r="D483" s="391"/>
      <c r="E483" s="391"/>
      <c r="F483" s="391"/>
      <c r="G483" s="391"/>
      <c r="H483" s="391"/>
      <c r="I483" s="391"/>
      <c r="J483" s="391"/>
      <c r="K483" s="392"/>
    </row>
    <row r="484" spans="2:11" ht="15">
      <c r="B484" s="371" t="s">
        <v>570</v>
      </c>
      <c r="C484" s="380">
        <v>116.7</v>
      </c>
      <c r="D484" s="380">
        <v>58.8</v>
      </c>
      <c r="E484" s="380">
        <v>57.900000000000006</v>
      </c>
      <c r="F484" s="380">
        <v>22.4</v>
      </c>
      <c r="G484" s="389">
        <v>11.2</v>
      </c>
      <c r="H484" s="380">
        <v>11.2</v>
      </c>
      <c r="I484" s="380">
        <v>94.300000000000011</v>
      </c>
      <c r="J484" s="380">
        <v>47.599999999999994</v>
      </c>
      <c r="K484" s="387">
        <v>46.700000000000017</v>
      </c>
    </row>
    <row r="485" spans="2:11" ht="15.5">
      <c r="B485" s="379" t="s">
        <v>571</v>
      </c>
      <c r="C485" s="381">
        <v>19.100000000000001</v>
      </c>
      <c r="D485" s="382">
        <v>9.5</v>
      </c>
      <c r="E485" s="381">
        <v>9.6000000000000014</v>
      </c>
      <c r="F485" s="381">
        <v>19.100000000000001</v>
      </c>
      <c r="G485" s="382">
        <v>9.5</v>
      </c>
      <c r="H485" s="381">
        <v>9.6000000000000014</v>
      </c>
      <c r="I485" s="375" t="s">
        <v>185</v>
      </c>
      <c r="J485" s="375" t="s">
        <v>185</v>
      </c>
      <c r="K485" s="376" t="s">
        <v>185</v>
      </c>
    </row>
    <row r="486" spans="2:11" ht="15.5">
      <c r="B486" s="379" t="s">
        <v>572</v>
      </c>
      <c r="C486" s="381">
        <v>1.7</v>
      </c>
      <c r="D486" s="382">
        <v>0.9</v>
      </c>
      <c r="E486" s="381">
        <v>0.79999999999999993</v>
      </c>
      <c r="F486" s="381">
        <v>1.7</v>
      </c>
      <c r="G486" s="382">
        <v>0.9</v>
      </c>
      <c r="H486" s="381">
        <v>0.79999999999999993</v>
      </c>
      <c r="I486" s="375" t="s">
        <v>185</v>
      </c>
      <c r="J486" s="375" t="s">
        <v>185</v>
      </c>
      <c r="K486" s="376" t="s">
        <v>185</v>
      </c>
    </row>
    <row r="487" spans="2:11" ht="15.5">
      <c r="B487" s="379" t="s">
        <v>573</v>
      </c>
      <c r="C487" s="381">
        <v>1.6</v>
      </c>
      <c r="D487" s="382">
        <v>0.8</v>
      </c>
      <c r="E487" s="381">
        <v>0.8</v>
      </c>
      <c r="F487" s="381">
        <v>1.6</v>
      </c>
      <c r="G487" s="382">
        <v>0.8</v>
      </c>
      <c r="H487" s="381">
        <v>0.8</v>
      </c>
      <c r="I487" s="375" t="s">
        <v>185</v>
      </c>
      <c r="J487" s="375" t="s">
        <v>185</v>
      </c>
      <c r="K487" s="376" t="s">
        <v>185</v>
      </c>
    </row>
    <row r="488" spans="2:11" ht="15.5">
      <c r="B488" s="379"/>
      <c r="C488" s="403"/>
      <c r="D488" s="403"/>
      <c r="E488" s="403"/>
      <c r="F488" s="403"/>
      <c r="G488" s="403"/>
      <c r="H488" s="403"/>
      <c r="I488" s="403"/>
      <c r="J488" s="403"/>
      <c r="K488" s="404"/>
    </row>
    <row r="489" spans="2:11" ht="15">
      <c r="B489" s="371" t="s">
        <v>574</v>
      </c>
      <c r="C489" s="380">
        <v>129.80000000000001</v>
      </c>
      <c r="D489" s="380">
        <v>65.3</v>
      </c>
      <c r="E489" s="380">
        <v>64.500000000000014</v>
      </c>
      <c r="F489" s="380">
        <v>40.700000000000003</v>
      </c>
      <c r="G489" s="389">
        <v>20.2</v>
      </c>
      <c r="H489" s="380">
        <v>20.500000000000004</v>
      </c>
      <c r="I489" s="380">
        <v>89.100000000000009</v>
      </c>
      <c r="J489" s="380">
        <v>45.099999999999994</v>
      </c>
      <c r="K489" s="387">
        <v>44.000000000000014</v>
      </c>
    </row>
    <row r="490" spans="2:11" ht="15.5">
      <c r="B490" s="379" t="s">
        <v>575</v>
      </c>
      <c r="C490" s="381">
        <v>35.799999999999997</v>
      </c>
      <c r="D490" s="382">
        <v>17.8</v>
      </c>
      <c r="E490" s="381">
        <v>17.999999999999996</v>
      </c>
      <c r="F490" s="381">
        <v>35.799999999999997</v>
      </c>
      <c r="G490" s="382">
        <v>17.8</v>
      </c>
      <c r="H490" s="381">
        <v>17.999999999999996</v>
      </c>
      <c r="I490" s="375" t="s">
        <v>185</v>
      </c>
      <c r="J490" s="375" t="s">
        <v>185</v>
      </c>
      <c r="K490" s="376" t="s">
        <v>185</v>
      </c>
    </row>
    <row r="491" spans="2:11" ht="15.5">
      <c r="B491" s="379" t="s">
        <v>576</v>
      </c>
      <c r="C491" s="381">
        <v>4.9000000000000004</v>
      </c>
      <c r="D491" s="382">
        <v>2.4</v>
      </c>
      <c r="E491" s="381">
        <v>2.5000000000000004</v>
      </c>
      <c r="F491" s="381">
        <v>4.9000000000000004</v>
      </c>
      <c r="G491" s="382">
        <v>2.4</v>
      </c>
      <c r="H491" s="381">
        <v>2.5000000000000004</v>
      </c>
      <c r="I491" s="375" t="s">
        <v>185</v>
      </c>
      <c r="J491" s="375" t="s">
        <v>185</v>
      </c>
      <c r="K491" s="376" t="s">
        <v>185</v>
      </c>
    </row>
    <row r="492" spans="2:11" ht="15.5">
      <c r="B492" s="379" t="s">
        <v>577</v>
      </c>
      <c r="C492" s="381" t="s">
        <v>185</v>
      </c>
      <c r="D492" s="381" t="s">
        <v>185</v>
      </c>
      <c r="E492" s="381" t="s">
        <v>185</v>
      </c>
      <c r="F492" s="381" t="s">
        <v>185</v>
      </c>
      <c r="G492" s="381" t="s">
        <v>185</v>
      </c>
      <c r="H492" s="381" t="s">
        <v>185</v>
      </c>
      <c r="I492" s="375" t="s">
        <v>185</v>
      </c>
      <c r="J492" s="375" t="s">
        <v>185</v>
      </c>
      <c r="K492" s="376" t="s">
        <v>185</v>
      </c>
    </row>
    <row r="493" spans="2:11" ht="15.5">
      <c r="B493" s="379"/>
      <c r="C493" s="384"/>
      <c r="D493" s="384"/>
      <c r="E493" s="384"/>
      <c r="F493" s="384"/>
      <c r="G493" s="384"/>
      <c r="H493" s="384"/>
      <c r="I493" s="384"/>
      <c r="J493" s="384"/>
      <c r="K493" s="393"/>
    </row>
    <row r="494" spans="2:11" ht="15">
      <c r="B494" s="371" t="s">
        <v>578</v>
      </c>
      <c r="C494" s="380">
        <v>107.8</v>
      </c>
      <c r="D494" s="380">
        <v>54.6</v>
      </c>
      <c r="E494" s="380">
        <v>53.199999999999996</v>
      </c>
      <c r="F494" s="380">
        <v>19.899999999999999</v>
      </c>
      <c r="G494" s="389">
        <v>9.6999999999999993</v>
      </c>
      <c r="H494" s="380">
        <v>10.199999999999999</v>
      </c>
      <c r="I494" s="380">
        <v>87.9</v>
      </c>
      <c r="J494" s="380">
        <v>44.900000000000006</v>
      </c>
      <c r="K494" s="387">
        <v>43</v>
      </c>
    </row>
    <row r="495" spans="2:11" ht="15.5">
      <c r="B495" s="379" t="s">
        <v>579</v>
      </c>
      <c r="C495" s="381">
        <v>19.899999999999999</v>
      </c>
      <c r="D495" s="382">
        <v>9.6999999999999993</v>
      </c>
      <c r="E495" s="381">
        <v>10.199999999999999</v>
      </c>
      <c r="F495" s="381">
        <v>19.899999999999999</v>
      </c>
      <c r="G495" s="382">
        <v>9.6999999999999993</v>
      </c>
      <c r="H495" s="381">
        <v>10.199999999999999</v>
      </c>
      <c r="I495" s="375" t="s">
        <v>185</v>
      </c>
      <c r="J495" s="375" t="s">
        <v>185</v>
      </c>
      <c r="K495" s="376" t="s">
        <v>185</v>
      </c>
    </row>
    <row r="496" spans="2:11" ht="15.5">
      <c r="B496" s="379"/>
      <c r="C496" s="391"/>
      <c r="D496" s="391"/>
      <c r="E496" s="391"/>
      <c r="F496" s="391"/>
      <c r="G496" s="391"/>
      <c r="H496" s="391"/>
      <c r="I496" s="391"/>
      <c r="J496" s="391"/>
      <c r="K496" s="392"/>
    </row>
    <row r="497" spans="2:11" ht="15">
      <c r="B497" s="371" t="s">
        <v>580</v>
      </c>
      <c r="C497" s="380">
        <v>176.7</v>
      </c>
      <c r="D497" s="380">
        <v>88.9</v>
      </c>
      <c r="E497" s="380">
        <v>87.799999999999983</v>
      </c>
      <c r="F497" s="380">
        <v>30.8</v>
      </c>
      <c r="G497" s="389">
        <v>15.2</v>
      </c>
      <c r="H497" s="380">
        <v>15.600000000000001</v>
      </c>
      <c r="I497" s="380">
        <v>145.89999999999998</v>
      </c>
      <c r="J497" s="380">
        <v>73.7</v>
      </c>
      <c r="K497" s="387">
        <v>72.199999999999974</v>
      </c>
    </row>
    <row r="498" spans="2:11" ht="15.5">
      <c r="B498" s="379" t="s">
        <v>581</v>
      </c>
      <c r="C498" s="381">
        <v>30.8</v>
      </c>
      <c r="D498" s="382">
        <v>15.2</v>
      </c>
      <c r="E498" s="381">
        <v>15.600000000000001</v>
      </c>
      <c r="F498" s="381">
        <v>30.8</v>
      </c>
      <c r="G498" s="382">
        <v>15.2</v>
      </c>
      <c r="H498" s="381">
        <v>15.600000000000001</v>
      </c>
      <c r="I498" s="375" t="s">
        <v>185</v>
      </c>
      <c r="J498" s="375" t="s">
        <v>185</v>
      </c>
      <c r="K498" s="376" t="s">
        <v>185</v>
      </c>
    </row>
    <row r="499" spans="2:11" ht="15.5">
      <c r="B499" s="379"/>
      <c r="C499" s="391"/>
      <c r="D499" s="391"/>
      <c r="E499" s="391"/>
      <c r="F499" s="391"/>
      <c r="G499" s="391"/>
      <c r="H499" s="391"/>
      <c r="I499" s="391"/>
      <c r="J499" s="391"/>
      <c r="K499" s="392"/>
    </row>
    <row r="500" spans="2:11" ht="15">
      <c r="B500" s="371" t="s">
        <v>582</v>
      </c>
      <c r="C500" s="380">
        <v>75.599999999999994</v>
      </c>
      <c r="D500" s="380">
        <v>37.299999999999997</v>
      </c>
      <c r="E500" s="380">
        <v>38.299999999999997</v>
      </c>
      <c r="F500" s="380">
        <v>37.700000000000003</v>
      </c>
      <c r="G500" s="389">
        <v>18.399999999999999</v>
      </c>
      <c r="H500" s="380">
        <v>19.300000000000004</v>
      </c>
      <c r="I500" s="380">
        <v>37.899999999999991</v>
      </c>
      <c r="J500" s="380">
        <v>18.899999999999999</v>
      </c>
      <c r="K500" s="387">
        <v>18.999999999999993</v>
      </c>
    </row>
    <row r="501" spans="2:11" ht="15.5">
      <c r="B501" s="379" t="s">
        <v>583</v>
      </c>
      <c r="C501" s="381">
        <v>27.2</v>
      </c>
      <c r="D501" s="382">
        <v>13.4</v>
      </c>
      <c r="E501" s="381">
        <v>13.799999999999999</v>
      </c>
      <c r="F501" s="381">
        <v>27.2</v>
      </c>
      <c r="G501" s="382">
        <v>13.4</v>
      </c>
      <c r="H501" s="381">
        <v>13.799999999999999</v>
      </c>
      <c r="I501" s="375" t="s">
        <v>185</v>
      </c>
      <c r="J501" s="375" t="s">
        <v>185</v>
      </c>
      <c r="K501" s="376" t="s">
        <v>185</v>
      </c>
    </row>
    <row r="502" spans="2:11" ht="15.5">
      <c r="B502" s="379" t="s">
        <v>584</v>
      </c>
      <c r="C502" s="381">
        <v>0</v>
      </c>
      <c r="D502" s="382">
        <v>0</v>
      </c>
      <c r="E502" s="381">
        <v>0</v>
      </c>
      <c r="F502" s="381">
        <v>0</v>
      </c>
      <c r="G502" s="382">
        <v>0</v>
      </c>
      <c r="H502" s="381">
        <v>0</v>
      </c>
      <c r="I502" s="375" t="s">
        <v>185</v>
      </c>
      <c r="J502" s="375" t="s">
        <v>185</v>
      </c>
      <c r="K502" s="376" t="s">
        <v>185</v>
      </c>
    </row>
    <row r="503" spans="2:11" ht="15.5">
      <c r="B503" s="379" t="s">
        <v>585</v>
      </c>
      <c r="C503" s="381">
        <v>2.5</v>
      </c>
      <c r="D503" s="382">
        <v>1.2</v>
      </c>
      <c r="E503" s="381">
        <v>1.3</v>
      </c>
      <c r="F503" s="381">
        <v>2.5</v>
      </c>
      <c r="G503" s="382">
        <v>1.2</v>
      </c>
      <c r="H503" s="381">
        <v>1.3</v>
      </c>
      <c r="I503" s="375" t="s">
        <v>185</v>
      </c>
      <c r="J503" s="375" t="s">
        <v>185</v>
      </c>
      <c r="K503" s="376" t="s">
        <v>185</v>
      </c>
    </row>
    <row r="504" spans="2:11" ht="15.5">
      <c r="B504" s="379" t="s">
        <v>290</v>
      </c>
      <c r="C504" s="381">
        <v>1.2</v>
      </c>
      <c r="D504" s="382">
        <v>0.6</v>
      </c>
      <c r="E504" s="381">
        <v>0.6</v>
      </c>
      <c r="F504" s="381">
        <v>1.2</v>
      </c>
      <c r="G504" s="382">
        <v>0.6</v>
      </c>
      <c r="H504" s="381">
        <v>0.6</v>
      </c>
      <c r="I504" s="375" t="s">
        <v>185</v>
      </c>
      <c r="J504" s="375" t="s">
        <v>185</v>
      </c>
      <c r="K504" s="376" t="s">
        <v>185</v>
      </c>
    </row>
    <row r="505" spans="2:11" ht="15.5">
      <c r="B505" s="379" t="s">
        <v>586</v>
      </c>
      <c r="C505" s="381">
        <v>5.7</v>
      </c>
      <c r="D505" s="382">
        <v>2.6</v>
      </c>
      <c r="E505" s="381">
        <v>3.1</v>
      </c>
      <c r="F505" s="381">
        <v>5.7</v>
      </c>
      <c r="G505" s="382">
        <v>2.6</v>
      </c>
      <c r="H505" s="381">
        <v>3.1</v>
      </c>
      <c r="I505" s="375" t="s">
        <v>185</v>
      </c>
      <c r="J505" s="375" t="s">
        <v>185</v>
      </c>
      <c r="K505" s="376" t="s">
        <v>185</v>
      </c>
    </row>
    <row r="506" spans="2:11" ht="15.5">
      <c r="B506" s="379" t="s">
        <v>587</v>
      </c>
      <c r="C506" s="381">
        <v>1.1000000000000001</v>
      </c>
      <c r="D506" s="382">
        <v>0.6</v>
      </c>
      <c r="E506" s="381">
        <v>0.50000000000000011</v>
      </c>
      <c r="F506" s="381">
        <v>1.1000000000000001</v>
      </c>
      <c r="G506" s="382">
        <v>0.6</v>
      </c>
      <c r="H506" s="381">
        <v>0.50000000000000011</v>
      </c>
      <c r="I506" s="375" t="s">
        <v>185</v>
      </c>
      <c r="J506" s="375" t="s">
        <v>185</v>
      </c>
      <c r="K506" s="376" t="s">
        <v>185</v>
      </c>
    </row>
    <row r="507" spans="2:11" ht="15.5">
      <c r="B507" s="379"/>
      <c r="C507" s="403"/>
      <c r="D507" s="403"/>
      <c r="E507" s="403"/>
      <c r="F507" s="403"/>
      <c r="G507" s="403"/>
      <c r="H507" s="403"/>
      <c r="I507" s="403"/>
      <c r="J507" s="403"/>
      <c r="K507" s="404"/>
    </row>
    <row r="508" spans="2:11" ht="15">
      <c r="B508" s="371" t="s">
        <v>588</v>
      </c>
      <c r="C508" s="380">
        <v>86.6</v>
      </c>
      <c r="D508" s="380">
        <v>42.5</v>
      </c>
      <c r="E508" s="380">
        <v>44.099999999999994</v>
      </c>
      <c r="F508" s="380">
        <v>86.6</v>
      </c>
      <c r="G508" s="380">
        <v>42.5</v>
      </c>
      <c r="H508" s="380">
        <v>44.099999999999994</v>
      </c>
      <c r="I508" s="375" t="s">
        <v>185</v>
      </c>
      <c r="J508" s="375" t="s">
        <v>185</v>
      </c>
      <c r="K508" s="376" t="s">
        <v>185</v>
      </c>
    </row>
    <row r="509" spans="2:11" ht="15.5">
      <c r="B509" s="379" t="s">
        <v>589</v>
      </c>
      <c r="C509" s="381">
        <v>81.599999999999994</v>
      </c>
      <c r="D509" s="382">
        <v>40</v>
      </c>
      <c r="E509" s="381">
        <v>41.599999999999994</v>
      </c>
      <c r="F509" s="381">
        <v>81.599999999999994</v>
      </c>
      <c r="G509" s="382">
        <v>40</v>
      </c>
      <c r="H509" s="381">
        <v>41.599999999999994</v>
      </c>
      <c r="I509" s="375" t="s">
        <v>185</v>
      </c>
      <c r="J509" s="375" t="s">
        <v>185</v>
      </c>
      <c r="K509" s="376" t="s">
        <v>185</v>
      </c>
    </row>
    <row r="510" spans="2:11" ht="15.5">
      <c r="B510" s="379" t="s">
        <v>590</v>
      </c>
      <c r="C510" s="381">
        <v>2.5</v>
      </c>
      <c r="D510" s="382">
        <v>1.3</v>
      </c>
      <c r="E510" s="381">
        <v>1.2</v>
      </c>
      <c r="F510" s="381">
        <v>2.5</v>
      </c>
      <c r="G510" s="382">
        <v>1.3</v>
      </c>
      <c r="H510" s="381">
        <v>1.2</v>
      </c>
      <c r="I510" s="375" t="s">
        <v>185</v>
      </c>
      <c r="J510" s="375" t="s">
        <v>185</v>
      </c>
      <c r="K510" s="376" t="s">
        <v>185</v>
      </c>
    </row>
    <row r="511" spans="2:11" ht="15.5">
      <c r="B511" s="379" t="s">
        <v>591</v>
      </c>
      <c r="C511" s="381">
        <v>2.5</v>
      </c>
      <c r="D511" s="382">
        <v>1.2</v>
      </c>
      <c r="E511" s="381">
        <v>1.3</v>
      </c>
      <c r="F511" s="381">
        <v>2.5</v>
      </c>
      <c r="G511" s="382">
        <v>1.2</v>
      </c>
      <c r="H511" s="381">
        <v>1.3</v>
      </c>
      <c r="I511" s="375" t="s">
        <v>185</v>
      </c>
      <c r="J511" s="375" t="s">
        <v>185</v>
      </c>
      <c r="K511" s="376" t="s">
        <v>185</v>
      </c>
    </row>
    <row r="512" spans="2:11" ht="15.5">
      <c r="B512" s="379"/>
      <c r="C512" s="384"/>
      <c r="D512" s="384"/>
      <c r="E512" s="384"/>
      <c r="F512" s="384"/>
      <c r="G512" s="384"/>
      <c r="H512" s="384"/>
      <c r="I512" s="384"/>
      <c r="J512" s="384"/>
      <c r="K512" s="393"/>
    </row>
    <row r="513" spans="1:11" ht="15">
      <c r="A513" s="106" t="s">
        <v>948</v>
      </c>
      <c r="B513" s="371" t="s">
        <v>592</v>
      </c>
      <c r="C513" s="380">
        <v>682</v>
      </c>
      <c r="D513" s="380">
        <v>333.40000000000003</v>
      </c>
      <c r="E513" s="380">
        <v>348.59999999999997</v>
      </c>
      <c r="F513" s="380">
        <v>220.7</v>
      </c>
      <c r="G513" s="380">
        <v>107.10000000000001</v>
      </c>
      <c r="H513" s="380">
        <v>113.59999999999998</v>
      </c>
      <c r="I513" s="380">
        <v>461.29999999999995</v>
      </c>
      <c r="J513" s="380">
        <v>226.3</v>
      </c>
      <c r="K513" s="387">
        <v>234.99999999999994</v>
      </c>
    </row>
    <row r="514" spans="1:11" ht="15.5">
      <c r="B514" s="377" t="s">
        <v>271</v>
      </c>
      <c r="C514" s="372"/>
      <c r="D514" s="372"/>
      <c r="E514" s="372"/>
      <c r="F514" s="372"/>
      <c r="G514" s="372"/>
      <c r="H514" s="372"/>
      <c r="I514" s="372"/>
      <c r="J514" s="372"/>
      <c r="K514" s="378"/>
    </row>
    <row r="515" spans="1:11" ht="15">
      <c r="B515" s="371" t="s">
        <v>593</v>
      </c>
      <c r="C515" s="380">
        <v>80.8</v>
      </c>
      <c r="D515" s="380">
        <v>39.700000000000003</v>
      </c>
      <c r="E515" s="380">
        <v>41.099999999999994</v>
      </c>
      <c r="F515" s="380">
        <v>13.3</v>
      </c>
      <c r="G515" s="389">
        <v>6.6</v>
      </c>
      <c r="H515" s="380">
        <v>6.7000000000000011</v>
      </c>
      <c r="I515" s="380">
        <v>67.5</v>
      </c>
      <c r="J515" s="380">
        <v>33.1</v>
      </c>
      <c r="K515" s="387">
        <v>34.4</v>
      </c>
    </row>
    <row r="516" spans="1:11" ht="15.5">
      <c r="B516" s="379" t="s">
        <v>594</v>
      </c>
      <c r="C516" s="381">
        <v>10.8</v>
      </c>
      <c r="D516" s="382">
        <v>5.3</v>
      </c>
      <c r="E516" s="381">
        <v>5.5000000000000009</v>
      </c>
      <c r="F516" s="381">
        <v>10.8</v>
      </c>
      <c r="G516" s="382">
        <v>5.3</v>
      </c>
      <c r="H516" s="381">
        <v>5.5000000000000009</v>
      </c>
      <c r="I516" s="375" t="s">
        <v>185</v>
      </c>
      <c r="J516" s="375" t="s">
        <v>185</v>
      </c>
      <c r="K516" s="376" t="s">
        <v>185</v>
      </c>
    </row>
    <row r="517" spans="1:11" ht="15.5">
      <c r="B517" s="379" t="s">
        <v>595</v>
      </c>
      <c r="C517" s="381">
        <v>0.3</v>
      </c>
      <c r="D517" s="382">
        <v>0.2</v>
      </c>
      <c r="E517" s="381">
        <v>9.9999999999999978E-2</v>
      </c>
      <c r="F517" s="381">
        <v>0.3</v>
      </c>
      <c r="G517" s="382">
        <v>0.2</v>
      </c>
      <c r="H517" s="381">
        <v>9.9999999999999978E-2</v>
      </c>
      <c r="I517" s="375" t="s">
        <v>185</v>
      </c>
      <c r="J517" s="375" t="s">
        <v>185</v>
      </c>
      <c r="K517" s="376" t="s">
        <v>185</v>
      </c>
    </row>
    <row r="518" spans="1:11" ht="15.5">
      <c r="B518" s="379" t="s">
        <v>596</v>
      </c>
      <c r="C518" s="381">
        <v>0.5</v>
      </c>
      <c r="D518" s="382">
        <v>0.3</v>
      </c>
      <c r="E518" s="381">
        <v>0.2</v>
      </c>
      <c r="F518" s="381">
        <v>0.5</v>
      </c>
      <c r="G518" s="382">
        <v>0.3</v>
      </c>
      <c r="H518" s="381">
        <v>0.2</v>
      </c>
      <c r="I518" s="375" t="s">
        <v>185</v>
      </c>
      <c r="J518" s="375" t="s">
        <v>185</v>
      </c>
      <c r="K518" s="376" t="s">
        <v>185</v>
      </c>
    </row>
    <row r="519" spans="1:11" ht="15.5">
      <c r="B519" s="379" t="s">
        <v>597</v>
      </c>
      <c r="C519" s="381">
        <v>0.4</v>
      </c>
      <c r="D519" s="382">
        <v>0.2</v>
      </c>
      <c r="E519" s="381">
        <v>0.2</v>
      </c>
      <c r="F519" s="381">
        <v>0.4</v>
      </c>
      <c r="G519" s="382">
        <v>0.2</v>
      </c>
      <c r="H519" s="381">
        <v>0.2</v>
      </c>
      <c r="I519" s="375" t="s">
        <v>185</v>
      </c>
      <c r="J519" s="375" t="s">
        <v>185</v>
      </c>
      <c r="K519" s="376" t="s">
        <v>185</v>
      </c>
    </row>
    <row r="520" spans="1:11" ht="15.5">
      <c r="B520" s="379" t="s">
        <v>598</v>
      </c>
      <c r="C520" s="381">
        <v>1.3</v>
      </c>
      <c r="D520" s="382">
        <v>0.6</v>
      </c>
      <c r="E520" s="381">
        <v>0.70000000000000007</v>
      </c>
      <c r="F520" s="381">
        <v>1.3</v>
      </c>
      <c r="G520" s="382">
        <v>0.6</v>
      </c>
      <c r="H520" s="381">
        <v>0.70000000000000007</v>
      </c>
      <c r="I520" s="375" t="s">
        <v>185</v>
      </c>
      <c r="J520" s="375" t="s">
        <v>185</v>
      </c>
      <c r="K520" s="376" t="s">
        <v>185</v>
      </c>
    </row>
    <row r="521" spans="1:11" ht="15.5">
      <c r="B521" s="379"/>
      <c r="C521" s="373"/>
      <c r="D521" s="373"/>
      <c r="E521" s="373"/>
      <c r="F521" s="373"/>
      <c r="G521" s="373"/>
      <c r="H521" s="373"/>
      <c r="I521" s="373"/>
      <c r="J521" s="373"/>
      <c r="K521" s="374"/>
    </row>
    <row r="522" spans="1:11" ht="15">
      <c r="B522" s="371" t="s">
        <v>599</v>
      </c>
      <c r="C522" s="380">
        <v>132.4</v>
      </c>
      <c r="D522" s="380">
        <v>64.8</v>
      </c>
      <c r="E522" s="380">
        <v>67.600000000000009</v>
      </c>
      <c r="F522" s="380">
        <v>31.9</v>
      </c>
      <c r="G522" s="389">
        <v>15.4</v>
      </c>
      <c r="H522" s="380">
        <v>16.5</v>
      </c>
      <c r="I522" s="380">
        <v>100.5</v>
      </c>
      <c r="J522" s="380">
        <v>49.4</v>
      </c>
      <c r="K522" s="387">
        <v>51.1</v>
      </c>
    </row>
    <row r="523" spans="1:11" ht="15.5">
      <c r="B523" s="379" t="s">
        <v>600</v>
      </c>
      <c r="C523" s="381">
        <v>24.3</v>
      </c>
      <c r="D523" s="382">
        <v>11.8</v>
      </c>
      <c r="E523" s="381">
        <v>12.5</v>
      </c>
      <c r="F523" s="381">
        <v>24.3</v>
      </c>
      <c r="G523" s="382">
        <v>11.8</v>
      </c>
      <c r="H523" s="381">
        <v>12.5</v>
      </c>
      <c r="I523" s="375" t="s">
        <v>185</v>
      </c>
      <c r="J523" s="375" t="s">
        <v>185</v>
      </c>
      <c r="K523" s="376" t="s">
        <v>185</v>
      </c>
    </row>
    <row r="524" spans="1:11" ht="15.5">
      <c r="B524" s="379" t="s">
        <v>601</v>
      </c>
      <c r="C524" s="381">
        <v>7.6</v>
      </c>
      <c r="D524" s="382">
        <v>3.6</v>
      </c>
      <c r="E524" s="381">
        <v>3.9999999999999996</v>
      </c>
      <c r="F524" s="381">
        <v>7.6</v>
      </c>
      <c r="G524" s="382">
        <v>3.6</v>
      </c>
      <c r="H524" s="381">
        <v>3.9999999999999996</v>
      </c>
      <c r="I524" s="375" t="s">
        <v>185</v>
      </c>
      <c r="J524" s="375" t="s">
        <v>185</v>
      </c>
      <c r="K524" s="376" t="s">
        <v>185</v>
      </c>
    </row>
    <row r="525" spans="1:11" ht="15.5">
      <c r="B525" s="379" t="s">
        <v>602</v>
      </c>
      <c r="C525" s="381" t="s">
        <v>185</v>
      </c>
      <c r="D525" s="381" t="s">
        <v>185</v>
      </c>
      <c r="E525" s="381" t="s">
        <v>185</v>
      </c>
      <c r="F525" s="381" t="s">
        <v>185</v>
      </c>
      <c r="G525" s="381" t="s">
        <v>185</v>
      </c>
      <c r="H525" s="381" t="s">
        <v>185</v>
      </c>
      <c r="I525" s="375" t="s">
        <v>185</v>
      </c>
      <c r="J525" s="375" t="s">
        <v>185</v>
      </c>
      <c r="K525" s="376" t="s">
        <v>185</v>
      </c>
    </row>
    <row r="526" spans="1:11" ht="15.5">
      <c r="B526" s="379" t="s">
        <v>603</v>
      </c>
      <c r="C526" s="381" t="s">
        <v>185</v>
      </c>
      <c r="D526" s="381" t="s">
        <v>185</v>
      </c>
      <c r="E526" s="381" t="s">
        <v>185</v>
      </c>
      <c r="F526" s="381" t="s">
        <v>185</v>
      </c>
      <c r="G526" s="381" t="s">
        <v>185</v>
      </c>
      <c r="H526" s="381" t="s">
        <v>185</v>
      </c>
      <c r="I526" s="375" t="s">
        <v>185</v>
      </c>
      <c r="J526" s="375" t="s">
        <v>185</v>
      </c>
      <c r="K526" s="376" t="s">
        <v>185</v>
      </c>
    </row>
    <row r="527" spans="1:11" ht="15.5">
      <c r="B527" s="379" t="s">
        <v>604</v>
      </c>
      <c r="C527" s="381" t="s">
        <v>185</v>
      </c>
      <c r="D527" s="381" t="s">
        <v>185</v>
      </c>
      <c r="E527" s="381" t="s">
        <v>185</v>
      </c>
      <c r="F527" s="381" t="s">
        <v>185</v>
      </c>
      <c r="G527" s="381" t="s">
        <v>185</v>
      </c>
      <c r="H527" s="381" t="s">
        <v>185</v>
      </c>
      <c r="I527" s="375" t="s">
        <v>185</v>
      </c>
      <c r="J527" s="375" t="s">
        <v>185</v>
      </c>
      <c r="K527" s="376" t="s">
        <v>185</v>
      </c>
    </row>
    <row r="528" spans="1:11" ht="15.5">
      <c r="B528" s="379" t="s">
        <v>605</v>
      </c>
      <c r="C528" s="381" t="s">
        <v>185</v>
      </c>
      <c r="D528" s="381" t="s">
        <v>185</v>
      </c>
      <c r="E528" s="381" t="s">
        <v>185</v>
      </c>
      <c r="F528" s="381" t="s">
        <v>185</v>
      </c>
      <c r="G528" s="381" t="s">
        <v>185</v>
      </c>
      <c r="H528" s="381" t="s">
        <v>185</v>
      </c>
      <c r="I528" s="375" t="s">
        <v>185</v>
      </c>
      <c r="J528" s="375" t="s">
        <v>185</v>
      </c>
      <c r="K528" s="376" t="s">
        <v>185</v>
      </c>
    </row>
    <row r="529" spans="2:11" ht="15.5">
      <c r="B529" s="379" t="s">
        <v>606</v>
      </c>
      <c r="C529" s="381" t="s">
        <v>185</v>
      </c>
      <c r="D529" s="381" t="s">
        <v>185</v>
      </c>
      <c r="E529" s="381" t="s">
        <v>185</v>
      </c>
      <c r="F529" s="381" t="s">
        <v>185</v>
      </c>
      <c r="G529" s="381" t="s">
        <v>185</v>
      </c>
      <c r="H529" s="381" t="s">
        <v>185</v>
      </c>
      <c r="I529" s="375" t="s">
        <v>185</v>
      </c>
      <c r="J529" s="375" t="s">
        <v>185</v>
      </c>
      <c r="K529" s="376" t="s">
        <v>185</v>
      </c>
    </row>
    <row r="530" spans="2:11" ht="15.5">
      <c r="B530" s="379" t="s">
        <v>607</v>
      </c>
      <c r="C530" s="381" t="s">
        <v>185</v>
      </c>
      <c r="D530" s="381" t="s">
        <v>185</v>
      </c>
      <c r="E530" s="381" t="s">
        <v>185</v>
      </c>
      <c r="F530" s="381" t="s">
        <v>185</v>
      </c>
      <c r="G530" s="381" t="s">
        <v>185</v>
      </c>
      <c r="H530" s="381" t="s">
        <v>185</v>
      </c>
      <c r="I530" s="375" t="s">
        <v>185</v>
      </c>
      <c r="J530" s="375" t="s">
        <v>185</v>
      </c>
      <c r="K530" s="376" t="s">
        <v>185</v>
      </c>
    </row>
    <row r="531" spans="2:11" ht="15.5">
      <c r="B531" s="379" t="s">
        <v>608</v>
      </c>
      <c r="C531" s="381" t="s">
        <v>185</v>
      </c>
      <c r="D531" s="381" t="s">
        <v>185</v>
      </c>
      <c r="E531" s="381" t="s">
        <v>185</v>
      </c>
      <c r="F531" s="381" t="s">
        <v>185</v>
      </c>
      <c r="G531" s="381" t="s">
        <v>185</v>
      </c>
      <c r="H531" s="381" t="s">
        <v>185</v>
      </c>
      <c r="I531" s="375" t="s">
        <v>185</v>
      </c>
      <c r="J531" s="375" t="s">
        <v>185</v>
      </c>
      <c r="K531" s="376" t="s">
        <v>185</v>
      </c>
    </row>
    <row r="532" spans="2:11" ht="15.5">
      <c r="B532" s="379" t="s">
        <v>609</v>
      </c>
      <c r="C532" s="381" t="s">
        <v>185</v>
      </c>
      <c r="D532" s="381" t="s">
        <v>185</v>
      </c>
      <c r="E532" s="381" t="s">
        <v>185</v>
      </c>
      <c r="F532" s="381" t="s">
        <v>185</v>
      </c>
      <c r="G532" s="381" t="s">
        <v>185</v>
      </c>
      <c r="H532" s="381" t="s">
        <v>185</v>
      </c>
      <c r="I532" s="375" t="s">
        <v>185</v>
      </c>
      <c r="J532" s="375" t="s">
        <v>185</v>
      </c>
      <c r="K532" s="376" t="s">
        <v>185</v>
      </c>
    </row>
    <row r="533" spans="2:11" ht="15.5">
      <c r="B533" s="379" t="s">
        <v>610</v>
      </c>
      <c r="C533" s="381" t="s">
        <v>185</v>
      </c>
      <c r="D533" s="381" t="s">
        <v>185</v>
      </c>
      <c r="E533" s="381" t="s">
        <v>185</v>
      </c>
      <c r="F533" s="381" t="s">
        <v>185</v>
      </c>
      <c r="G533" s="381" t="s">
        <v>185</v>
      </c>
      <c r="H533" s="381" t="s">
        <v>185</v>
      </c>
      <c r="I533" s="375" t="s">
        <v>185</v>
      </c>
      <c r="J533" s="375" t="s">
        <v>185</v>
      </c>
      <c r="K533" s="376" t="s">
        <v>185</v>
      </c>
    </row>
    <row r="534" spans="2:11" ht="15.5">
      <c r="B534" s="379" t="s">
        <v>611</v>
      </c>
      <c r="C534" s="381" t="s">
        <v>185</v>
      </c>
      <c r="D534" s="381" t="s">
        <v>185</v>
      </c>
      <c r="E534" s="381" t="s">
        <v>185</v>
      </c>
      <c r="F534" s="381" t="s">
        <v>185</v>
      </c>
      <c r="G534" s="381" t="s">
        <v>185</v>
      </c>
      <c r="H534" s="381" t="s">
        <v>185</v>
      </c>
      <c r="I534" s="375" t="s">
        <v>185</v>
      </c>
      <c r="J534" s="375" t="s">
        <v>185</v>
      </c>
      <c r="K534" s="376" t="s">
        <v>185</v>
      </c>
    </row>
    <row r="535" spans="2:11" ht="15.5">
      <c r="B535" s="379" t="s">
        <v>612</v>
      </c>
      <c r="C535" s="381" t="s">
        <v>185</v>
      </c>
      <c r="D535" s="381" t="s">
        <v>185</v>
      </c>
      <c r="E535" s="381" t="s">
        <v>185</v>
      </c>
      <c r="F535" s="381" t="s">
        <v>185</v>
      </c>
      <c r="G535" s="381" t="s">
        <v>185</v>
      </c>
      <c r="H535" s="381" t="s">
        <v>185</v>
      </c>
      <c r="I535" s="375" t="s">
        <v>185</v>
      </c>
      <c r="J535" s="375" t="s">
        <v>185</v>
      </c>
      <c r="K535" s="376" t="s">
        <v>185</v>
      </c>
    </row>
    <row r="536" spans="2:11" ht="15.5">
      <c r="B536" s="379" t="s">
        <v>613</v>
      </c>
      <c r="C536" s="381" t="s">
        <v>185</v>
      </c>
      <c r="D536" s="381" t="s">
        <v>185</v>
      </c>
      <c r="E536" s="381" t="s">
        <v>185</v>
      </c>
      <c r="F536" s="381" t="s">
        <v>185</v>
      </c>
      <c r="G536" s="381" t="s">
        <v>185</v>
      </c>
      <c r="H536" s="381" t="s">
        <v>185</v>
      </c>
      <c r="I536" s="375" t="s">
        <v>185</v>
      </c>
      <c r="J536" s="375" t="s">
        <v>185</v>
      </c>
      <c r="K536" s="376" t="s">
        <v>185</v>
      </c>
    </row>
    <row r="537" spans="2:11" ht="15.5">
      <c r="B537" s="379" t="s">
        <v>614</v>
      </c>
      <c r="C537" s="381" t="s">
        <v>185</v>
      </c>
      <c r="D537" s="381" t="s">
        <v>185</v>
      </c>
      <c r="E537" s="381" t="s">
        <v>185</v>
      </c>
      <c r="F537" s="381" t="s">
        <v>185</v>
      </c>
      <c r="G537" s="381" t="s">
        <v>185</v>
      </c>
      <c r="H537" s="381" t="s">
        <v>185</v>
      </c>
      <c r="I537" s="375" t="s">
        <v>185</v>
      </c>
      <c r="J537" s="375" t="s">
        <v>185</v>
      </c>
      <c r="K537" s="376" t="s">
        <v>185</v>
      </c>
    </row>
    <row r="538" spans="2:11" ht="15.5">
      <c r="B538" s="379" t="s">
        <v>615</v>
      </c>
      <c r="C538" s="381" t="s">
        <v>185</v>
      </c>
      <c r="D538" s="381" t="s">
        <v>185</v>
      </c>
      <c r="E538" s="381" t="s">
        <v>185</v>
      </c>
      <c r="F538" s="381" t="s">
        <v>185</v>
      </c>
      <c r="G538" s="381" t="s">
        <v>185</v>
      </c>
      <c r="H538" s="381" t="s">
        <v>185</v>
      </c>
      <c r="I538" s="375" t="s">
        <v>185</v>
      </c>
      <c r="J538" s="375" t="s">
        <v>185</v>
      </c>
      <c r="K538" s="376" t="s">
        <v>185</v>
      </c>
    </row>
    <row r="539" spans="2:11" ht="15.5">
      <c r="B539" s="379" t="s">
        <v>616</v>
      </c>
      <c r="C539" s="381" t="s">
        <v>185</v>
      </c>
      <c r="D539" s="381" t="s">
        <v>185</v>
      </c>
      <c r="E539" s="381" t="s">
        <v>185</v>
      </c>
      <c r="F539" s="381" t="s">
        <v>185</v>
      </c>
      <c r="G539" s="381" t="s">
        <v>185</v>
      </c>
      <c r="H539" s="381" t="s">
        <v>185</v>
      </c>
      <c r="I539" s="375" t="s">
        <v>185</v>
      </c>
      <c r="J539" s="375" t="s">
        <v>185</v>
      </c>
      <c r="K539" s="376" t="s">
        <v>185</v>
      </c>
    </row>
    <row r="540" spans="2:11" ht="15.5">
      <c r="B540" s="379" t="s">
        <v>617</v>
      </c>
      <c r="C540" s="381" t="s">
        <v>185</v>
      </c>
      <c r="D540" s="381" t="s">
        <v>185</v>
      </c>
      <c r="E540" s="381" t="s">
        <v>185</v>
      </c>
      <c r="F540" s="380" t="s">
        <v>185</v>
      </c>
      <c r="G540" s="380" t="s">
        <v>185</v>
      </c>
      <c r="H540" s="380" t="s">
        <v>185</v>
      </c>
      <c r="I540" s="375" t="s">
        <v>185</v>
      </c>
      <c r="J540" s="375" t="s">
        <v>185</v>
      </c>
      <c r="K540" s="376" t="s">
        <v>185</v>
      </c>
    </row>
    <row r="541" spans="2:11" ht="15.5">
      <c r="B541" s="379"/>
      <c r="C541" s="403"/>
      <c r="D541" s="403"/>
      <c r="E541" s="403"/>
      <c r="F541" s="403"/>
      <c r="G541" s="403"/>
      <c r="H541" s="403"/>
      <c r="I541" s="403"/>
      <c r="J541" s="403"/>
      <c r="K541" s="404"/>
    </row>
    <row r="542" spans="2:11" ht="15">
      <c r="B542" s="371" t="s">
        <v>618</v>
      </c>
      <c r="C542" s="380">
        <v>202.2</v>
      </c>
      <c r="D542" s="380">
        <v>98.5</v>
      </c>
      <c r="E542" s="380">
        <v>103.69999999999999</v>
      </c>
      <c r="F542" s="380">
        <v>45.5</v>
      </c>
      <c r="G542" s="389">
        <v>22</v>
      </c>
      <c r="H542" s="380">
        <v>23.5</v>
      </c>
      <c r="I542" s="380">
        <v>156.69999999999999</v>
      </c>
      <c r="J542" s="380">
        <v>76.5</v>
      </c>
      <c r="K542" s="387">
        <v>80.199999999999989</v>
      </c>
    </row>
    <row r="543" spans="2:11" ht="15.5">
      <c r="B543" s="379" t="s">
        <v>619</v>
      </c>
      <c r="C543" s="381">
        <v>42.4</v>
      </c>
      <c r="D543" s="382">
        <v>20.399999999999999</v>
      </c>
      <c r="E543" s="381">
        <v>22</v>
      </c>
      <c r="F543" s="381">
        <v>42.4</v>
      </c>
      <c r="G543" s="382">
        <v>20.399999999999999</v>
      </c>
      <c r="H543" s="381">
        <v>22</v>
      </c>
      <c r="I543" s="375" t="s">
        <v>185</v>
      </c>
      <c r="J543" s="375" t="s">
        <v>185</v>
      </c>
      <c r="K543" s="376" t="s">
        <v>185</v>
      </c>
    </row>
    <row r="544" spans="2:11" ht="15.5">
      <c r="B544" s="379" t="s">
        <v>620</v>
      </c>
      <c r="C544" s="381">
        <v>3.1</v>
      </c>
      <c r="D544" s="382">
        <v>1.6</v>
      </c>
      <c r="E544" s="381">
        <v>1.5</v>
      </c>
      <c r="F544" s="381">
        <v>3.1</v>
      </c>
      <c r="G544" s="382">
        <v>1.6</v>
      </c>
      <c r="H544" s="381">
        <v>1.5</v>
      </c>
      <c r="I544" s="375" t="s">
        <v>185</v>
      </c>
      <c r="J544" s="375" t="s">
        <v>185</v>
      </c>
      <c r="K544" s="376" t="s">
        <v>185</v>
      </c>
    </row>
    <row r="545" spans="2:11" ht="15.5">
      <c r="B545" s="379" t="s">
        <v>621</v>
      </c>
      <c r="C545" s="381" t="s">
        <v>185</v>
      </c>
      <c r="D545" s="381" t="s">
        <v>185</v>
      </c>
      <c r="E545" s="381" t="s">
        <v>185</v>
      </c>
      <c r="F545" s="381" t="s">
        <v>185</v>
      </c>
      <c r="G545" s="381" t="s">
        <v>185</v>
      </c>
      <c r="H545" s="381" t="s">
        <v>185</v>
      </c>
      <c r="I545" s="375" t="s">
        <v>185</v>
      </c>
      <c r="J545" s="375" t="s">
        <v>185</v>
      </c>
      <c r="K545" s="376" t="s">
        <v>185</v>
      </c>
    </row>
    <row r="546" spans="2:11" ht="15.5">
      <c r="B546" s="379" t="s">
        <v>622</v>
      </c>
      <c r="C546" s="381" t="s">
        <v>185</v>
      </c>
      <c r="D546" s="381" t="s">
        <v>185</v>
      </c>
      <c r="E546" s="381" t="s">
        <v>185</v>
      </c>
      <c r="F546" s="381" t="s">
        <v>185</v>
      </c>
      <c r="G546" s="381" t="s">
        <v>185</v>
      </c>
      <c r="H546" s="381" t="s">
        <v>185</v>
      </c>
      <c r="I546" s="375" t="s">
        <v>185</v>
      </c>
      <c r="J546" s="375" t="s">
        <v>185</v>
      </c>
      <c r="K546" s="376" t="s">
        <v>185</v>
      </c>
    </row>
    <row r="547" spans="2:11" ht="15.5">
      <c r="B547" s="379" t="s">
        <v>623</v>
      </c>
      <c r="C547" s="381" t="s">
        <v>185</v>
      </c>
      <c r="D547" s="381" t="s">
        <v>185</v>
      </c>
      <c r="E547" s="381" t="s">
        <v>185</v>
      </c>
      <c r="F547" s="381" t="s">
        <v>185</v>
      </c>
      <c r="G547" s="381" t="s">
        <v>185</v>
      </c>
      <c r="H547" s="381" t="s">
        <v>185</v>
      </c>
      <c r="I547" s="375" t="s">
        <v>185</v>
      </c>
      <c r="J547" s="375" t="s">
        <v>185</v>
      </c>
      <c r="K547" s="376" t="s">
        <v>185</v>
      </c>
    </row>
    <row r="548" spans="2:11" ht="15.5">
      <c r="B548" s="379" t="s">
        <v>624</v>
      </c>
      <c r="C548" s="381" t="s">
        <v>185</v>
      </c>
      <c r="D548" s="381" t="s">
        <v>185</v>
      </c>
      <c r="E548" s="381" t="s">
        <v>185</v>
      </c>
      <c r="F548" s="381" t="s">
        <v>185</v>
      </c>
      <c r="G548" s="381" t="s">
        <v>185</v>
      </c>
      <c r="H548" s="381" t="s">
        <v>185</v>
      </c>
      <c r="I548" s="375" t="s">
        <v>185</v>
      </c>
      <c r="J548" s="375" t="s">
        <v>185</v>
      </c>
      <c r="K548" s="376" t="s">
        <v>185</v>
      </c>
    </row>
    <row r="549" spans="2:11" ht="15.5">
      <c r="B549" s="379" t="s">
        <v>625</v>
      </c>
      <c r="C549" s="381" t="s">
        <v>185</v>
      </c>
      <c r="D549" s="381" t="s">
        <v>185</v>
      </c>
      <c r="E549" s="381" t="s">
        <v>185</v>
      </c>
      <c r="F549" s="381" t="s">
        <v>185</v>
      </c>
      <c r="G549" s="381" t="s">
        <v>185</v>
      </c>
      <c r="H549" s="381" t="s">
        <v>185</v>
      </c>
      <c r="I549" s="375" t="s">
        <v>185</v>
      </c>
      <c r="J549" s="375" t="s">
        <v>185</v>
      </c>
      <c r="K549" s="376" t="s">
        <v>185</v>
      </c>
    </row>
    <row r="550" spans="2:11" ht="15.5">
      <c r="B550" s="379" t="s">
        <v>626</v>
      </c>
      <c r="C550" s="381" t="s">
        <v>185</v>
      </c>
      <c r="D550" s="381" t="s">
        <v>185</v>
      </c>
      <c r="E550" s="381" t="s">
        <v>185</v>
      </c>
      <c r="F550" s="381" t="s">
        <v>185</v>
      </c>
      <c r="G550" s="381" t="s">
        <v>185</v>
      </c>
      <c r="H550" s="381" t="s">
        <v>185</v>
      </c>
      <c r="I550" s="375" t="s">
        <v>185</v>
      </c>
      <c r="J550" s="375" t="s">
        <v>185</v>
      </c>
      <c r="K550" s="376" t="s">
        <v>185</v>
      </c>
    </row>
    <row r="551" spans="2:11" ht="15.5">
      <c r="B551" s="379" t="s">
        <v>627</v>
      </c>
      <c r="C551" s="381" t="s">
        <v>185</v>
      </c>
      <c r="D551" s="381" t="s">
        <v>185</v>
      </c>
      <c r="E551" s="381" t="s">
        <v>185</v>
      </c>
      <c r="F551" s="381" t="s">
        <v>185</v>
      </c>
      <c r="G551" s="381" t="s">
        <v>185</v>
      </c>
      <c r="H551" s="381" t="s">
        <v>185</v>
      </c>
      <c r="I551" s="375" t="s">
        <v>185</v>
      </c>
      <c r="J551" s="375" t="s">
        <v>185</v>
      </c>
      <c r="K551" s="376" t="s">
        <v>185</v>
      </c>
    </row>
    <row r="552" spans="2:11" ht="15.5">
      <c r="B552" s="379" t="s">
        <v>628</v>
      </c>
      <c r="C552" s="381" t="s">
        <v>185</v>
      </c>
      <c r="D552" s="381" t="s">
        <v>185</v>
      </c>
      <c r="E552" s="381" t="s">
        <v>185</v>
      </c>
      <c r="F552" s="381" t="s">
        <v>185</v>
      </c>
      <c r="G552" s="381" t="s">
        <v>185</v>
      </c>
      <c r="H552" s="381" t="s">
        <v>185</v>
      </c>
      <c r="I552" s="375" t="s">
        <v>185</v>
      </c>
      <c r="J552" s="375" t="s">
        <v>185</v>
      </c>
      <c r="K552" s="376" t="s">
        <v>185</v>
      </c>
    </row>
    <row r="553" spans="2:11" ht="15.5">
      <c r="B553" s="379" t="s">
        <v>629</v>
      </c>
      <c r="C553" s="381" t="s">
        <v>185</v>
      </c>
      <c r="D553" s="381" t="s">
        <v>185</v>
      </c>
      <c r="E553" s="381" t="s">
        <v>185</v>
      </c>
      <c r="F553" s="381" t="s">
        <v>185</v>
      </c>
      <c r="G553" s="381" t="s">
        <v>185</v>
      </c>
      <c r="H553" s="381" t="s">
        <v>185</v>
      </c>
      <c r="I553" s="375" t="s">
        <v>185</v>
      </c>
      <c r="J553" s="375" t="s">
        <v>185</v>
      </c>
      <c r="K553" s="376" t="s">
        <v>185</v>
      </c>
    </row>
    <row r="554" spans="2:11" ht="15.5">
      <c r="B554" s="379" t="s">
        <v>630</v>
      </c>
      <c r="C554" s="381" t="s">
        <v>185</v>
      </c>
      <c r="D554" s="381" t="s">
        <v>185</v>
      </c>
      <c r="E554" s="381" t="s">
        <v>185</v>
      </c>
      <c r="F554" s="381" t="s">
        <v>185</v>
      </c>
      <c r="G554" s="381" t="s">
        <v>185</v>
      </c>
      <c r="H554" s="381" t="s">
        <v>185</v>
      </c>
      <c r="I554" s="375" t="s">
        <v>185</v>
      </c>
      <c r="J554" s="375" t="s">
        <v>185</v>
      </c>
      <c r="K554" s="376" t="s">
        <v>185</v>
      </c>
    </row>
    <row r="555" spans="2:11" ht="15.5">
      <c r="B555" s="379" t="s">
        <v>631</v>
      </c>
      <c r="C555" s="381" t="s">
        <v>185</v>
      </c>
      <c r="D555" s="381" t="s">
        <v>185</v>
      </c>
      <c r="E555" s="381" t="s">
        <v>185</v>
      </c>
      <c r="F555" s="381" t="s">
        <v>185</v>
      </c>
      <c r="G555" s="381" t="s">
        <v>185</v>
      </c>
      <c r="H555" s="381" t="s">
        <v>185</v>
      </c>
      <c r="I555" s="375" t="s">
        <v>185</v>
      </c>
      <c r="J555" s="375" t="s">
        <v>185</v>
      </c>
      <c r="K555" s="376" t="s">
        <v>185</v>
      </c>
    </row>
    <row r="556" spans="2:11" ht="15.5">
      <c r="B556" s="379" t="s">
        <v>632</v>
      </c>
      <c r="C556" s="381" t="s">
        <v>185</v>
      </c>
      <c r="D556" s="381" t="s">
        <v>185</v>
      </c>
      <c r="E556" s="381" t="s">
        <v>185</v>
      </c>
      <c r="F556" s="381" t="s">
        <v>185</v>
      </c>
      <c r="G556" s="381" t="s">
        <v>185</v>
      </c>
      <c r="H556" s="381" t="s">
        <v>185</v>
      </c>
      <c r="I556" s="375" t="s">
        <v>185</v>
      </c>
      <c r="J556" s="375" t="s">
        <v>185</v>
      </c>
      <c r="K556" s="376" t="s">
        <v>185</v>
      </c>
    </row>
    <row r="557" spans="2:11" ht="15.5">
      <c r="B557" s="379" t="s">
        <v>633</v>
      </c>
      <c r="C557" s="381" t="s">
        <v>185</v>
      </c>
      <c r="D557" s="381" t="s">
        <v>185</v>
      </c>
      <c r="E557" s="381" t="s">
        <v>185</v>
      </c>
      <c r="F557" s="381" t="s">
        <v>185</v>
      </c>
      <c r="G557" s="381" t="s">
        <v>185</v>
      </c>
      <c r="H557" s="381" t="s">
        <v>185</v>
      </c>
      <c r="I557" s="375" t="s">
        <v>185</v>
      </c>
      <c r="J557" s="375" t="s">
        <v>185</v>
      </c>
      <c r="K557" s="376" t="s">
        <v>185</v>
      </c>
    </row>
    <row r="558" spans="2:11" ht="15.5">
      <c r="B558" s="379"/>
      <c r="C558" s="408"/>
      <c r="D558" s="408"/>
      <c r="E558" s="408"/>
      <c r="F558" s="408"/>
      <c r="G558" s="408"/>
      <c r="H558" s="408"/>
      <c r="I558" s="408"/>
      <c r="J558" s="408"/>
      <c r="K558" s="409"/>
    </row>
    <row r="559" spans="2:11" ht="15">
      <c r="B559" s="371" t="s">
        <v>634</v>
      </c>
      <c r="C559" s="380">
        <v>104.2</v>
      </c>
      <c r="D559" s="380">
        <v>51.6</v>
      </c>
      <c r="E559" s="380">
        <v>52.6</v>
      </c>
      <c r="F559" s="380">
        <v>30.2</v>
      </c>
      <c r="G559" s="389">
        <v>14.8</v>
      </c>
      <c r="H559" s="380">
        <v>15.399999999999999</v>
      </c>
      <c r="I559" s="380">
        <v>74</v>
      </c>
      <c r="J559" s="380">
        <v>36.799999999999997</v>
      </c>
      <c r="K559" s="387">
        <v>37.200000000000003</v>
      </c>
    </row>
    <row r="560" spans="2:11" ht="15.5">
      <c r="B560" s="379" t="s">
        <v>635</v>
      </c>
      <c r="C560" s="381">
        <v>19.899999999999999</v>
      </c>
      <c r="D560" s="382">
        <v>9.9</v>
      </c>
      <c r="E560" s="381">
        <v>9.9999999999999982</v>
      </c>
      <c r="F560" s="381">
        <v>19.899999999999999</v>
      </c>
      <c r="G560" s="382">
        <v>9.9</v>
      </c>
      <c r="H560" s="381">
        <v>9.9999999999999982</v>
      </c>
      <c r="I560" s="375" t="s">
        <v>185</v>
      </c>
      <c r="J560" s="375" t="s">
        <v>185</v>
      </c>
      <c r="K560" s="376" t="s">
        <v>185</v>
      </c>
    </row>
    <row r="561" spans="2:11" ht="15.5">
      <c r="B561" s="379" t="s">
        <v>636</v>
      </c>
      <c r="C561" s="381">
        <v>10.199999999999999</v>
      </c>
      <c r="D561" s="382">
        <v>4.9000000000000004</v>
      </c>
      <c r="E561" s="381">
        <v>5.2999999999999989</v>
      </c>
      <c r="F561" s="381">
        <v>10.199999999999999</v>
      </c>
      <c r="G561" s="382">
        <v>4.9000000000000004</v>
      </c>
      <c r="H561" s="381">
        <v>5.2999999999999989</v>
      </c>
      <c r="I561" s="375" t="s">
        <v>185</v>
      </c>
      <c r="J561" s="375" t="s">
        <v>185</v>
      </c>
      <c r="K561" s="376" t="s">
        <v>185</v>
      </c>
    </row>
    <row r="562" spans="2:11" ht="15.5">
      <c r="B562" s="379" t="s">
        <v>637</v>
      </c>
      <c r="C562" s="381">
        <v>0.1</v>
      </c>
      <c r="D562" s="382">
        <v>0</v>
      </c>
      <c r="E562" s="381">
        <v>0.1</v>
      </c>
      <c r="F562" s="381">
        <v>0.1</v>
      </c>
      <c r="G562" s="382">
        <v>0</v>
      </c>
      <c r="H562" s="381">
        <v>0.1</v>
      </c>
      <c r="I562" s="375" t="s">
        <v>185</v>
      </c>
      <c r="J562" s="375" t="s">
        <v>185</v>
      </c>
      <c r="K562" s="376" t="s">
        <v>185</v>
      </c>
    </row>
    <row r="563" spans="2:11" ht="15.5">
      <c r="B563" s="379"/>
      <c r="C563" s="373"/>
      <c r="D563" s="373"/>
      <c r="E563" s="373"/>
      <c r="F563" s="373"/>
      <c r="G563" s="373"/>
      <c r="H563" s="373"/>
      <c r="I563" s="373"/>
      <c r="J563" s="373"/>
      <c r="K563" s="374"/>
    </row>
    <row r="564" spans="2:11" ht="15">
      <c r="B564" s="371" t="s">
        <v>638</v>
      </c>
      <c r="C564" s="380">
        <v>28.6</v>
      </c>
      <c r="D564" s="380">
        <v>14</v>
      </c>
      <c r="E564" s="380">
        <v>14.600000000000001</v>
      </c>
      <c r="F564" s="380">
        <v>9.6</v>
      </c>
      <c r="G564" s="389">
        <v>4.7</v>
      </c>
      <c r="H564" s="380">
        <v>4.8999999999999995</v>
      </c>
      <c r="I564" s="380">
        <v>19</v>
      </c>
      <c r="J564" s="380">
        <v>9.3000000000000007</v>
      </c>
      <c r="K564" s="387">
        <v>9.6999999999999993</v>
      </c>
    </row>
    <row r="565" spans="2:11" ht="15.5">
      <c r="B565" s="379" t="s">
        <v>639</v>
      </c>
      <c r="C565" s="381">
        <v>8</v>
      </c>
      <c r="D565" s="382">
        <v>3.9</v>
      </c>
      <c r="E565" s="381">
        <v>4.0999999999999996</v>
      </c>
      <c r="F565" s="381">
        <v>8</v>
      </c>
      <c r="G565" s="382">
        <v>3.9</v>
      </c>
      <c r="H565" s="381">
        <v>4.0999999999999996</v>
      </c>
      <c r="I565" s="375" t="s">
        <v>185</v>
      </c>
      <c r="J565" s="375" t="s">
        <v>185</v>
      </c>
      <c r="K565" s="376" t="s">
        <v>185</v>
      </c>
    </row>
    <row r="566" spans="2:11" ht="15.5">
      <c r="B566" s="379" t="s">
        <v>640</v>
      </c>
      <c r="C566" s="381">
        <v>1.6</v>
      </c>
      <c r="D566" s="382">
        <v>0.8</v>
      </c>
      <c r="E566" s="381">
        <v>0.8</v>
      </c>
      <c r="F566" s="381">
        <v>1.6</v>
      </c>
      <c r="G566" s="382">
        <v>0.8</v>
      </c>
      <c r="H566" s="381">
        <v>0.8</v>
      </c>
      <c r="I566" s="375" t="s">
        <v>185</v>
      </c>
      <c r="J566" s="375" t="s">
        <v>185</v>
      </c>
      <c r="K566" s="376" t="s">
        <v>185</v>
      </c>
    </row>
    <row r="567" spans="2:11" ht="15.5">
      <c r="B567" s="379"/>
      <c r="C567" s="372"/>
      <c r="D567" s="372"/>
      <c r="E567" s="372"/>
      <c r="F567" s="372"/>
      <c r="G567" s="372"/>
      <c r="H567" s="372"/>
      <c r="I567" s="372"/>
      <c r="J567" s="372"/>
      <c r="K567" s="378"/>
    </row>
    <row r="568" spans="2:11" ht="15">
      <c r="B568" s="371" t="s">
        <v>641</v>
      </c>
      <c r="C568" s="380">
        <v>34.200000000000003</v>
      </c>
      <c r="D568" s="380">
        <v>16.5</v>
      </c>
      <c r="E568" s="380">
        <v>17.700000000000003</v>
      </c>
      <c r="F568" s="380">
        <v>24.8</v>
      </c>
      <c r="G568" s="389">
        <v>11.9</v>
      </c>
      <c r="H568" s="380">
        <v>12.9</v>
      </c>
      <c r="I568" s="380">
        <v>9.4000000000000021</v>
      </c>
      <c r="J568" s="380">
        <v>4.5999999999999996</v>
      </c>
      <c r="K568" s="387">
        <v>4.8000000000000025</v>
      </c>
    </row>
    <row r="569" spans="2:11" ht="15.5">
      <c r="B569" s="379" t="s">
        <v>642</v>
      </c>
      <c r="C569" s="381">
        <v>23.5</v>
      </c>
      <c r="D569" s="382">
        <v>11.3</v>
      </c>
      <c r="E569" s="381">
        <v>12.2</v>
      </c>
      <c r="F569" s="381">
        <v>23.5</v>
      </c>
      <c r="G569" s="382">
        <v>11.3</v>
      </c>
      <c r="H569" s="381">
        <v>12.2</v>
      </c>
      <c r="I569" s="375" t="s">
        <v>185</v>
      </c>
      <c r="J569" s="375" t="s">
        <v>185</v>
      </c>
      <c r="K569" s="376" t="s">
        <v>185</v>
      </c>
    </row>
    <row r="570" spans="2:11" ht="15.5">
      <c r="B570" s="379" t="s">
        <v>643</v>
      </c>
      <c r="C570" s="381">
        <v>1.3</v>
      </c>
      <c r="D570" s="382">
        <v>0.6</v>
      </c>
      <c r="E570" s="381">
        <v>0.70000000000000007</v>
      </c>
      <c r="F570" s="381">
        <v>1.3</v>
      </c>
      <c r="G570" s="382">
        <v>0.6</v>
      </c>
      <c r="H570" s="381">
        <v>0.70000000000000007</v>
      </c>
      <c r="I570" s="375" t="s">
        <v>185</v>
      </c>
      <c r="J570" s="375" t="s">
        <v>185</v>
      </c>
      <c r="K570" s="376" t="s">
        <v>185</v>
      </c>
    </row>
    <row r="571" spans="2:11" ht="15.5">
      <c r="B571" s="379"/>
      <c r="C571" s="391"/>
      <c r="D571" s="391"/>
      <c r="E571" s="391"/>
      <c r="F571" s="391"/>
      <c r="G571" s="391"/>
      <c r="H571" s="391"/>
      <c r="I571" s="391"/>
      <c r="J571" s="391"/>
      <c r="K571" s="392"/>
    </row>
    <row r="572" spans="2:11" ht="15">
      <c r="B572" s="371" t="s">
        <v>644</v>
      </c>
      <c r="C572" s="380">
        <v>43.8</v>
      </c>
      <c r="D572" s="380">
        <v>21.3</v>
      </c>
      <c r="E572" s="380">
        <v>22.499999999999996</v>
      </c>
      <c r="F572" s="380">
        <v>9.6</v>
      </c>
      <c r="G572" s="389">
        <v>4.7</v>
      </c>
      <c r="H572" s="380">
        <v>4.8999999999999995</v>
      </c>
      <c r="I572" s="380">
        <v>34.199999999999996</v>
      </c>
      <c r="J572" s="380">
        <v>16.600000000000001</v>
      </c>
      <c r="K572" s="387">
        <v>17.599999999999994</v>
      </c>
    </row>
    <row r="573" spans="2:11" ht="15.5">
      <c r="B573" s="379" t="s">
        <v>645</v>
      </c>
      <c r="C573" s="381">
        <v>5.9</v>
      </c>
      <c r="D573" s="382">
        <v>2.9</v>
      </c>
      <c r="E573" s="381">
        <v>3.0000000000000004</v>
      </c>
      <c r="F573" s="381">
        <v>5.9</v>
      </c>
      <c r="G573" s="382">
        <v>2.9</v>
      </c>
      <c r="H573" s="381">
        <v>3.0000000000000004</v>
      </c>
      <c r="I573" s="375" t="s">
        <v>185</v>
      </c>
      <c r="J573" s="375" t="s">
        <v>185</v>
      </c>
      <c r="K573" s="376" t="s">
        <v>185</v>
      </c>
    </row>
    <row r="574" spans="2:11" ht="15.5">
      <c r="B574" s="379" t="s">
        <v>646</v>
      </c>
      <c r="C574" s="381">
        <v>1.2</v>
      </c>
      <c r="D574" s="382">
        <v>0.6</v>
      </c>
      <c r="E574" s="381">
        <v>0.6</v>
      </c>
      <c r="F574" s="381">
        <v>1.2</v>
      </c>
      <c r="G574" s="382">
        <v>0.6</v>
      </c>
      <c r="H574" s="381">
        <v>0.6</v>
      </c>
      <c r="I574" s="375" t="s">
        <v>185</v>
      </c>
      <c r="J574" s="375" t="s">
        <v>185</v>
      </c>
      <c r="K574" s="376" t="s">
        <v>185</v>
      </c>
    </row>
    <row r="575" spans="2:11" ht="15.5">
      <c r="B575" s="379" t="s">
        <v>647</v>
      </c>
      <c r="C575" s="381">
        <v>2.5</v>
      </c>
      <c r="D575" s="382">
        <v>1.2</v>
      </c>
      <c r="E575" s="381">
        <v>1.3</v>
      </c>
      <c r="F575" s="381">
        <v>2.5</v>
      </c>
      <c r="G575" s="382">
        <v>1.2</v>
      </c>
      <c r="H575" s="381">
        <v>1.3</v>
      </c>
      <c r="I575" s="375" t="s">
        <v>185</v>
      </c>
      <c r="J575" s="375" t="s">
        <v>185</v>
      </c>
      <c r="K575" s="376" t="s">
        <v>185</v>
      </c>
    </row>
    <row r="576" spans="2:11" ht="15.5">
      <c r="B576" s="379"/>
      <c r="C576" s="384"/>
      <c r="D576" s="384"/>
      <c r="E576" s="384"/>
      <c r="F576" s="384"/>
      <c r="G576" s="384"/>
      <c r="H576" s="384"/>
      <c r="I576" s="384"/>
      <c r="J576" s="384"/>
      <c r="K576" s="393"/>
    </row>
    <row r="577" spans="1:11" ht="15">
      <c r="B577" s="371" t="s">
        <v>648</v>
      </c>
      <c r="C577" s="380">
        <v>55.8</v>
      </c>
      <c r="D577" s="380">
        <v>27</v>
      </c>
      <c r="E577" s="380">
        <v>28.799999999999997</v>
      </c>
      <c r="F577" s="380">
        <v>55.8</v>
      </c>
      <c r="G577" s="380">
        <v>27</v>
      </c>
      <c r="H577" s="380">
        <v>28.799999999999997</v>
      </c>
      <c r="I577" s="375" t="s">
        <v>185</v>
      </c>
      <c r="J577" s="375" t="s">
        <v>185</v>
      </c>
      <c r="K577" s="376" t="s">
        <v>185</v>
      </c>
    </row>
    <row r="578" spans="1:11" ht="15.5">
      <c r="B578" s="379" t="s">
        <v>649</v>
      </c>
      <c r="C578" s="381">
        <v>53.6</v>
      </c>
      <c r="D578" s="382">
        <v>26</v>
      </c>
      <c r="E578" s="381">
        <v>27.6</v>
      </c>
      <c r="F578" s="381">
        <v>53.6</v>
      </c>
      <c r="G578" s="382">
        <v>26</v>
      </c>
      <c r="H578" s="381">
        <v>27.6</v>
      </c>
      <c r="I578" s="375" t="s">
        <v>185</v>
      </c>
      <c r="J578" s="375" t="s">
        <v>185</v>
      </c>
      <c r="K578" s="376" t="s">
        <v>185</v>
      </c>
    </row>
    <row r="579" spans="1:11" ht="15.5">
      <c r="B579" s="379" t="s">
        <v>650</v>
      </c>
      <c r="C579" s="381">
        <v>2.2000000000000002</v>
      </c>
      <c r="D579" s="382">
        <v>1</v>
      </c>
      <c r="E579" s="381">
        <v>1.2000000000000002</v>
      </c>
      <c r="F579" s="381">
        <v>2.2000000000000002</v>
      </c>
      <c r="G579" s="382">
        <v>1</v>
      </c>
      <c r="H579" s="381">
        <v>1.2000000000000002</v>
      </c>
      <c r="I579" s="375" t="s">
        <v>185</v>
      </c>
      <c r="J579" s="375" t="s">
        <v>185</v>
      </c>
      <c r="K579" s="376" t="s">
        <v>185</v>
      </c>
    </row>
    <row r="580" spans="1:11" ht="15.5">
      <c r="B580" s="379"/>
      <c r="C580" s="403"/>
      <c r="D580" s="403"/>
      <c r="E580" s="403"/>
      <c r="F580" s="403"/>
      <c r="G580" s="403"/>
      <c r="H580" s="403"/>
      <c r="I580" s="403"/>
      <c r="J580" s="403"/>
      <c r="K580" s="404"/>
    </row>
    <row r="581" spans="1:11" ht="15">
      <c r="A581" s="106" t="s">
        <v>948</v>
      </c>
      <c r="B581" s="371" t="s">
        <v>651</v>
      </c>
      <c r="C581" s="380">
        <v>256.7</v>
      </c>
      <c r="D581" s="380">
        <v>127.79999999999998</v>
      </c>
      <c r="E581" s="380">
        <v>128.9</v>
      </c>
      <c r="F581" s="380">
        <v>56.4</v>
      </c>
      <c r="G581" s="380">
        <v>27.900000000000002</v>
      </c>
      <c r="H581" s="380">
        <v>28.499999999999996</v>
      </c>
      <c r="I581" s="380">
        <v>200.3</v>
      </c>
      <c r="J581" s="380">
        <v>99.899999999999977</v>
      </c>
      <c r="K581" s="387">
        <v>100.40000000000003</v>
      </c>
    </row>
    <row r="582" spans="1:11" ht="15.5">
      <c r="B582" s="377" t="s">
        <v>271</v>
      </c>
      <c r="C582" s="381"/>
      <c r="D582" s="382"/>
      <c r="E582" s="381"/>
      <c r="F582" s="382"/>
      <c r="G582" s="382"/>
      <c r="H582" s="382"/>
      <c r="I582" s="382"/>
      <c r="J582" s="382"/>
      <c r="K582" s="412"/>
    </row>
    <row r="583" spans="1:11" ht="15">
      <c r="B583" s="371" t="s">
        <v>652</v>
      </c>
      <c r="C583" s="380">
        <v>93.1</v>
      </c>
      <c r="D583" s="380">
        <v>46.4</v>
      </c>
      <c r="E583" s="380">
        <v>46.699999999999996</v>
      </c>
      <c r="F583" s="380">
        <v>13.4</v>
      </c>
      <c r="G583" s="389">
        <v>6.7</v>
      </c>
      <c r="H583" s="380">
        <v>6.7</v>
      </c>
      <c r="I583" s="380">
        <v>79.699999999999989</v>
      </c>
      <c r="J583" s="380">
        <v>39.699999999999996</v>
      </c>
      <c r="K583" s="387">
        <v>39.999999999999993</v>
      </c>
    </row>
    <row r="584" spans="1:11" ht="15.5">
      <c r="B584" s="379" t="s">
        <v>653</v>
      </c>
      <c r="C584" s="381">
        <v>12</v>
      </c>
      <c r="D584" s="382">
        <v>6</v>
      </c>
      <c r="E584" s="381">
        <v>6</v>
      </c>
      <c r="F584" s="381">
        <v>12</v>
      </c>
      <c r="G584" s="382">
        <v>6</v>
      </c>
      <c r="H584" s="381">
        <v>6</v>
      </c>
      <c r="I584" s="375" t="s">
        <v>185</v>
      </c>
      <c r="J584" s="375" t="s">
        <v>185</v>
      </c>
      <c r="K584" s="376" t="s">
        <v>185</v>
      </c>
    </row>
    <row r="585" spans="1:11" ht="15.5">
      <c r="B585" s="379" t="s">
        <v>472</v>
      </c>
      <c r="C585" s="381">
        <v>1.4</v>
      </c>
      <c r="D585" s="382">
        <v>0.7</v>
      </c>
      <c r="E585" s="381">
        <v>0.7</v>
      </c>
      <c r="F585" s="381">
        <v>1.4</v>
      </c>
      <c r="G585" s="382">
        <v>0.7</v>
      </c>
      <c r="H585" s="381">
        <v>0.7</v>
      </c>
      <c r="I585" s="375" t="s">
        <v>185</v>
      </c>
      <c r="J585" s="375" t="s">
        <v>185</v>
      </c>
      <c r="K585" s="376" t="s">
        <v>185</v>
      </c>
    </row>
    <row r="586" spans="1:11" ht="15.5">
      <c r="B586" s="379"/>
      <c r="C586" s="408"/>
      <c r="D586" s="408"/>
      <c r="E586" s="408"/>
      <c r="F586" s="408"/>
      <c r="G586" s="408"/>
      <c r="H586" s="408"/>
      <c r="I586" s="408"/>
      <c r="J586" s="408"/>
      <c r="K586" s="409"/>
    </row>
    <row r="587" spans="1:11" ht="15">
      <c r="B587" s="371" t="s">
        <v>654</v>
      </c>
      <c r="C587" s="380">
        <v>77.7</v>
      </c>
      <c r="D587" s="380">
        <v>39.299999999999997</v>
      </c>
      <c r="E587" s="380">
        <v>38.400000000000006</v>
      </c>
      <c r="F587" s="380">
        <v>13.6</v>
      </c>
      <c r="G587" s="389">
        <v>6.8</v>
      </c>
      <c r="H587" s="380">
        <v>6.8</v>
      </c>
      <c r="I587" s="380">
        <v>64.100000000000009</v>
      </c>
      <c r="J587" s="380">
        <v>32.5</v>
      </c>
      <c r="K587" s="387">
        <v>31.600000000000009</v>
      </c>
    </row>
    <row r="588" spans="1:11" ht="15.5">
      <c r="B588" s="379" t="s">
        <v>655</v>
      </c>
      <c r="C588" s="381">
        <v>13.2</v>
      </c>
      <c r="D588" s="382">
        <v>6.6</v>
      </c>
      <c r="E588" s="381">
        <v>6.6</v>
      </c>
      <c r="F588" s="381">
        <v>13.2</v>
      </c>
      <c r="G588" s="382">
        <v>6.6</v>
      </c>
      <c r="H588" s="381">
        <v>6.6</v>
      </c>
      <c r="I588" s="375" t="s">
        <v>185</v>
      </c>
      <c r="J588" s="375" t="s">
        <v>185</v>
      </c>
      <c r="K588" s="376" t="s">
        <v>185</v>
      </c>
    </row>
    <row r="589" spans="1:11" ht="15.5">
      <c r="B589" s="379" t="s">
        <v>656</v>
      </c>
      <c r="C589" s="381">
        <v>0.4</v>
      </c>
      <c r="D589" s="382">
        <v>0.2</v>
      </c>
      <c r="E589" s="381">
        <v>0.2</v>
      </c>
      <c r="F589" s="381">
        <v>0.4</v>
      </c>
      <c r="G589" s="382">
        <v>0.2</v>
      </c>
      <c r="H589" s="381">
        <v>0.2</v>
      </c>
      <c r="I589" s="375" t="s">
        <v>185</v>
      </c>
      <c r="J589" s="375" t="s">
        <v>185</v>
      </c>
      <c r="K589" s="376" t="s">
        <v>185</v>
      </c>
    </row>
    <row r="590" spans="1:11" ht="15.5">
      <c r="B590" s="379"/>
      <c r="C590" s="391"/>
      <c r="D590" s="391"/>
      <c r="E590" s="391"/>
      <c r="F590" s="391"/>
      <c r="G590" s="391"/>
      <c r="H590" s="391"/>
      <c r="I590" s="391"/>
      <c r="J590" s="391"/>
      <c r="K590" s="392"/>
    </row>
    <row r="591" spans="1:11" ht="15">
      <c r="B591" s="371" t="s">
        <v>657</v>
      </c>
      <c r="C591" s="380">
        <v>41.1</v>
      </c>
      <c r="D591" s="380">
        <v>20.2</v>
      </c>
      <c r="E591" s="380">
        <v>20.900000000000002</v>
      </c>
      <c r="F591" s="380">
        <v>9.3000000000000007</v>
      </c>
      <c r="G591" s="389">
        <v>4.5999999999999996</v>
      </c>
      <c r="H591" s="380">
        <v>4.7000000000000011</v>
      </c>
      <c r="I591" s="380">
        <v>31.8</v>
      </c>
      <c r="J591" s="380">
        <v>15.6</v>
      </c>
      <c r="K591" s="387">
        <v>16.200000000000003</v>
      </c>
    </row>
    <row r="592" spans="1:11" ht="15.5">
      <c r="B592" s="379" t="s">
        <v>658</v>
      </c>
      <c r="C592" s="381">
        <v>9.3000000000000007</v>
      </c>
      <c r="D592" s="382">
        <v>4.5999999999999996</v>
      </c>
      <c r="E592" s="381">
        <v>4.7000000000000011</v>
      </c>
      <c r="F592" s="381">
        <v>9.3000000000000007</v>
      </c>
      <c r="G592" s="382">
        <v>4.5999999999999996</v>
      </c>
      <c r="H592" s="381">
        <v>4.7000000000000011</v>
      </c>
      <c r="I592" s="375" t="s">
        <v>185</v>
      </c>
      <c r="J592" s="375" t="s">
        <v>185</v>
      </c>
      <c r="K592" s="376" t="s">
        <v>185</v>
      </c>
    </row>
    <row r="593" spans="1:11" ht="15.5">
      <c r="B593" s="379"/>
      <c r="C593" s="391"/>
      <c r="D593" s="391"/>
      <c r="E593" s="391"/>
      <c r="F593" s="391"/>
      <c r="G593" s="391"/>
      <c r="H593" s="391"/>
      <c r="I593" s="391"/>
      <c r="J593" s="391"/>
      <c r="K593" s="392"/>
    </row>
    <row r="594" spans="1:11" ht="15">
      <c r="B594" s="371" t="s">
        <v>659</v>
      </c>
      <c r="C594" s="380">
        <v>44.8</v>
      </c>
      <c r="D594" s="380">
        <v>21.9</v>
      </c>
      <c r="E594" s="380">
        <v>22.9</v>
      </c>
      <c r="F594" s="380">
        <v>20.100000000000001</v>
      </c>
      <c r="G594" s="389">
        <v>9.8000000000000007</v>
      </c>
      <c r="H594" s="380">
        <v>10.3</v>
      </c>
      <c r="I594" s="380">
        <v>24.699999999999996</v>
      </c>
      <c r="J594" s="380">
        <v>12.099999999999998</v>
      </c>
      <c r="K594" s="387">
        <v>12.599999999999998</v>
      </c>
    </row>
    <row r="595" spans="1:11" ht="15.5">
      <c r="B595" s="379" t="s">
        <v>660</v>
      </c>
      <c r="C595" s="381">
        <v>11.2</v>
      </c>
      <c r="D595" s="382">
        <v>5.5</v>
      </c>
      <c r="E595" s="381">
        <v>5.6999999999999993</v>
      </c>
      <c r="F595" s="381">
        <v>11.2</v>
      </c>
      <c r="G595" s="382">
        <v>5.5</v>
      </c>
      <c r="H595" s="381">
        <v>5.6999999999999993</v>
      </c>
      <c r="I595" s="375" t="s">
        <v>185</v>
      </c>
      <c r="J595" s="375" t="s">
        <v>185</v>
      </c>
      <c r="K595" s="376" t="s">
        <v>185</v>
      </c>
    </row>
    <row r="596" spans="1:11" ht="15.5">
      <c r="B596" s="379" t="s">
        <v>661</v>
      </c>
      <c r="C596" s="381">
        <v>6.5</v>
      </c>
      <c r="D596" s="382">
        <v>3.2</v>
      </c>
      <c r="E596" s="381">
        <v>3.3</v>
      </c>
      <c r="F596" s="381">
        <v>6.5</v>
      </c>
      <c r="G596" s="382">
        <v>3.2</v>
      </c>
      <c r="H596" s="381">
        <v>3.3</v>
      </c>
      <c r="I596" s="375" t="s">
        <v>185</v>
      </c>
      <c r="J596" s="375" t="s">
        <v>185</v>
      </c>
      <c r="K596" s="376" t="s">
        <v>185</v>
      </c>
    </row>
    <row r="597" spans="1:11" ht="15.5">
      <c r="B597" s="379" t="s">
        <v>662</v>
      </c>
      <c r="C597" s="381">
        <v>0.2</v>
      </c>
      <c r="D597" s="382">
        <v>0.1</v>
      </c>
      <c r="E597" s="381">
        <v>0.1</v>
      </c>
      <c r="F597" s="381">
        <v>0.2</v>
      </c>
      <c r="G597" s="382">
        <v>0.1</v>
      </c>
      <c r="H597" s="381">
        <v>0.1</v>
      </c>
      <c r="I597" s="375" t="s">
        <v>185</v>
      </c>
      <c r="J597" s="375" t="s">
        <v>185</v>
      </c>
      <c r="K597" s="376" t="s">
        <v>185</v>
      </c>
    </row>
    <row r="598" spans="1:11" ht="15.5">
      <c r="B598" s="379" t="s">
        <v>663</v>
      </c>
      <c r="C598" s="381">
        <v>1</v>
      </c>
      <c r="D598" s="382">
        <v>0.5</v>
      </c>
      <c r="E598" s="381">
        <v>0.5</v>
      </c>
      <c r="F598" s="381">
        <v>1</v>
      </c>
      <c r="G598" s="382">
        <v>0.5</v>
      </c>
      <c r="H598" s="381">
        <v>0.5</v>
      </c>
      <c r="I598" s="375" t="s">
        <v>185</v>
      </c>
      <c r="J598" s="375" t="s">
        <v>185</v>
      </c>
      <c r="K598" s="376" t="s">
        <v>185</v>
      </c>
    </row>
    <row r="599" spans="1:11" ht="15.5">
      <c r="B599" s="379" t="s">
        <v>664</v>
      </c>
      <c r="C599" s="381">
        <v>0.5</v>
      </c>
      <c r="D599" s="382">
        <v>0.2</v>
      </c>
      <c r="E599" s="381">
        <v>0.3</v>
      </c>
      <c r="F599" s="381">
        <v>0.5</v>
      </c>
      <c r="G599" s="382">
        <v>0.2</v>
      </c>
      <c r="H599" s="381">
        <v>0.3</v>
      </c>
      <c r="I599" s="375" t="s">
        <v>185</v>
      </c>
      <c r="J599" s="375" t="s">
        <v>185</v>
      </c>
      <c r="K599" s="376" t="s">
        <v>185</v>
      </c>
    </row>
    <row r="600" spans="1:11" ht="15.5">
      <c r="B600" s="379" t="s">
        <v>665</v>
      </c>
      <c r="C600" s="381">
        <v>0.7</v>
      </c>
      <c r="D600" s="382">
        <v>0.3</v>
      </c>
      <c r="E600" s="381">
        <v>0.39999999999999997</v>
      </c>
      <c r="F600" s="381">
        <v>0.7</v>
      </c>
      <c r="G600" s="382">
        <v>0.3</v>
      </c>
      <c r="H600" s="381">
        <v>0.39999999999999997</v>
      </c>
      <c r="I600" s="375" t="s">
        <v>185</v>
      </c>
      <c r="J600" s="375" t="s">
        <v>185</v>
      </c>
      <c r="K600" s="376" t="s">
        <v>185</v>
      </c>
    </row>
    <row r="601" spans="1:11" ht="15.5">
      <c r="B601" s="379"/>
      <c r="C601" s="384"/>
      <c r="D601" s="384"/>
      <c r="E601" s="384"/>
      <c r="F601" s="384"/>
      <c r="G601" s="384"/>
      <c r="H601" s="384"/>
      <c r="I601" s="384"/>
      <c r="J601" s="384"/>
      <c r="K601" s="393"/>
    </row>
    <row r="602" spans="1:11" ht="15">
      <c r="A602" s="106" t="s">
        <v>938</v>
      </c>
      <c r="B602" s="371" t="s">
        <v>666</v>
      </c>
      <c r="C602" s="398">
        <v>318.60000000000002</v>
      </c>
      <c r="D602" s="398">
        <v>160.30000000000001</v>
      </c>
      <c r="E602" s="398">
        <v>158.30000000000001</v>
      </c>
      <c r="F602" s="380">
        <v>109</v>
      </c>
      <c r="G602" s="380">
        <v>54.3</v>
      </c>
      <c r="H602" s="398">
        <v>54.7</v>
      </c>
      <c r="I602" s="380">
        <v>209.6</v>
      </c>
      <c r="J602" s="380">
        <v>106</v>
      </c>
      <c r="K602" s="387">
        <v>103.6</v>
      </c>
    </row>
    <row r="603" spans="1:11" ht="15.5">
      <c r="B603" s="377" t="s">
        <v>271</v>
      </c>
      <c r="C603" s="381"/>
      <c r="D603" s="382"/>
      <c r="E603" s="381"/>
      <c r="F603" s="382"/>
      <c r="G603" s="382"/>
      <c r="H603" s="382"/>
      <c r="I603" s="382"/>
      <c r="J603" s="382"/>
      <c r="K603" s="412"/>
    </row>
    <row r="604" spans="1:11" ht="15">
      <c r="B604" s="371" t="s">
        <v>667</v>
      </c>
      <c r="C604" s="380">
        <v>46.7</v>
      </c>
      <c r="D604" s="380">
        <v>23.6</v>
      </c>
      <c r="E604" s="380">
        <v>23.1</v>
      </c>
      <c r="F604" s="380">
        <v>9.5</v>
      </c>
      <c r="G604" s="389">
        <v>4.8</v>
      </c>
      <c r="H604" s="380">
        <v>4.7</v>
      </c>
      <c r="I604" s="380">
        <v>37.200000000000003</v>
      </c>
      <c r="J604" s="380">
        <v>18.8</v>
      </c>
      <c r="K604" s="387">
        <v>18.400000000000002</v>
      </c>
    </row>
    <row r="605" spans="1:11" ht="15.5">
      <c r="B605" s="379" t="s">
        <v>668</v>
      </c>
      <c r="C605" s="381">
        <v>9.1</v>
      </c>
      <c r="D605" s="382">
        <v>4.5999999999999996</v>
      </c>
      <c r="E605" s="381">
        <v>4.5</v>
      </c>
      <c r="F605" s="381">
        <v>9.1</v>
      </c>
      <c r="G605" s="382">
        <v>4.5999999999999996</v>
      </c>
      <c r="H605" s="381">
        <v>4.5</v>
      </c>
      <c r="I605" s="375" t="s">
        <v>185</v>
      </c>
      <c r="J605" s="375" t="s">
        <v>185</v>
      </c>
      <c r="K605" s="376" t="s">
        <v>185</v>
      </c>
    </row>
    <row r="606" spans="1:11" ht="15.5">
      <c r="B606" s="379" t="s">
        <v>669</v>
      </c>
      <c r="C606" s="381">
        <v>0.4</v>
      </c>
      <c r="D606" s="382">
        <v>0.2</v>
      </c>
      <c r="E606" s="381">
        <v>0.2</v>
      </c>
      <c r="F606" s="381">
        <v>0.4</v>
      </c>
      <c r="G606" s="382">
        <v>0.2</v>
      </c>
      <c r="H606" s="381">
        <v>0.2</v>
      </c>
      <c r="I606" s="375" t="s">
        <v>185</v>
      </c>
      <c r="J606" s="375" t="s">
        <v>185</v>
      </c>
      <c r="K606" s="376" t="s">
        <v>185</v>
      </c>
    </row>
    <row r="607" spans="1:11" ht="15.5">
      <c r="B607" s="379"/>
      <c r="C607" s="391"/>
      <c r="D607" s="391"/>
      <c r="E607" s="391"/>
      <c r="F607" s="391"/>
      <c r="G607" s="391"/>
      <c r="H607" s="391"/>
      <c r="I607" s="391"/>
      <c r="J607" s="391"/>
      <c r="K607" s="392"/>
    </row>
    <row r="608" spans="1:11" ht="15">
      <c r="B608" s="371" t="s">
        <v>670</v>
      </c>
      <c r="C608" s="380">
        <v>86.7</v>
      </c>
      <c r="D608" s="380">
        <v>43.7</v>
      </c>
      <c r="E608" s="380">
        <v>43</v>
      </c>
      <c r="F608" s="380">
        <v>28.1</v>
      </c>
      <c r="G608" s="389">
        <v>14.3</v>
      </c>
      <c r="H608" s="380">
        <v>13.8</v>
      </c>
      <c r="I608" s="380">
        <v>58.6</v>
      </c>
      <c r="J608" s="380">
        <v>29.400000000000002</v>
      </c>
      <c r="K608" s="387">
        <v>29.2</v>
      </c>
    </row>
    <row r="609" spans="1:11" ht="15.5">
      <c r="B609" s="379" t="s">
        <v>671</v>
      </c>
      <c r="C609" s="381">
        <v>25.7</v>
      </c>
      <c r="D609" s="382">
        <v>13</v>
      </c>
      <c r="E609" s="381">
        <v>12.7</v>
      </c>
      <c r="F609" s="381">
        <v>25.7</v>
      </c>
      <c r="G609" s="382">
        <v>13</v>
      </c>
      <c r="H609" s="381">
        <v>12.7</v>
      </c>
      <c r="I609" s="375" t="s">
        <v>185</v>
      </c>
      <c r="J609" s="375" t="s">
        <v>185</v>
      </c>
      <c r="K609" s="376" t="s">
        <v>185</v>
      </c>
    </row>
    <row r="610" spans="1:11" ht="15.5">
      <c r="B610" s="379" t="s">
        <v>672</v>
      </c>
      <c r="C610" s="381">
        <v>0.9</v>
      </c>
      <c r="D610" s="382">
        <v>0.5</v>
      </c>
      <c r="E610" s="381">
        <v>0.4</v>
      </c>
      <c r="F610" s="381">
        <v>0.9</v>
      </c>
      <c r="G610" s="382">
        <v>0.5</v>
      </c>
      <c r="H610" s="381">
        <v>0.4</v>
      </c>
      <c r="I610" s="375" t="s">
        <v>185</v>
      </c>
      <c r="J610" s="375" t="s">
        <v>185</v>
      </c>
      <c r="K610" s="376" t="s">
        <v>185</v>
      </c>
    </row>
    <row r="611" spans="1:11" ht="15.5">
      <c r="B611" s="379" t="s">
        <v>673</v>
      </c>
      <c r="C611" s="381">
        <v>1.5</v>
      </c>
      <c r="D611" s="382">
        <v>0.8</v>
      </c>
      <c r="E611" s="381">
        <v>0.7</v>
      </c>
      <c r="F611" s="381">
        <v>1.5</v>
      </c>
      <c r="G611" s="382">
        <v>0.8</v>
      </c>
      <c r="H611" s="381">
        <v>0.7</v>
      </c>
      <c r="I611" s="375" t="s">
        <v>185</v>
      </c>
      <c r="J611" s="375" t="s">
        <v>185</v>
      </c>
      <c r="K611" s="376" t="s">
        <v>185</v>
      </c>
    </row>
    <row r="612" spans="1:11" ht="15.5">
      <c r="B612" s="379"/>
      <c r="C612" s="408"/>
      <c r="D612" s="408"/>
      <c r="E612" s="408"/>
      <c r="F612" s="408"/>
      <c r="G612" s="408"/>
      <c r="H612" s="408"/>
      <c r="I612" s="408"/>
      <c r="J612" s="408"/>
      <c r="K612" s="409"/>
    </row>
    <row r="613" spans="1:11" ht="15">
      <c r="B613" s="371" t="s">
        <v>674</v>
      </c>
      <c r="C613" s="380">
        <v>80.099999999999994</v>
      </c>
      <c r="D613" s="380">
        <v>40.299999999999997</v>
      </c>
      <c r="E613" s="380">
        <v>39.799999999999997</v>
      </c>
      <c r="F613" s="380">
        <v>22</v>
      </c>
      <c r="G613" s="389">
        <v>11</v>
      </c>
      <c r="H613" s="380">
        <v>11</v>
      </c>
      <c r="I613" s="380">
        <v>58.099999999999994</v>
      </c>
      <c r="J613" s="380">
        <v>29.299999999999997</v>
      </c>
      <c r="K613" s="387">
        <v>28.799999999999997</v>
      </c>
    </row>
    <row r="614" spans="1:11" ht="15.5">
      <c r="B614" s="379" t="s">
        <v>675</v>
      </c>
      <c r="C614" s="381">
        <v>22</v>
      </c>
      <c r="D614" s="382">
        <v>11</v>
      </c>
      <c r="E614" s="381">
        <v>11</v>
      </c>
      <c r="F614" s="381">
        <v>22</v>
      </c>
      <c r="G614" s="382">
        <v>11</v>
      </c>
      <c r="H614" s="381">
        <v>11</v>
      </c>
      <c r="I614" s="375" t="s">
        <v>185</v>
      </c>
      <c r="J614" s="375" t="s">
        <v>185</v>
      </c>
      <c r="K614" s="376" t="s">
        <v>185</v>
      </c>
    </row>
    <row r="615" spans="1:11" ht="15.5">
      <c r="B615" s="379"/>
      <c r="C615" s="403"/>
      <c r="D615" s="403"/>
      <c r="E615" s="403"/>
      <c r="F615" s="403"/>
      <c r="G615" s="403"/>
      <c r="H615" s="403"/>
      <c r="I615" s="403"/>
      <c r="J615" s="403"/>
      <c r="K615" s="404"/>
    </row>
    <row r="616" spans="1:11" ht="15">
      <c r="B616" s="371" t="s">
        <v>676</v>
      </c>
      <c r="C616" s="380">
        <v>105.1</v>
      </c>
      <c r="D616" s="380">
        <v>52.7</v>
      </c>
      <c r="E616" s="380">
        <v>52.399999999999991</v>
      </c>
      <c r="F616" s="380">
        <v>49.4</v>
      </c>
      <c r="G616" s="389">
        <v>24.2</v>
      </c>
      <c r="H616" s="380">
        <v>25.2</v>
      </c>
      <c r="I616" s="380">
        <v>55.699999999999996</v>
      </c>
      <c r="J616" s="380">
        <v>28.500000000000004</v>
      </c>
      <c r="K616" s="387">
        <v>27.199999999999992</v>
      </c>
    </row>
    <row r="617" spans="1:11" ht="15.5">
      <c r="B617" s="379" t="s">
        <v>677</v>
      </c>
      <c r="C617" s="381">
        <v>40.1</v>
      </c>
      <c r="D617" s="382">
        <v>19.600000000000001</v>
      </c>
      <c r="E617" s="381">
        <v>20.5</v>
      </c>
      <c r="F617" s="381">
        <v>40.1</v>
      </c>
      <c r="G617" s="382">
        <v>19.600000000000001</v>
      </c>
      <c r="H617" s="381">
        <v>20.5</v>
      </c>
      <c r="I617" s="375" t="s">
        <v>185</v>
      </c>
      <c r="J617" s="375" t="s">
        <v>185</v>
      </c>
      <c r="K617" s="376" t="s">
        <v>185</v>
      </c>
    </row>
    <row r="618" spans="1:11" ht="15.5">
      <c r="B618" s="379" t="s">
        <v>678</v>
      </c>
      <c r="C618" s="381">
        <v>3.8</v>
      </c>
      <c r="D618" s="382">
        <v>1.9</v>
      </c>
      <c r="E618" s="381">
        <v>1.9</v>
      </c>
      <c r="F618" s="381">
        <v>3.8</v>
      </c>
      <c r="G618" s="382">
        <v>1.9</v>
      </c>
      <c r="H618" s="381">
        <v>1.9</v>
      </c>
      <c r="I618" s="375" t="s">
        <v>185</v>
      </c>
      <c r="J618" s="375" t="s">
        <v>185</v>
      </c>
      <c r="K618" s="376" t="s">
        <v>185</v>
      </c>
    </row>
    <row r="619" spans="1:11" ht="15.5">
      <c r="B619" s="379" t="s">
        <v>679</v>
      </c>
      <c r="C619" s="381">
        <v>0.1</v>
      </c>
      <c r="D619" s="382">
        <v>0.1</v>
      </c>
      <c r="E619" s="381">
        <v>0</v>
      </c>
      <c r="F619" s="381">
        <v>0.1</v>
      </c>
      <c r="G619" s="382">
        <v>0.1</v>
      </c>
      <c r="H619" s="381">
        <v>0</v>
      </c>
      <c r="I619" s="375" t="s">
        <v>185</v>
      </c>
      <c r="J619" s="375" t="s">
        <v>185</v>
      </c>
      <c r="K619" s="376" t="s">
        <v>185</v>
      </c>
    </row>
    <row r="620" spans="1:11" ht="15.5">
      <c r="B620" s="379" t="s">
        <v>680</v>
      </c>
      <c r="C620" s="381">
        <v>2.5</v>
      </c>
      <c r="D620" s="382">
        <v>1.2</v>
      </c>
      <c r="E620" s="381">
        <v>1.3</v>
      </c>
      <c r="F620" s="381">
        <v>2.5</v>
      </c>
      <c r="G620" s="382">
        <v>1.2</v>
      </c>
      <c r="H620" s="381">
        <v>1.3</v>
      </c>
      <c r="I620" s="375" t="s">
        <v>185</v>
      </c>
      <c r="J620" s="375" t="s">
        <v>185</v>
      </c>
      <c r="K620" s="376" t="s">
        <v>185</v>
      </c>
    </row>
    <row r="621" spans="1:11" ht="15.5">
      <c r="B621" s="379" t="s">
        <v>681</v>
      </c>
      <c r="C621" s="381">
        <v>2.9</v>
      </c>
      <c r="D621" s="382">
        <v>1.4</v>
      </c>
      <c r="E621" s="381">
        <v>1.5</v>
      </c>
      <c r="F621" s="381">
        <v>2.9</v>
      </c>
      <c r="G621" s="382">
        <v>1.4</v>
      </c>
      <c r="H621" s="381">
        <v>1.5</v>
      </c>
      <c r="I621" s="375" t="s">
        <v>185</v>
      </c>
      <c r="J621" s="375" t="s">
        <v>185</v>
      </c>
      <c r="K621" s="376" t="s">
        <v>185</v>
      </c>
    </row>
    <row r="622" spans="1:11" ht="15.5">
      <c r="B622" s="379" t="s">
        <v>682</v>
      </c>
      <c r="C622" s="381">
        <v>0</v>
      </c>
      <c r="D622" s="382">
        <v>0</v>
      </c>
      <c r="E622" s="381">
        <v>0</v>
      </c>
      <c r="F622" s="381">
        <v>0</v>
      </c>
      <c r="G622" s="382">
        <v>0</v>
      </c>
      <c r="H622" s="381">
        <v>0</v>
      </c>
      <c r="I622" s="375" t="s">
        <v>185</v>
      </c>
      <c r="J622" s="375" t="s">
        <v>185</v>
      </c>
      <c r="K622" s="376" t="s">
        <v>185</v>
      </c>
    </row>
    <row r="623" spans="1:11" ht="15.5">
      <c r="B623" s="379"/>
      <c r="C623" s="403"/>
      <c r="D623" s="403"/>
      <c r="E623" s="403"/>
      <c r="F623" s="403"/>
      <c r="G623" s="403"/>
      <c r="H623" s="403"/>
      <c r="I623" s="403"/>
      <c r="J623" s="403"/>
      <c r="K623" s="404"/>
    </row>
    <row r="624" spans="1:11" ht="15">
      <c r="A624" s="106" t="s">
        <v>951</v>
      </c>
      <c r="B624" s="371" t="s">
        <v>683</v>
      </c>
      <c r="C624" s="380">
        <v>456.09999999999991</v>
      </c>
      <c r="D624" s="380">
        <v>227.69999999999996</v>
      </c>
      <c r="E624" s="380">
        <v>228.39999999999995</v>
      </c>
      <c r="F624" s="380">
        <v>134.5</v>
      </c>
      <c r="G624" s="380">
        <v>67.099999999999994</v>
      </c>
      <c r="H624" s="380">
        <v>67.400000000000006</v>
      </c>
      <c r="I624" s="380">
        <v>321.60000000000002</v>
      </c>
      <c r="J624" s="380">
        <v>160.6</v>
      </c>
      <c r="K624" s="387">
        <v>161.00000000000003</v>
      </c>
    </row>
    <row r="625" spans="2:11" ht="15.5">
      <c r="B625" s="377" t="s">
        <v>271</v>
      </c>
      <c r="C625" s="373"/>
      <c r="D625" s="373"/>
      <c r="E625" s="373"/>
      <c r="F625" s="373"/>
      <c r="G625" s="373"/>
      <c r="H625" s="373"/>
      <c r="I625" s="373"/>
      <c r="J625" s="373"/>
      <c r="K625" s="374"/>
    </row>
    <row r="626" spans="2:11" ht="15">
      <c r="B626" s="413" t="s">
        <v>684</v>
      </c>
      <c r="C626" s="380">
        <v>93.7</v>
      </c>
      <c r="D626" s="380">
        <v>46.8</v>
      </c>
      <c r="E626" s="380">
        <v>46.900000000000006</v>
      </c>
      <c r="F626" s="380">
        <v>83.2</v>
      </c>
      <c r="G626" s="389">
        <v>41.5</v>
      </c>
      <c r="H626" s="389">
        <v>41.7</v>
      </c>
      <c r="I626" s="380">
        <v>10.5</v>
      </c>
      <c r="J626" s="380">
        <v>5.2999999999999972</v>
      </c>
      <c r="K626" s="387">
        <v>5.2000000000000028</v>
      </c>
    </row>
    <row r="627" spans="2:11" ht="15.5">
      <c r="B627" s="379" t="s">
        <v>685</v>
      </c>
      <c r="C627" s="381">
        <v>80.3</v>
      </c>
      <c r="D627" s="382">
        <v>40</v>
      </c>
      <c r="E627" s="381">
        <v>40.299999999999997</v>
      </c>
      <c r="F627" s="381">
        <v>80.3</v>
      </c>
      <c r="G627" s="382">
        <v>40</v>
      </c>
      <c r="H627" s="381">
        <v>40.299999999999997</v>
      </c>
      <c r="I627" s="375" t="s">
        <v>185</v>
      </c>
      <c r="J627" s="375" t="s">
        <v>185</v>
      </c>
      <c r="K627" s="376" t="s">
        <v>185</v>
      </c>
    </row>
    <row r="628" spans="2:11" ht="15.5">
      <c r="B628" s="379" t="s">
        <v>445</v>
      </c>
      <c r="C628" s="381">
        <v>2.9</v>
      </c>
      <c r="D628" s="382">
        <v>1.5</v>
      </c>
      <c r="E628" s="381">
        <v>1.4</v>
      </c>
      <c r="F628" s="381">
        <v>2.9</v>
      </c>
      <c r="G628" s="382">
        <v>1.5</v>
      </c>
      <c r="H628" s="381">
        <v>1.4</v>
      </c>
      <c r="I628" s="375" t="s">
        <v>185</v>
      </c>
      <c r="J628" s="375" t="s">
        <v>185</v>
      </c>
      <c r="K628" s="376" t="s">
        <v>185</v>
      </c>
    </row>
    <row r="629" spans="2:11" ht="15.5">
      <c r="B629" s="379"/>
      <c r="C629" s="403"/>
      <c r="D629" s="403"/>
      <c r="E629" s="403"/>
      <c r="F629" s="403"/>
      <c r="G629" s="403"/>
      <c r="H629" s="403"/>
      <c r="I629" s="403"/>
      <c r="J629" s="403"/>
      <c r="K629" s="404"/>
    </row>
    <row r="630" spans="2:11" ht="15">
      <c r="B630" s="413" t="s">
        <v>686</v>
      </c>
      <c r="C630" s="380">
        <v>116.6</v>
      </c>
      <c r="D630" s="380">
        <v>57.9</v>
      </c>
      <c r="E630" s="380">
        <v>58.699999999999996</v>
      </c>
      <c r="F630" s="380">
        <v>7.4</v>
      </c>
      <c r="G630" s="389">
        <v>3.6</v>
      </c>
      <c r="H630" s="380">
        <v>3.8000000000000003</v>
      </c>
      <c r="I630" s="380">
        <v>109.19999999999999</v>
      </c>
      <c r="J630" s="380">
        <v>54.3</v>
      </c>
      <c r="K630" s="387">
        <v>54.899999999999991</v>
      </c>
    </row>
    <row r="631" spans="2:11" ht="15.5">
      <c r="B631" s="379" t="s">
        <v>687</v>
      </c>
      <c r="C631" s="381">
        <v>7.4</v>
      </c>
      <c r="D631" s="382">
        <v>3.6</v>
      </c>
      <c r="E631" s="381">
        <v>3.8000000000000003</v>
      </c>
      <c r="F631" s="381">
        <v>7.4</v>
      </c>
      <c r="G631" s="382">
        <v>3.6</v>
      </c>
      <c r="H631" s="381">
        <v>3.8000000000000003</v>
      </c>
      <c r="I631" s="375" t="s">
        <v>185</v>
      </c>
      <c r="J631" s="375" t="s">
        <v>185</v>
      </c>
      <c r="K631" s="376" t="s">
        <v>185</v>
      </c>
    </row>
    <row r="632" spans="2:11" ht="15.5">
      <c r="B632" s="379"/>
      <c r="C632" s="391"/>
      <c r="D632" s="391"/>
      <c r="E632" s="391"/>
      <c r="F632" s="391"/>
      <c r="G632" s="391"/>
      <c r="H632" s="391"/>
      <c r="I632" s="391"/>
      <c r="J632" s="391"/>
      <c r="K632" s="392"/>
    </row>
    <row r="633" spans="2:11" ht="15">
      <c r="B633" s="413" t="s">
        <v>688</v>
      </c>
      <c r="C633" s="380">
        <v>75.599999999999994</v>
      </c>
      <c r="D633" s="380">
        <v>37.700000000000003</v>
      </c>
      <c r="E633" s="380">
        <v>37.899999999999991</v>
      </c>
      <c r="F633" s="380">
        <v>5.8</v>
      </c>
      <c r="G633" s="389">
        <v>2.9</v>
      </c>
      <c r="H633" s="380">
        <v>2.9</v>
      </c>
      <c r="I633" s="380">
        <v>69.8</v>
      </c>
      <c r="J633" s="380">
        <v>34.800000000000004</v>
      </c>
      <c r="K633" s="387">
        <v>34.999999999999993</v>
      </c>
    </row>
    <row r="634" spans="2:11" ht="15.5">
      <c r="B634" s="379" t="s">
        <v>689</v>
      </c>
      <c r="C634" s="381">
        <v>5.8</v>
      </c>
      <c r="D634" s="382">
        <v>2.9</v>
      </c>
      <c r="E634" s="381">
        <v>2.9</v>
      </c>
      <c r="F634" s="381">
        <v>5.8</v>
      </c>
      <c r="G634" s="382">
        <v>2.9</v>
      </c>
      <c r="H634" s="381">
        <v>2.9</v>
      </c>
      <c r="I634" s="375" t="s">
        <v>185</v>
      </c>
      <c r="J634" s="375" t="s">
        <v>185</v>
      </c>
      <c r="K634" s="376" t="s">
        <v>185</v>
      </c>
    </row>
    <row r="635" spans="2:11" ht="15.5">
      <c r="B635" s="379"/>
      <c r="C635" s="384"/>
      <c r="D635" s="384"/>
      <c r="E635" s="384"/>
      <c r="F635" s="384"/>
      <c r="G635" s="384"/>
      <c r="H635" s="384"/>
      <c r="I635" s="384"/>
      <c r="J635" s="384"/>
      <c r="K635" s="393"/>
    </row>
    <row r="636" spans="2:11" ht="15">
      <c r="B636" s="413" t="s">
        <v>690</v>
      </c>
      <c r="C636" s="380">
        <v>50</v>
      </c>
      <c r="D636" s="380">
        <v>24.9</v>
      </c>
      <c r="E636" s="380">
        <v>25.1</v>
      </c>
      <c r="F636" s="380">
        <v>11.2</v>
      </c>
      <c r="G636" s="389">
        <v>5.6</v>
      </c>
      <c r="H636" s="380">
        <v>5.6</v>
      </c>
      <c r="I636" s="380">
        <v>38.799999999999997</v>
      </c>
      <c r="J636" s="380">
        <v>19.299999999999997</v>
      </c>
      <c r="K636" s="387">
        <v>19.5</v>
      </c>
    </row>
    <row r="637" spans="2:11" ht="15.5">
      <c r="B637" s="379" t="s">
        <v>691</v>
      </c>
      <c r="C637" s="381">
        <v>10.7</v>
      </c>
      <c r="D637" s="382">
        <v>5.3</v>
      </c>
      <c r="E637" s="381">
        <v>5.3999999999999995</v>
      </c>
      <c r="F637" s="381">
        <v>10.7</v>
      </c>
      <c r="G637" s="382">
        <v>5.3</v>
      </c>
      <c r="H637" s="381">
        <v>5.3999999999999995</v>
      </c>
      <c r="I637" s="375" t="s">
        <v>185</v>
      </c>
      <c r="J637" s="375" t="s">
        <v>185</v>
      </c>
      <c r="K637" s="376" t="s">
        <v>185</v>
      </c>
    </row>
    <row r="638" spans="2:11" ht="15.5">
      <c r="B638" s="379" t="s">
        <v>692</v>
      </c>
      <c r="C638" s="381">
        <v>0.1</v>
      </c>
      <c r="D638" s="382">
        <v>0.1</v>
      </c>
      <c r="E638" s="381">
        <v>0</v>
      </c>
      <c r="F638" s="381">
        <v>0.1</v>
      </c>
      <c r="G638" s="382">
        <v>0.1</v>
      </c>
      <c r="H638" s="381">
        <v>0</v>
      </c>
      <c r="I638" s="375" t="s">
        <v>185</v>
      </c>
      <c r="J638" s="375" t="s">
        <v>185</v>
      </c>
      <c r="K638" s="376" t="s">
        <v>185</v>
      </c>
    </row>
    <row r="639" spans="2:11" ht="15.5">
      <c r="B639" s="379" t="s">
        <v>693</v>
      </c>
      <c r="C639" s="381">
        <v>0</v>
      </c>
      <c r="D639" s="382">
        <v>0</v>
      </c>
      <c r="E639" s="381">
        <v>0</v>
      </c>
      <c r="F639" s="381">
        <v>0</v>
      </c>
      <c r="G639" s="382">
        <v>0</v>
      </c>
      <c r="H639" s="381">
        <v>0</v>
      </c>
      <c r="I639" s="375" t="s">
        <v>185</v>
      </c>
      <c r="J639" s="375" t="s">
        <v>185</v>
      </c>
      <c r="K639" s="376" t="s">
        <v>185</v>
      </c>
    </row>
    <row r="640" spans="2:11" ht="15.5">
      <c r="B640" s="379" t="s">
        <v>694</v>
      </c>
      <c r="C640" s="381">
        <v>0.4</v>
      </c>
      <c r="D640" s="382">
        <v>0.2</v>
      </c>
      <c r="E640" s="381">
        <v>0.2</v>
      </c>
      <c r="F640" s="381">
        <v>0.4</v>
      </c>
      <c r="G640" s="382">
        <v>0.2</v>
      </c>
      <c r="H640" s="381">
        <v>0.2</v>
      </c>
      <c r="I640" s="375" t="s">
        <v>185</v>
      </c>
      <c r="J640" s="375" t="s">
        <v>185</v>
      </c>
      <c r="K640" s="376" t="s">
        <v>185</v>
      </c>
    </row>
    <row r="641" spans="2:11" ht="15.5">
      <c r="B641" s="379"/>
      <c r="C641" s="391"/>
      <c r="D641" s="391"/>
      <c r="E641" s="391"/>
      <c r="F641" s="391"/>
      <c r="G641" s="391"/>
      <c r="H641" s="391"/>
      <c r="I641" s="391"/>
      <c r="J641" s="391"/>
      <c r="K641" s="392"/>
    </row>
    <row r="642" spans="2:11" ht="15">
      <c r="B642" s="413" t="s">
        <v>695</v>
      </c>
      <c r="C642" s="380">
        <v>46.7</v>
      </c>
      <c r="D642" s="380">
        <v>23.5</v>
      </c>
      <c r="E642" s="380">
        <v>23.200000000000003</v>
      </c>
      <c r="F642" s="380">
        <v>13.4</v>
      </c>
      <c r="G642" s="389">
        <v>6.8</v>
      </c>
      <c r="H642" s="380">
        <v>6.6000000000000005</v>
      </c>
      <c r="I642" s="380">
        <v>33.300000000000004</v>
      </c>
      <c r="J642" s="380">
        <v>16.7</v>
      </c>
      <c r="K642" s="387">
        <v>16.600000000000005</v>
      </c>
    </row>
    <row r="643" spans="2:11" ht="15.5">
      <c r="B643" s="379" t="s">
        <v>696</v>
      </c>
      <c r="C643" s="381">
        <v>13.4</v>
      </c>
      <c r="D643" s="382">
        <v>6.8</v>
      </c>
      <c r="E643" s="381">
        <v>6.6000000000000005</v>
      </c>
      <c r="F643" s="381">
        <v>13.4</v>
      </c>
      <c r="G643" s="382">
        <v>6.8</v>
      </c>
      <c r="H643" s="381">
        <v>6.6000000000000005</v>
      </c>
      <c r="I643" s="375" t="s">
        <v>185</v>
      </c>
      <c r="J643" s="375" t="s">
        <v>185</v>
      </c>
      <c r="K643" s="376" t="s">
        <v>185</v>
      </c>
    </row>
    <row r="644" spans="2:11" ht="15.5">
      <c r="B644" s="379"/>
      <c r="C644" s="391"/>
      <c r="D644" s="391"/>
      <c r="E644" s="391"/>
      <c r="F644" s="391"/>
      <c r="G644" s="391"/>
      <c r="H644" s="391"/>
      <c r="I644" s="391"/>
      <c r="J644" s="391"/>
      <c r="K644" s="392"/>
    </row>
    <row r="645" spans="2:11" ht="15">
      <c r="B645" s="413" t="s">
        <v>697</v>
      </c>
      <c r="C645" s="380">
        <v>32.4</v>
      </c>
      <c r="D645" s="380">
        <v>16.100000000000001</v>
      </c>
      <c r="E645" s="380">
        <v>16.299999999999997</v>
      </c>
      <c r="F645" s="380">
        <v>6.1</v>
      </c>
      <c r="G645" s="389">
        <v>3</v>
      </c>
      <c r="H645" s="380">
        <v>3.0999999999999996</v>
      </c>
      <c r="I645" s="380">
        <v>26.299999999999997</v>
      </c>
      <c r="J645" s="380">
        <v>13.100000000000001</v>
      </c>
      <c r="K645" s="387">
        <v>13.199999999999996</v>
      </c>
    </row>
    <row r="646" spans="2:11" ht="15.5">
      <c r="B646" s="379" t="s">
        <v>698</v>
      </c>
      <c r="C646" s="381">
        <v>6.1</v>
      </c>
      <c r="D646" s="382">
        <v>3</v>
      </c>
      <c r="E646" s="381">
        <v>3.0999999999999996</v>
      </c>
      <c r="F646" s="381">
        <v>6.1</v>
      </c>
      <c r="G646" s="382">
        <v>3</v>
      </c>
      <c r="H646" s="381">
        <v>3.0999999999999996</v>
      </c>
      <c r="I646" s="375" t="s">
        <v>185</v>
      </c>
      <c r="J646" s="375" t="s">
        <v>185</v>
      </c>
      <c r="K646" s="376" t="s">
        <v>185</v>
      </c>
    </row>
    <row r="647" spans="2:11" ht="15.5">
      <c r="B647" s="379"/>
      <c r="C647" s="391"/>
      <c r="D647" s="391"/>
      <c r="E647" s="391"/>
      <c r="F647" s="391"/>
      <c r="G647" s="391"/>
      <c r="H647" s="391"/>
      <c r="I647" s="391"/>
      <c r="J647" s="391"/>
      <c r="K647" s="392"/>
    </row>
    <row r="648" spans="2:11" ht="15">
      <c r="B648" s="413" t="s">
        <v>699</v>
      </c>
      <c r="C648" s="380">
        <v>25.2</v>
      </c>
      <c r="D648" s="380">
        <v>12.7</v>
      </c>
      <c r="E648" s="380">
        <v>12.5</v>
      </c>
      <c r="F648" s="380">
        <v>5.2</v>
      </c>
      <c r="G648" s="389">
        <v>2.6</v>
      </c>
      <c r="H648" s="380">
        <v>2.6</v>
      </c>
      <c r="I648" s="380">
        <v>20</v>
      </c>
      <c r="J648" s="380">
        <v>10.1</v>
      </c>
      <c r="K648" s="387">
        <v>9.9</v>
      </c>
    </row>
    <row r="649" spans="2:11" ht="15.5">
      <c r="B649" s="379" t="s">
        <v>700</v>
      </c>
      <c r="C649" s="381">
        <v>4.5</v>
      </c>
      <c r="D649" s="382">
        <v>2.2000000000000002</v>
      </c>
      <c r="E649" s="381">
        <v>2.2999999999999998</v>
      </c>
      <c r="F649" s="381">
        <v>4.5</v>
      </c>
      <c r="G649" s="382">
        <v>2.2000000000000002</v>
      </c>
      <c r="H649" s="381">
        <v>2.2999999999999998</v>
      </c>
      <c r="I649" s="375" t="s">
        <v>185</v>
      </c>
      <c r="J649" s="375" t="s">
        <v>185</v>
      </c>
      <c r="K649" s="376" t="s">
        <v>185</v>
      </c>
    </row>
    <row r="650" spans="2:11" ht="15.5">
      <c r="B650" s="379" t="s">
        <v>701</v>
      </c>
      <c r="C650" s="381">
        <v>0.7</v>
      </c>
      <c r="D650" s="382">
        <v>0.4</v>
      </c>
      <c r="E650" s="381">
        <v>0.29999999999999993</v>
      </c>
      <c r="F650" s="381">
        <v>0.7</v>
      </c>
      <c r="G650" s="382">
        <v>0.4</v>
      </c>
      <c r="H650" s="381">
        <v>0.29999999999999993</v>
      </c>
      <c r="I650" s="375" t="s">
        <v>185</v>
      </c>
      <c r="J650" s="375" t="s">
        <v>185</v>
      </c>
      <c r="K650" s="376" t="s">
        <v>185</v>
      </c>
    </row>
    <row r="651" spans="2:11" ht="15.5">
      <c r="B651" s="379"/>
      <c r="C651" s="391"/>
      <c r="D651" s="391"/>
      <c r="E651" s="391"/>
      <c r="F651" s="391"/>
      <c r="G651" s="391"/>
      <c r="H651" s="391"/>
      <c r="I651" s="391"/>
      <c r="J651" s="391"/>
      <c r="K651" s="392"/>
    </row>
    <row r="652" spans="2:11" ht="15">
      <c r="B652" s="413" t="s">
        <v>702</v>
      </c>
      <c r="C652" s="373">
        <v>15.9</v>
      </c>
      <c r="D652" s="373">
        <v>8.1</v>
      </c>
      <c r="E652" s="373">
        <v>7.8</v>
      </c>
      <c r="F652" s="373">
        <v>2.2000000000000002</v>
      </c>
      <c r="G652" s="373">
        <v>1.1000000000000001</v>
      </c>
      <c r="H652" s="373">
        <v>1.1000000000000001</v>
      </c>
      <c r="I652" s="373">
        <v>13.7</v>
      </c>
      <c r="J652" s="373">
        <v>7</v>
      </c>
      <c r="K652" s="374">
        <v>6.7000000000000011</v>
      </c>
    </row>
    <row r="653" spans="2:11" ht="16" thickBot="1">
      <c r="B653" s="414" t="s">
        <v>703</v>
      </c>
      <c r="C653" s="415">
        <v>2.2000000000000002</v>
      </c>
      <c r="D653" s="415">
        <v>1.1000000000000001</v>
      </c>
      <c r="E653" s="415">
        <v>1.1000000000000001</v>
      </c>
      <c r="F653" s="415">
        <v>2.2000000000000002</v>
      </c>
      <c r="G653" s="415">
        <v>1.1000000000000001</v>
      </c>
      <c r="H653" s="415">
        <v>1.1000000000000001</v>
      </c>
      <c r="I653" s="415" t="s">
        <v>185</v>
      </c>
      <c r="J653" s="415" t="s">
        <v>185</v>
      </c>
      <c r="K653" s="416" t="s">
        <v>185</v>
      </c>
    </row>
  </sheetData>
  <mergeCells count="19">
    <mergeCell ref="B130:K130"/>
    <mergeCell ref="B132:B133"/>
    <mergeCell ref="C132:C133"/>
    <mergeCell ref="D132:E132"/>
    <mergeCell ref="F132:F133"/>
    <mergeCell ref="G132:H132"/>
    <mergeCell ref="I132:I133"/>
    <mergeCell ref="J132:K132"/>
    <mergeCell ref="D40:E40"/>
    <mergeCell ref="B44:E44"/>
    <mergeCell ref="B50:E50"/>
    <mergeCell ref="E5:E6"/>
    <mergeCell ref="B129:K129"/>
    <mergeCell ref="B56:E56"/>
    <mergeCell ref="B40:B41"/>
    <mergeCell ref="B63:E63"/>
    <mergeCell ref="B70:E70"/>
    <mergeCell ref="B38:E38"/>
    <mergeCell ref="C40:C41"/>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E4FB5-F3DA-4E03-82E8-72051ED2B8D7}">
  <sheetPr>
    <tabColor theme="3" tint="0.39997558519241921"/>
  </sheetPr>
  <dimension ref="B1:O67"/>
  <sheetViews>
    <sheetView showGridLines="0" zoomScale="85" zoomScaleNormal="85" workbookViewId="0">
      <selection activeCell="B3" sqref="B3:N3"/>
    </sheetView>
  </sheetViews>
  <sheetFormatPr defaultColWidth="10.6328125" defaultRowHeight="14"/>
  <cols>
    <col min="1" max="1" width="5.6328125" style="300" customWidth="1"/>
    <col min="2" max="2" width="35.6328125" style="300" customWidth="1"/>
    <col min="3" max="15" width="12.6328125" style="300" customWidth="1"/>
    <col min="16" max="256" width="10.6328125" style="300"/>
    <col min="257" max="257" width="5.6328125" style="300" customWidth="1"/>
    <col min="258" max="258" width="35.6328125" style="300" customWidth="1"/>
    <col min="259" max="271" width="12.6328125" style="300" customWidth="1"/>
    <col min="272" max="512" width="10.6328125" style="300"/>
    <col min="513" max="513" width="5.6328125" style="300" customWidth="1"/>
    <col min="514" max="514" width="35.6328125" style="300" customWidth="1"/>
    <col min="515" max="527" width="12.6328125" style="300" customWidth="1"/>
    <col min="528" max="768" width="10.6328125" style="300"/>
    <col min="769" max="769" width="5.6328125" style="300" customWidth="1"/>
    <col min="770" max="770" width="35.6328125" style="300" customWidth="1"/>
    <col min="771" max="783" width="12.6328125" style="300" customWidth="1"/>
    <col min="784" max="1024" width="10.6328125" style="300"/>
    <col min="1025" max="1025" width="5.6328125" style="300" customWidth="1"/>
    <col min="1026" max="1026" width="35.6328125" style="300" customWidth="1"/>
    <col min="1027" max="1039" width="12.6328125" style="300" customWidth="1"/>
    <col min="1040" max="1280" width="10.6328125" style="300"/>
    <col min="1281" max="1281" width="5.6328125" style="300" customWidth="1"/>
    <col min="1282" max="1282" width="35.6328125" style="300" customWidth="1"/>
    <col min="1283" max="1295" width="12.6328125" style="300" customWidth="1"/>
    <col min="1296" max="1536" width="10.6328125" style="300"/>
    <col min="1537" max="1537" width="5.6328125" style="300" customWidth="1"/>
    <col min="1538" max="1538" width="35.6328125" style="300" customWidth="1"/>
    <col min="1539" max="1551" width="12.6328125" style="300" customWidth="1"/>
    <col min="1552" max="1792" width="10.6328125" style="300"/>
    <col min="1793" max="1793" width="5.6328125" style="300" customWidth="1"/>
    <col min="1794" max="1794" width="35.6328125" style="300" customWidth="1"/>
    <col min="1795" max="1807" width="12.6328125" style="300" customWidth="1"/>
    <col min="1808" max="2048" width="10.6328125" style="300"/>
    <col min="2049" max="2049" width="5.6328125" style="300" customWidth="1"/>
    <col min="2050" max="2050" width="35.6328125" style="300" customWidth="1"/>
    <col min="2051" max="2063" width="12.6328125" style="300" customWidth="1"/>
    <col min="2064" max="2304" width="10.6328125" style="300"/>
    <col min="2305" max="2305" width="5.6328125" style="300" customWidth="1"/>
    <col min="2306" max="2306" width="35.6328125" style="300" customWidth="1"/>
    <col min="2307" max="2319" width="12.6328125" style="300" customWidth="1"/>
    <col min="2320" max="2560" width="10.6328125" style="300"/>
    <col min="2561" max="2561" width="5.6328125" style="300" customWidth="1"/>
    <col min="2562" max="2562" width="35.6328125" style="300" customWidth="1"/>
    <col min="2563" max="2575" width="12.6328125" style="300" customWidth="1"/>
    <col min="2576" max="2816" width="10.6328125" style="300"/>
    <col min="2817" max="2817" width="5.6328125" style="300" customWidth="1"/>
    <col min="2818" max="2818" width="35.6328125" style="300" customWidth="1"/>
    <col min="2819" max="2831" width="12.6328125" style="300" customWidth="1"/>
    <col min="2832" max="3072" width="10.6328125" style="300"/>
    <col min="3073" max="3073" width="5.6328125" style="300" customWidth="1"/>
    <col min="3074" max="3074" width="35.6328125" style="300" customWidth="1"/>
    <col min="3075" max="3087" width="12.6328125" style="300" customWidth="1"/>
    <col min="3088" max="3328" width="10.6328125" style="300"/>
    <col min="3329" max="3329" width="5.6328125" style="300" customWidth="1"/>
    <col min="3330" max="3330" width="35.6328125" style="300" customWidth="1"/>
    <col min="3331" max="3343" width="12.6328125" style="300" customWidth="1"/>
    <col min="3344" max="3584" width="10.6328125" style="300"/>
    <col min="3585" max="3585" width="5.6328125" style="300" customWidth="1"/>
    <col min="3586" max="3586" width="35.6328125" style="300" customWidth="1"/>
    <col min="3587" max="3599" width="12.6328125" style="300" customWidth="1"/>
    <col min="3600" max="3840" width="10.6328125" style="300"/>
    <col min="3841" max="3841" width="5.6328125" style="300" customWidth="1"/>
    <col min="3842" max="3842" width="35.6328125" style="300" customWidth="1"/>
    <col min="3843" max="3855" width="12.6328125" style="300" customWidth="1"/>
    <col min="3856" max="4096" width="10.6328125" style="300"/>
    <col min="4097" max="4097" width="5.6328125" style="300" customWidth="1"/>
    <col min="4098" max="4098" width="35.6328125" style="300" customWidth="1"/>
    <col min="4099" max="4111" width="12.6328125" style="300" customWidth="1"/>
    <col min="4112" max="4352" width="10.6328125" style="300"/>
    <col min="4353" max="4353" width="5.6328125" style="300" customWidth="1"/>
    <col min="4354" max="4354" width="35.6328125" style="300" customWidth="1"/>
    <col min="4355" max="4367" width="12.6328125" style="300" customWidth="1"/>
    <col min="4368" max="4608" width="10.6328125" style="300"/>
    <col min="4609" max="4609" width="5.6328125" style="300" customWidth="1"/>
    <col min="4610" max="4610" width="35.6328125" style="300" customWidth="1"/>
    <col min="4611" max="4623" width="12.6328125" style="300" customWidth="1"/>
    <col min="4624" max="4864" width="10.6328125" style="300"/>
    <col min="4865" max="4865" width="5.6328125" style="300" customWidth="1"/>
    <col min="4866" max="4866" width="35.6328125" style="300" customWidth="1"/>
    <col min="4867" max="4879" width="12.6328125" style="300" customWidth="1"/>
    <col min="4880" max="5120" width="10.6328125" style="300"/>
    <col min="5121" max="5121" width="5.6328125" style="300" customWidth="1"/>
    <col min="5122" max="5122" width="35.6328125" style="300" customWidth="1"/>
    <col min="5123" max="5135" width="12.6328125" style="300" customWidth="1"/>
    <col min="5136" max="5376" width="10.6328125" style="300"/>
    <col min="5377" max="5377" width="5.6328125" style="300" customWidth="1"/>
    <col min="5378" max="5378" width="35.6328125" style="300" customWidth="1"/>
    <col min="5379" max="5391" width="12.6328125" style="300" customWidth="1"/>
    <col min="5392" max="5632" width="10.6328125" style="300"/>
    <col min="5633" max="5633" width="5.6328125" style="300" customWidth="1"/>
    <col min="5634" max="5634" width="35.6328125" style="300" customWidth="1"/>
    <col min="5635" max="5647" width="12.6328125" style="300" customWidth="1"/>
    <col min="5648" max="5888" width="10.6328125" style="300"/>
    <col min="5889" max="5889" width="5.6328125" style="300" customWidth="1"/>
    <col min="5890" max="5890" width="35.6328125" style="300" customWidth="1"/>
    <col min="5891" max="5903" width="12.6328125" style="300" customWidth="1"/>
    <col min="5904" max="6144" width="10.6328125" style="300"/>
    <col min="6145" max="6145" width="5.6328125" style="300" customWidth="1"/>
    <col min="6146" max="6146" width="35.6328125" style="300" customWidth="1"/>
    <col min="6147" max="6159" width="12.6328125" style="300" customWidth="1"/>
    <col min="6160" max="6400" width="10.6328125" style="300"/>
    <col min="6401" max="6401" width="5.6328125" style="300" customWidth="1"/>
    <col min="6402" max="6402" width="35.6328125" style="300" customWidth="1"/>
    <col min="6403" max="6415" width="12.6328125" style="300" customWidth="1"/>
    <col min="6416" max="6656" width="10.6328125" style="300"/>
    <col min="6657" max="6657" width="5.6328125" style="300" customWidth="1"/>
    <col min="6658" max="6658" width="35.6328125" style="300" customWidth="1"/>
    <col min="6659" max="6671" width="12.6328125" style="300" customWidth="1"/>
    <col min="6672" max="6912" width="10.6328125" style="300"/>
    <col min="6913" max="6913" width="5.6328125" style="300" customWidth="1"/>
    <col min="6914" max="6914" width="35.6328125" style="300" customWidth="1"/>
    <col min="6915" max="6927" width="12.6328125" style="300" customWidth="1"/>
    <col min="6928" max="7168" width="10.6328125" style="300"/>
    <col min="7169" max="7169" width="5.6328125" style="300" customWidth="1"/>
    <col min="7170" max="7170" width="35.6328125" style="300" customWidth="1"/>
    <col min="7171" max="7183" width="12.6328125" style="300" customWidth="1"/>
    <col min="7184" max="7424" width="10.6328125" style="300"/>
    <col min="7425" max="7425" width="5.6328125" style="300" customWidth="1"/>
    <col min="7426" max="7426" width="35.6328125" style="300" customWidth="1"/>
    <col min="7427" max="7439" width="12.6328125" style="300" customWidth="1"/>
    <col min="7440" max="7680" width="10.6328125" style="300"/>
    <col min="7681" max="7681" width="5.6328125" style="300" customWidth="1"/>
    <col min="7682" max="7682" width="35.6328125" style="300" customWidth="1"/>
    <col min="7683" max="7695" width="12.6328125" style="300" customWidth="1"/>
    <col min="7696" max="7936" width="10.6328125" style="300"/>
    <col min="7937" max="7937" width="5.6328125" style="300" customWidth="1"/>
    <col min="7938" max="7938" width="35.6328125" style="300" customWidth="1"/>
    <col min="7939" max="7951" width="12.6328125" style="300" customWidth="1"/>
    <col min="7952" max="8192" width="10.6328125" style="300"/>
    <col min="8193" max="8193" width="5.6328125" style="300" customWidth="1"/>
    <col min="8194" max="8194" width="35.6328125" style="300" customWidth="1"/>
    <col min="8195" max="8207" width="12.6328125" style="300" customWidth="1"/>
    <col min="8208" max="8448" width="10.6328125" style="300"/>
    <col min="8449" max="8449" width="5.6328125" style="300" customWidth="1"/>
    <col min="8450" max="8450" width="35.6328125" style="300" customWidth="1"/>
    <col min="8451" max="8463" width="12.6328125" style="300" customWidth="1"/>
    <col min="8464" max="8704" width="10.6328125" style="300"/>
    <col min="8705" max="8705" width="5.6328125" style="300" customWidth="1"/>
    <col min="8706" max="8706" width="35.6328125" style="300" customWidth="1"/>
    <col min="8707" max="8719" width="12.6328125" style="300" customWidth="1"/>
    <col min="8720" max="8960" width="10.6328125" style="300"/>
    <col min="8961" max="8961" width="5.6328125" style="300" customWidth="1"/>
    <col min="8962" max="8962" width="35.6328125" style="300" customWidth="1"/>
    <col min="8963" max="8975" width="12.6328125" style="300" customWidth="1"/>
    <col min="8976" max="9216" width="10.6328125" style="300"/>
    <col min="9217" max="9217" width="5.6328125" style="300" customWidth="1"/>
    <col min="9218" max="9218" width="35.6328125" style="300" customWidth="1"/>
    <col min="9219" max="9231" width="12.6328125" style="300" customWidth="1"/>
    <col min="9232" max="9472" width="10.6328125" style="300"/>
    <col min="9473" max="9473" width="5.6328125" style="300" customWidth="1"/>
    <col min="9474" max="9474" width="35.6328125" style="300" customWidth="1"/>
    <col min="9475" max="9487" width="12.6328125" style="300" customWidth="1"/>
    <col min="9488" max="9728" width="10.6328125" style="300"/>
    <col min="9729" max="9729" width="5.6328125" style="300" customWidth="1"/>
    <col min="9730" max="9730" width="35.6328125" style="300" customWidth="1"/>
    <col min="9731" max="9743" width="12.6328125" style="300" customWidth="1"/>
    <col min="9744" max="9984" width="10.6328125" style="300"/>
    <col min="9985" max="9985" width="5.6328125" style="300" customWidth="1"/>
    <col min="9986" max="9986" width="35.6328125" style="300" customWidth="1"/>
    <col min="9987" max="9999" width="12.6328125" style="300" customWidth="1"/>
    <col min="10000" max="10240" width="10.6328125" style="300"/>
    <col min="10241" max="10241" width="5.6328125" style="300" customWidth="1"/>
    <col min="10242" max="10242" width="35.6328125" style="300" customWidth="1"/>
    <col min="10243" max="10255" width="12.6328125" style="300" customWidth="1"/>
    <col min="10256" max="10496" width="10.6328125" style="300"/>
    <col min="10497" max="10497" width="5.6328125" style="300" customWidth="1"/>
    <col min="10498" max="10498" width="35.6328125" style="300" customWidth="1"/>
    <col min="10499" max="10511" width="12.6328125" style="300" customWidth="1"/>
    <col min="10512" max="10752" width="10.6328125" style="300"/>
    <col min="10753" max="10753" width="5.6328125" style="300" customWidth="1"/>
    <col min="10754" max="10754" width="35.6328125" style="300" customWidth="1"/>
    <col min="10755" max="10767" width="12.6328125" style="300" customWidth="1"/>
    <col min="10768" max="11008" width="10.6328125" style="300"/>
    <col min="11009" max="11009" width="5.6328125" style="300" customWidth="1"/>
    <col min="11010" max="11010" width="35.6328125" style="300" customWidth="1"/>
    <col min="11011" max="11023" width="12.6328125" style="300" customWidth="1"/>
    <col min="11024" max="11264" width="10.6328125" style="300"/>
    <col min="11265" max="11265" width="5.6328125" style="300" customWidth="1"/>
    <col min="11266" max="11266" width="35.6328125" style="300" customWidth="1"/>
    <col min="11267" max="11279" width="12.6328125" style="300" customWidth="1"/>
    <col min="11280" max="11520" width="10.6328125" style="300"/>
    <col min="11521" max="11521" width="5.6328125" style="300" customWidth="1"/>
    <col min="11522" max="11522" width="35.6328125" style="300" customWidth="1"/>
    <col min="11523" max="11535" width="12.6328125" style="300" customWidth="1"/>
    <col min="11536" max="11776" width="10.6328125" style="300"/>
    <col min="11777" max="11777" width="5.6328125" style="300" customWidth="1"/>
    <col min="11778" max="11778" width="35.6328125" style="300" customWidth="1"/>
    <col min="11779" max="11791" width="12.6328125" style="300" customWidth="1"/>
    <col min="11792" max="12032" width="10.6328125" style="300"/>
    <col min="12033" max="12033" width="5.6328125" style="300" customWidth="1"/>
    <col min="12034" max="12034" width="35.6328125" style="300" customWidth="1"/>
    <col min="12035" max="12047" width="12.6328125" style="300" customWidth="1"/>
    <col min="12048" max="12288" width="10.6328125" style="300"/>
    <col min="12289" max="12289" width="5.6328125" style="300" customWidth="1"/>
    <col min="12290" max="12290" width="35.6328125" style="300" customWidth="1"/>
    <col min="12291" max="12303" width="12.6328125" style="300" customWidth="1"/>
    <col min="12304" max="12544" width="10.6328125" style="300"/>
    <col min="12545" max="12545" width="5.6328125" style="300" customWidth="1"/>
    <col min="12546" max="12546" width="35.6328125" style="300" customWidth="1"/>
    <col min="12547" max="12559" width="12.6328125" style="300" customWidth="1"/>
    <col min="12560" max="12800" width="10.6328125" style="300"/>
    <col min="12801" max="12801" width="5.6328125" style="300" customWidth="1"/>
    <col min="12802" max="12802" width="35.6328125" style="300" customWidth="1"/>
    <col min="12803" max="12815" width="12.6328125" style="300" customWidth="1"/>
    <col min="12816" max="13056" width="10.6328125" style="300"/>
    <col min="13057" max="13057" width="5.6328125" style="300" customWidth="1"/>
    <col min="13058" max="13058" width="35.6328125" style="300" customWidth="1"/>
    <col min="13059" max="13071" width="12.6328125" style="300" customWidth="1"/>
    <col min="13072" max="13312" width="10.6328125" style="300"/>
    <col min="13313" max="13313" width="5.6328125" style="300" customWidth="1"/>
    <col min="13314" max="13314" width="35.6328125" style="300" customWidth="1"/>
    <col min="13315" max="13327" width="12.6328125" style="300" customWidth="1"/>
    <col min="13328" max="13568" width="10.6328125" style="300"/>
    <col min="13569" max="13569" width="5.6328125" style="300" customWidth="1"/>
    <col min="13570" max="13570" width="35.6328125" style="300" customWidth="1"/>
    <col min="13571" max="13583" width="12.6328125" style="300" customWidth="1"/>
    <col min="13584" max="13824" width="10.6328125" style="300"/>
    <col min="13825" max="13825" width="5.6328125" style="300" customWidth="1"/>
    <col min="13826" max="13826" width="35.6328125" style="300" customWidth="1"/>
    <col min="13827" max="13839" width="12.6328125" style="300" customWidth="1"/>
    <col min="13840" max="14080" width="10.6328125" style="300"/>
    <col min="14081" max="14081" width="5.6328125" style="300" customWidth="1"/>
    <col min="14082" max="14082" width="35.6328125" style="300" customWidth="1"/>
    <col min="14083" max="14095" width="12.6328125" style="300" customWidth="1"/>
    <col min="14096" max="14336" width="10.6328125" style="300"/>
    <col min="14337" max="14337" width="5.6328125" style="300" customWidth="1"/>
    <col min="14338" max="14338" width="35.6328125" style="300" customWidth="1"/>
    <col min="14339" max="14351" width="12.6328125" style="300" customWidth="1"/>
    <col min="14352" max="14592" width="10.6328125" style="300"/>
    <col min="14593" max="14593" width="5.6328125" style="300" customWidth="1"/>
    <col min="14594" max="14594" width="35.6328125" style="300" customWidth="1"/>
    <col min="14595" max="14607" width="12.6328125" style="300" customWidth="1"/>
    <col min="14608" max="14848" width="10.6328125" style="300"/>
    <col min="14849" max="14849" width="5.6328125" style="300" customWidth="1"/>
    <col min="14850" max="14850" width="35.6328125" style="300" customWidth="1"/>
    <col min="14851" max="14863" width="12.6328125" style="300" customWidth="1"/>
    <col min="14864" max="15104" width="10.6328125" style="300"/>
    <col min="15105" max="15105" width="5.6328125" style="300" customWidth="1"/>
    <col min="15106" max="15106" width="35.6328125" style="300" customWidth="1"/>
    <col min="15107" max="15119" width="12.6328125" style="300" customWidth="1"/>
    <col min="15120" max="15360" width="10.6328125" style="300"/>
    <col min="15361" max="15361" width="5.6328125" style="300" customWidth="1"/>
    <col min="15362" max="15362" width="35.6328125" style="300" customWidth="1"/>
    <col min="15363" max="15375" width="12.6328125" style="300" customWidth="1"/>
    <col min="15376" max="15616" width="10.6328125" style="300"/>
    <col min="15617" max="15617" width="5.6328125" style="300" customWidth="1"/>
    <col min="15618" max="15618" width="35.6328125" style="300" customWidth="1"/>
    <col min="15619" max="15631" width="12.6328125" style="300" customWidth="1"/>
    <col min="15632" max="15872" width="10.6328125" style="300"/>
    <col min="15873" max="15873" width="5.6328125" style="300" customWidth="1"/>
    <col min="15874" max="15874" width="35.6328125" style="300" customWidth="1"/>
    <col min="15875" max="15887" width="12.6328125" style="300" customWidth="1"/>
    <col min="15888" max="16128" width="10.6328125" style="300"/>
    <col min="16129" max="16129" width="5.6328125" style="300" customWidth="1"/>
    <col min="16130" max="16130" width="35.6328125" style="300" customWidth="1"/>
    <col min="16131" max="16143" width="12.6328125" style="300" customWidth="1"/>
    <col min="16144" max="16384" width="10.6328125" style="300"/>
  </cols>
  <sheetData>
    <row r="1" spans="2:15">
      <c r="H1" s="301"/>
      <c r="I1" s="302"/>
    </row>
    <row r="2" spans="2:15">
      <c r="B2" s="678" t="s">
        <v>182</v>
      </c>
      <c r="C2" s="678"/>
      <c r="D2" s="678"/>
      <c r="E2" s="678"/>
      <c r="F2" s="678"/>
      <c r="G2" s="678"/>
      <c r="H2" s="678"/>
      <c r="I2" s="678"/>
      <c r="J2" s="678"/>
      <c r="K2" s="678"/>
      <c r="L2" s="678"/>
      <c r="M2" s="678"/>
      <c r="N2" s="678"/>
    </row>
    <row r="3" spans="2:15" ht="14.5" thickBot="1">
      <c r="B3" s="679" t="s">
        <v>183</v>
      </c>
      <c r="C3" s="679"/>
      <c r="D3" s="679"/>
      <c r="E3" s="679"/>
      <c r="F3" s="679"/>
      <c r="G3" s="679"/>
      <c r="H3" s="679"/>
      <c r="I3" s="679"/>
      <c r="J3" s="679"/>
      <c r="K3" s="679"/>
      <c r="L3" s="679"/>
      <c r="M3" s="679"/>
      <c r="N3" s="679"/>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73">
        <v>2019</v>
      </c>
    </row>
    <row r="5" spans="2:15">
      <c r="B5" s="309" t="s">
        <v>184</v>
      </c>
      <c r="C5" s="310" t="s">
        <v>185</v>
      </c>
      <c r="D5" s="310" t="s">
        <v>185</v>
      </c>
      <c r="E5" s="310" t="s">
        <v>185</v>
      </c>
      <c r="F5" s="310" t="s">
        <v>185</v>
      </c>
      <c r="G5" s="310" t="s">
        <v>185</v>
      </c>
      <c r="H5" s="311" t="s">
        <v>185</v>
      </c>
      <c r="I5" s="311" t="s">
        <v>185</v>
      </c>
      <c r="J5" s="311" t="s">
        <v>185</v>
      </c>
      <c r="K5" s="311" t="s">
        <v>185</v>
      </c>
      <c r="L5" s="311" t="s">
        <v>185</v>
      </c>
      <c r="M5" s="312" t="s">
        <v>185</v>
      </c>
      <c r="N5" s="313" t="s">
        <v>185</v>
      </c>
      <c r="O5" s="574" t="s">
        <v>185</v>
      </c>
    </row>
    <row r="6" spans="2:15">
      <c r="B6" s="314" t="s">
        <v>186</v>
      </c>
      <c r="C6" s="315" t="s">
        <v>185</v>
      </c>
      <c r="D6" s="315" t="s">
        <v>185</v>
      </c>
      <c r="E6" s="315" t="s">
        <v>185</v>
      </c>
      <c r="F6" s="315" t="s">
        <v>185</v>
      </c>
      <c r="G6" s="315" t="s">
        <v>185</v>
      </c>
      <c r="H6" s="316" t="s">
        <v>185</v>
      </c>
      <c r="I6" s="316" t="s">
        <v>185</v>
      </c>
      <c r="J6" s="316" t="s">
        <v>185</v>
      </c>
      <c r="K6" s="316" t="s">
        <v>185</v>
      </c>
      <c r="L6" s="316" t="s">
        <v>185</v>
      </c>
      <c r="M6" s="312" t="s">
        <v>185</v>
      </c>
      <c r="N6" s="313" t="s">
        <v>185</v>
      </c>
      <c r="O6" s="574" t="s">
        <v>185</v>
      </c>
    </row>
    <row r="7" spans="2:15">
      <c r="B7" s="314" t="s">
        <v>187</v>
      </c>
      <c r="C7" s="315" t="s">
        <v>185</v>
      </c>
      <c r="D7" s="315" t="s">
        <v>185</v>
      </c>
      <c r="E7" s="315" t="s">
        <v>185</v>
      </c>
      <c r="F7" s="315" t="s">
        <v>185</v>
      </c>
      <c r="G7" s="315" t="s">
        <v>185</v>
      </c>
      <c r="H7" s="316" t="s">
        <v>185</v>
      </c>
      <c r="I7" s="316" t="s">
        <v>185</v>
      </c>
      <c r="J7" s="316" t="s">
        <v>185</v>
      </c>
      <c r="K7" s="316" t="s">
        <v>185</v>
      </c>
      <c r="L7" s="316" t="s">
        <v>185</v>
      </c>
      <c r="M7" s="312" t="s">
        <v>185</v>
      </c>
      <c r="N7" s="313" t="s">
        <v>185</v>
      </c>
      <c r="O7" s="574" t="s">
        <v>185</v>
      </c>
    </row>
    <row r="8" spans="2:15">
      <c r="B8" s="314" t="s">
        <v>188</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2">
        <v>132.80000000000001</v>
      </c>
    </row>
    <row r="9" spans="2:15">
      <c r="B9" s="314" t="s">
        <v>189</v>
      </c>
      <c r="C9" s="317">
        <v>73.400000000000006</v>
      </c>
      <c r="D9" s="317">
        <v>60.5</v>
      </c>
      <c r="E9" s="317">
        <v>56.2</v>
      </c>
      <c r="F9" s="317">
        <v>51.8</v>
      </c>
      <c r="G9" s="317">
        <v>43.2</v>
      </c>
      <c r="H9" s="317">
        <v>47.5</v>
      </c>
      <c r="I9" s="318">
        <v>38.9</v>
      </c>
      <c r="J9" s="318">
        <v>30.2</v>
      </c>
      <c r="K9" s="318">
        <v>17.3</v>
      </c>
      <c r="L9" s="318">
        <v>25.9</v>
      </c>
      <c r="M9" s="321">
        <v>30.2</v>
      </c>
      <c r="N9" s="322">
        <v>25.9</v>
      </c>
      <c r="O9" s="571">
        <v>30.2</v>
      </c>
    </row>
    <row r="10" spans="2:15">
      <c r="B10" s="314" t="s">
        <v>190</v>
      </c>
      <c r="C10" s="317" t="s">
        <v>185</v>
      </c>
      <c r="D10" s="317" t="s">
        <v>185</v>
      </c>
      <c r="E10" s="317" t="s">
        <v>185</v>
      </c>
      <c r="F10" s="317" t="s">
        <v>185</v>
      </c>
      <c r="G10" s="317" t="s">
        <v>185</v>
      </c>
      <c r="H10" s="317" t="s">
        <v>185</v>
      </c>
      <c r="I10" s="315" t="s">
        <v>185</v>
      </c>
      <c r="J10" s="315" t="s">
        <v>185</v>
      </c>
      <c r="K10" s="315" t="s">
        <v>185</v>
      </c>
      <c r="L10" s="315" t="s">
        <v>185</v>
      </c>
      <c r="M10" s="312" t="s">
        <v>185</v>
      </c>
      <c r="N10" s="313" t="s">
        <v>185</v>
      </c>
      <c r="O10" s="574" t="s">
        <v>185</v>
      </c>
    </row>
    <row r="11" spans="2:15">
      <c r="B11" s="314" t="s">
        <v>191</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1">
        <v>4.3</v>
      </c>
    </row>
    <row r="12" spans="2:15">
      <c r="B12" s="323" t="s">
        <v>192</v>
      </c>
      <c r="C12" s="317">
        <v>703.8</v>
      </c>
      <c r="D12" s="317">
        <v>661.2</v>
      </c>
      <c r="E12" s="317">
        <v>524.6</v>
      </c>
      <c r="F12" s="317">
        <v>528.9</v>
      </c>
      <c r="G12" s="317">
        <v>537.5</v>
      </c>
      <c r="H12" s="317">
        <v>546</v>
      </c>
      <c r="I12" s="318">
        <v>511.8</v>
      </c>
      <c r="J12" s="318">
        <v>447.9</v>
      </c>
      <c r="K12" s="318">
        <v>405.2</v>
      </c>
      <c r="L12" s="318">
        <v>383.9</v>
      </c>
      <c r="M12" s="321">
        <v>362.6</v>
      </c>
      <c r="N12" s="322">
        <v>341.2</v>
      </c>
      <c r="O12" s="571">
        <v>324.2</v>
      </c>
    </row>
    <row r="13" spans="2:15">
      <c r="B13" s="323" t="s">
        <v>193</v>
      </c>
      <c r="C13" s="315" t="s">
        <v>185</v>
      </c>
      <c r="D13" s="315" t="s">
        <v>185</v>
      </c>
      <c r="E13" s="315" t="s">
        <v>185</v>
      </c>
      <c r="F13" s="315" t="s">
        <v>185</v>
      </c>
      <c r="G13" s="315" t="s">
        <v>185</v>
      </c>
      <c r="H13" s="315" t="s">
        <v>185</v>
      </c>
      <c r="I13" s="315" t="s">
        <v>185</v>
      </c>
      <c r="J13" s="315" t="s">
        <v>185</v>
      </c>
      <c r="K13" s="316" t="s">
        <v>185</v>
      </c>
      <c r="L13" s="315" t="s">
        <v>185</v>
      </c>
      <c r="M13" s="312" t="s">
        <v>185</v>
      </c>
      <c r="N13" s="313" t="s">
        <v>185</v>
      </c>
      <c r="O13" s="574" t="s">
        <v>185</v>
      </c>
    </row>
    <row r="14" spans="2:15">
      <c r="B14" s="324" t="s">
        <v>194</v>
      </c>
      <c r="C14" s="315" t="s">
        <v>185</v>
      </c>
      <c r="D14" s="315" t="s">
        <v>185</v>
      </c>
      <c r="E14" s="315" t="s">
        <v>185</v>
      </c>
      <c r="F14" s="315" t="s">
        <v>185</v>
      </c>
      <c r="G14" s="315" t="s">
        <v>185</v>
      </c>
      <c r="H14" s="315" t="s">
        <v>185</v>
      </c>
      <c r="I14" s="315" t="s">
        <v>185</v>
      </c>
      <c r="J14" s="315" t="s">
        <v>185</v>
      </c>
      <c r="K14" s="316" t="s">
        <v>185</v>
      </c>
      <c r="L14" s="315" t="s">
        <v>185</v>
      </c>
      <c r="M14" s="312" t="s">
        <v>185</v>
      </c>
      <c r="N14" s="313" t="s">
        <v>185</v>
      </c>
      <c r="O14" s="574" t="s">
        <v>185</v>
      </c>
    </row>
    <row r="15" spans="2:15">
      <c r="B15" s="324" t="s">
        <v>195</v>
      </c>
      <c r="C15" s="315" t="s">
        <v>185</v>
      </c>
      <c r="D15" s="315" t="s">
        <v>185</v>
      </c>
      <c r="E15" s="315" t="s">
        <v>185</v>
      </c>
      <c r="F15" s="315" t="s">
        <v>185</v>
      </c>
      <c r="G15" s="315" t="s">
        <v>185</v>
      </c>
      <c r="H15" s="315" t="s">
        <v>185</v>
      </c>
      <c r="I15" s="315" t="s">
        <v>185</v>
      </c>
      <c r="J15" s="315" t="s">
        <v>185</v>
      </c>
      <c r="K15" s="316" t="s">
        <v>185</v>
      </c>
      <c r="L15" s="315" t="s">
        <v>185</v>
      </c>
      <c r="M15" s="312" t="s">
        <v>185</v>
      </c>
      <c r="N15" s="313" t="s">
        <v>185</v>
      </c>
      <c r="O15" s="574" t="s">
        <v>185</v>
      </c>
    </row>
    <row r="16" spans="2:15">
      <c r="B16" s="324" t="s">
        <v>196</v>
      </c>
      <c r="C16" s="315" t="s">
        <v>185</v>
      </c>
      <c r="D16" s="315" t="s">
        <v>185</v>
      </c>
      <c r="E16" s="315" t="s">
        <v>185</v>
      </c>
      <c r="F16" s="315" t="s">
        <v>185</v>
      </c>
      <c r="G16" s="315" t="s">
        <v>185</v>
      </c>
      <c r="H16" s="315" t="s">
        <v>185</v>
      </c>
      <c r="I16" s="315" t="s">
        <v>185</v>
      </c>
      <c r="J16" s="315" t="s">
        <v>185</v>
      </c>
      <c r="K16" s="316" t="s">
        <v>185</v>
      </c>
      <c r="L16" s="315" t="s">
        <v>185</v>
      </c>
      <c r="M16" s="312" t="s">
        <v>185</v>
      </c>
      <c r="N16" s="313" t="s">
        <v>185</v>
      </c>
      <c r="O16" s="574" t="s">
        <v>185</v>
      </c>
    </row>
    <row r="17" spans="2:15">
      <c r="B17" s="314" t="s">
        <v>197</v>
      </c>
      <c r="C17" s="315" t="s">
        <v>185</v>
      </c>
      <c r="D17" s="315" t="s">
        <v>185</v>
      </c>
      <c r="E17" s="315" t="s">
        <v>185</v>
      </c>
      <c r="F17" s="315" t="s">
        <v>185</v>
      </c>
      <c r="G17" s="315" t="s">
        <v>185</v>
      </c>
      <c r="H17" s="315" t="s">
        <v>185</v>
      </c>
      <c r="I17" s="315" t="s">
        <v>185</v>
      </c>
      <c r="J17" s="315" t="s">
        <v>185</v>
      </c>
      <c r="K17" s="316" t="s">
        <v>185</v>
      </c>
      <c r="L17" s="315" t="s">
        <v>185</v>
      </c>
      <c r="M17" s="312" t="s">
        <v>185</v>
      </c>
      <c r="N17" s="313" t="s">
        <v>185</v>
      </c>
      <c r="O17" s="574" t="s">
        <v>185</v>
      </c>
    </row>
    <row r="18" spans="2:15">
      <c r="B18" s="314" t="s">
        <v>74</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1">
        <v>129558.1</v>
      </c>
    </row>
    <row r="19" spans="2:15">
      <c r="B19" s="314" t="s">
        <v>198</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2">
        <v>5062.1000000000004</v>
      </c>
    </row>
    <row r="20" spans="2:15">
      <c r="B20" s="314" t="s">
        <v>73</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1">
        <v>23104.799999999999</v>
      </c>
    </row>
    <row r="21" spans="2:15">
      <c r="B21" s="314" t="s">
        <v>199</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1">
        <v>414</v>
      </c>
    </row>
    <row r="22" spans="2:15" ht="14.5" thickBot="1">
      <c r="B22" s="326" t="s">
        <v>200</v>
      </c>
      <c r="C22" s="327" t="s">
        <v>185</v>
      </c>
      <c r="D22" s="327" t="s">
        <v>185</v>
      </c>
      <c r="E22" s="327" t="s">
        <v>185</v>
      </c>
      <c r="F22" s="327" t="s">
        <v>185</v>
      </c>
      <c r="G22" s="327" t="s">
        <v>185</v>
      </c>
      <c r="H22" s="327" t="s">
        <v>185</v>
      </c>
      <c r="I22" s="327" t="s">
        <v>185</v>
      </c>
      <c r="J22" s="327" t="s">
        <v>185</v>
      </c>
      <c r="K22" s="327" t="s">
        <v>185</v>
      </c>
      <c r="L22" s="327" t="s">
        <v>185</v>
      </c>
      <c r="M22" s="328" t="s">
        <v>185</v>
      </c>
      <c r="N22" s="329">
        <v>8.4</v>
      </c>
      <c r="O22" s="575">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59999389629810485"/>
  </sheetPr>
  <dimension ref="A1"/>
  <sheetViews>
    <sheetView topLeftCell="A7" workbookViewId="0">
      <selection activeCell="U54" sqref="U54"/>
    </sheetView>
  </sheetViews>
  <sheetFormatPr defaultColWidth="8.81640625" defaultRowHeight="12.5"/>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609600</xdr:colOff>
                <xdr:row>44</xdr:row>
                <xdr:rowOff>12700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5" tint="0.59999389629810485"/>
  </sheetPr>
  <dimension ref="A2:T32"/>
  <sheetViews>
    <sheetView zoomScale="80" zoomScaleNormal="80" workbookViewId="0">
      <selection activeCell="U54" sqref="U54"/>
    </sheetView>
  </sheetViews>
  <sheetFormatPr defaultColWidth="8.81640625" defaultRowHeight="12.5"/>
  <cols>
    <col min="2" max="2" width="36" customWidth="1"/>
    <col min="3" max="5" width="6.6328125" customWidth="1"/>
    <col min="7" max="7" width="8.6328125" bestFit="1" customWidth="1"/>
    <col min="8" max="8" width="55.36328125" bestFit="1" customWidth="1"/>
    <col min="9" max="9" width="14.453125" bestFit="1" customWidth="1"/>
    <col min="14" max="14" width="4" bestFit="1" customWidth="1"/>
    <col min="15" max="15" width="26.6328125" bestFit="1" customWidth="1"/>
    <col min="16" max="16" width="19" bestFit="1" customWidth="1"/>
    <col min="17" max="17" width="11.453125" bestFit="1" customWidth="1"/>
    <col min="19" max="19" width="11.6328125" customWidth="1"/>
  </cols>
  <sheetData>
    <row r="2" spans="1:20" ht="19" thickBot="1">
      <c r="H2" s="170" t="s">
        <v>148</v>
      </c>
      <c r="I2" s="171"/>
      <c r="J2" s="171"/>
      <c r="K2" s="171"/>
    </row>
    <row r="3" spans="1:20" ht="16.5" thickTop="1" thickBot="1">
      <c r="A3" s="108" t="s">
        <v>1</v>
      </c>
      <c r="B3" s="109" t="s">
        <v>72</v>
      </c>
      <c r="C3" s="680" t="s">
        <v>121</v>
      </c>
      <c r="D3" s="681"/>
      <c r="E3" s="682"/>
      <c r="H3" s="171"/>
      <c r="I3" s="171"/>
      <c r="J3" s="171"/>
      <c r="K3" s="171"/>
    </row>
    <row r="4" spans="1:20" ht="16" customHeight="1" thickBot="1">
      <c r="A4" s="683" t="s">
        <v>938</v>
      </c>
      <c r="B4" s="116" t="s">
        <v>49</v>
      </c>
      <c r="C4" s="122" t="s">
        <v>158</v>
      </c>
      <c r="D4" s="117" t="s">
        <v>159</v>
      </c>
      <c r="E4" s="118" t="s">
        <v>51</v>
      </c>
      <c r="H4" s="171"/>
      <c r="I4" s="172">
        <v>2010</v>
      </c>
      <c r="J4" s="171"/>
      <c r="K4" s="171"/>
    </row>
    <row r="5" spans="1:20" ht="16" customHeight="1">
      <c r="A5" s="684"/>
      <c r="B5" s="110" t="s">
        <v>250</v>
      </c>
      <c r="C5" s="123" t="s">
        <v>158</v>
      </c>
      <c r="D5" s="111" t="s">
        <v>159</v>
      </c>
      <c r="E5" s="112" t="s">
        <v>51</v>
      </c>
      <c r="H5" s="173"/>
      <c r="I5" s="174" t="s">
        <v>149</v>
      </c>
      <c r="J5" s="175"/>
      <c r="K5" s="176"/>
    </row>
    <row r="6" spans="1:20" ht="16" customHeight="1">
      <c r="A6" s="684"/>
      <c r="B6" s="110" t="s">
        <v>252</v>
      </c>
      <c r="C6" s="123" t="s">
        <v>158</v>
      </c>
      <c r="D6" s="111" t="s">
        <v>159</v>
      </c>
      <c r="E6" s="112" t="s">
        <v>51</v>
      </c>
      <c r="H6" s="177" t="s">
        <v>147</v>
      </c>
      <c r="I6" s="178" t="e">
        <f>#REF!</f>
        <v>#REF!</v>
      </c>
      <c r="J6" s="179" t="s">
        <v>150</v>
      </c>
      <c r="K6" s="687" t="s">
        <v>102</v>
      </c>
    </row>
    <row r="7" spans="1:20" ht="16" customHeight="1">
      <c r="A7" s="684"/>
      <c r="B7" s="110" t="s">
        <v>50</v>
      </c>
      <c r="C7" s="123" t="s">
        <v>158</v>
      </c>
      <c r="D7" s="111" t="s">
        <v>159</v>
      </c>
      <c r="E7" s="112" t="s">
        <v>51</v>
      </c>
      <c r="H7" s="177" t="s">
        <v>151</v>
      </c>
      <c r="I7" s="178" t="e">
        <f>#REF!</f>
        <v>#REF!</v>
      </c>
      <c r="J7" s="179" t="s">
        <v>152</v>
      </c>
      <c r="K7" s="688"/>
    </row>
    <row r="8" spans="1:20" ht="16" customHeight="1">
      <c r="A8" s="684"/>
      <c r="B8" s="110" t="s">
        <v>251</v>
      </c>
      <c r="C8" s="123" t="s">
        <v>158</v>
      </c>
      <c r="D8" s="111" t="s">
        <v>159</v>
      </c>
      <c r="E8" s="112" t="s">
        <v>51</v>
      </c>
      <c r="H8" s="177" t="s">
        <v>154</v>
      </c>
      <c r="I8" s="178" t="e">
        <f>#REF!</f>
        <v>#REF!</v>
      </c>
      <c r="J8" s="179" t="s">
        <v>152</v>
      </c>
      <c r="K8" s="689"/>
    </row>
    <row r="9" spans="1:20" ht="16" customHeight="1" thickBot="1">
      <c r="A9" s="685"/>
      <c r="B9" s="119" t="s">
        <v>253</v>
      </c>
      <c r="C9" s="125" t="s">
        <v>158</v>
      </c>
      <c r="D9" s="120" t="s">
        <v>159</v>
      </c>
      <c r="E9" s="121" t="s">
        <v>51</v>
      </c>
      <c r="H9" s="177" t="s">
        <v>146</v>
      </c>
      <c r="I9" s="178" t="e">
        <f>#REF!</f>
        <v>#REF!</v>
      </c>
      <c r="J9" s="179" t="s">
        <v>155</v>
      </c>
      <c r="K9" s="687" t="s">
        <v>153</v>
      </c>
      <c r="N9" s="1"/>
      <c r="O9" s="1"/>
      <c r="P9" s="1"/>
      <c r="Q9" s="1"/>
    </row>
    <row r="10" spans="1:20" ht="16" customHeight="1">
      <c r="A10" s="684" t="s">
        <v>165</v>
      </c>
      <c r="B10" s="110" t="s">
        <v>49</v>
      </c>
      <c r="C10" s="123" t="s">
        <v>158</v>
      </c>
      <c r="D10" s="111" t="s">
        <v>159</v>
      </c>
      <c r="E10" s="112" t="s">
        <v>51</v>
      </c>
      <c r="H10" s="177" t="s">
        <v>156</v>
      </c>
      <c r="I10" s="178" t="e">
        <f>#REF!</f>
        <v>#REF!</v>
      </c>
      <c r="J10" s="179" t="s">
        <v>155</v>
      </c>
      <c r="K10" s="689"/>
      <c r="N10" s="1"/>
      <c r="O10" s="1"/>
      <c r="P10" s="1"/>
      <c r="Q10" s="1"/>
    </row>
    <row r="11" spans="1:20" ht="16" customHeight="1">
      <c r="A11" s="684"/>
      <c r="B11" s="110" t="s">
        <v>250</v>
      </c>
      <c r="C11" s="123" t="s">
        <v>158</v>
      </c>
      <c r="D11" s="111" t="s">
        <v>159</v>
      </c>
      <c r="E11" s="112" t="s">
        <v>51</v>
      </c>
      <c r="H11" s="177" t="s">
        <v>157</v>
      </c>
      <c r="I11" s="178" t="e">
        <f>#REF!</f>
        <v>#REF!</v>
      </c>
      <c r="J11" s="179" t="s">
        <v>155</v>
      </c>
      <c r="K11" s="180" t="s">
        <v>160</v>
      </c>
      <c r="N11" s="1"/>
      <c r="O11" s="1"/>
      <c r="P11" s="1"/>
      <c r="Q11" s="1"/>
    </row>
    <row r="12" spans="1:20" ht="16" customHeight="1" thickBot="1">
      <c r="A12" s="684"/>
      <c r="B12" s="110" t="s">
        <v>252</v>
      </c>
      <c r="C12" s="123" t="s">
        <v>158</v>
      </c>
      <c r="D12" s="111" t="s">
        <v>159</v>
      </c>
      <c r="E12" s="112" t="s">
        <v>51</v>
      </c>
      <c r="H12" s="181" t="s">
        <v>92</v>
      </c>
      <c r="I12" s="182" t="e">
        <f>SUM(I6:I11)</f>
        <v>#REF!</v>
      </c>
      <c r="J12" s="183"/>
      <c r="K12" s="184"/>
      <c r="N12" s="1"/>
      <c r="O12" s="1"/>
      <c r="P12" s="1"/>
      <c r="Q12" s="1"/>
    </row>
    <row r="13" spans="1:20" ht="16" customHeight="1">
      <c r="A13" s="684"/>
      <c r="B13" s="110" t="s">
        <v>50</v>
      </c>
      <c r="C13" s="123" t="s">
        <v>158</v>
      </c>
      <c r="D13" s="111" t="s">
        <v>159</v>
      </c>
      <c r="E13" s="112" t="s">
        <v>51</v>
      </c>
      <c r="N13" s="1"/>
      <c r="O13" s="1"/>
      <c r="P13" s="1"/>
      <c r="Q13" s="1"/>
    </row>
    <row r="14" spans="1:20" ht="16" customHeight="1">
      <c r="A14" s="684"/>
      <c r="B14" s="110" t="s">
        <v>251</v>
      </c>
      <c r="C14" s="123" t="s">
        <v>158</v>
      </c>
      <c r="D14" s="111" t="s">
        <v>159</v>
      </c>
      <c r="E14" s="112" t="s">
        <v>51</v>
      </c>
      <c r="N14" s="1"/>
      <c r="O14" s="1"/>
      <c r="P14" s="1"/>
      <c r="Q14" s="1"/>
      <c r="R14" s="1"/>
      <c r="S14" s="1"/>
      <c r="T14" s="1"/>
    </row>
    <row r="15" spans="1:20" ht="16" customHeight="1" thickBot="1">
      <c r="A15" s="686"/>
      <c r="B15" s="113" t="s">
        <v>253</v>
      </c>
      <c r="C15" s="124" t="s">
        <v>158</v>
      </c>
      <c r="D15" s="114" t="s">
        <v>159</v>
      </c>
      <c r="E15" s="115" t="s">
        <v>51</v>
      </c>
      <c r="N15" s="1"/>
      <c r="O15" s="1"/>
      <c r="P15" s="107"/>
      <c r="Q15" s="107"/>
      <c r="R15" s="1"/>
      <c r="S15" s="1"/>
      <c r="T15" s="1"/>
    </row>
    <row r="16" spans="1:20" ht="13"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tint="0.59999389629810485"/>
  </sheetPr>
  <dimension ref="A1:AU48"/>
  <sheetViews>
    <sheetView showGridLines="0" zoomScale="80" zoomScaleNormal="80" workbookViewId="0">
      <selection activeCell="U54" sqref="U54"/>
    </sheetView>
  </sheetViews>
  <sheetFormatPr defaultColWidth="8.81640625" defaultRowHeight="12.5"/>
  <cols>
    <col min="2" max="14" width="5.6328125" customWidth="1"/>
    <col min="15" max="15" width="6.1796875" customWidth="1"/>
    <col min="16" max="16" width="5.6328125" customWidth="1"/>
    <col min="17" max="17" width="6.36328125" customWidth="1"/>
    <col min="19" max="19" width="14.453125" bestFit="1" customWidth="1"/>
    <col min="20" max="20" width="8.36328125" customWidth="1"/>
    <col min="21" max="32" width="4.6328125" customWidth="1"/>
    <col min="34" max="34" width="10.6328125" bestFit="1" customWidth="1"/>
    <col min="35" max="35" width="11.453125" customWidth="1"/>
    <col min="36" max="47" width="3.6328125" customWidth="1"/>
  </cols>
  <sheetData>
    <row r="1" spans="1:47">
      <c r="A1" s="11"/>
    </row>
    <row r="5" spans="1:47">
      <c r="AQ5" s="1"/>
      <c r="AR5" s="1"/>
    </row>
    <row r="6" spans="1:47">
      <c r="AQ6" s="1"/>
      <c r="AR6" s="1"/>
    </row>
    <row r="7" spans="1:47">
      <c r="B7" s="692" t="s">
        <v>865</v>
      </c>
      <c r="C7" s="692"/>
      <c r="D7" s="693" t="s">
        <v>866</v>
      </c>
      <c r="E7" s="693"/>
      <c r="F7" s="694" t="s">
        <v>867</v>
      </c>
      <c r="G7" s="694"/>
      <c r="H7" s="694" t="s">
        <v>868</v>
      </c>
      <c r="I7" s="694"/>
      <c r="J7" s="695" t="s">
        <v>869</v>
      </c>
      <c r="K7" s="695"/>
      <c r="L7" s="690" t="s">
        <v>870</v>
      </c>
      <c r="M7" s="690"/>
      <c r="N7" s="691" t="s">
        <v>871</v>
      </c>
      <c r="O7" s="691"/>
      <c r="P7" s="691" t="s">
        <v>872</v>
      </c>
      <c r="Q7" s="691"/>
      <c r="U7" s="697" t="s">
        <v>873</v>
      </c>
      <c r="V7" s="697"/>
      <c r="W7" s="697" t="s">
        <v>874</v>
      </c>
      <c r="X7" s="697"/>
      <c r="Y7" s="697" t="s">
        <v>875</v>
      </c>
      <c r="Z7" s="697"/>
      <c r="AA7" s="143" t="s">
        <v>876</v>
      </c>
      <c r="AB7" s="143"/>
      <c r="AC7" s="143" t="s">
        <v>877</v>
      </c>
      <c r="AD7" s="143"/>
      <c r="AE7" s="143" t="s">
        <v>878</v>
      </c>
      <c r="AF7" s="143"/>
      <c r="AJ7" s="697" t="e">
        <f>Commodities!#REF!</f>
        <v>#REF!</v>
      </c>
      <c r="AK7" s="697"/>
      <c r="AL7" s="697" t="str">
        <f>Commodities!$C$7</f>
        <v>CHUDB</v>
      </c>
      <c r="AM7" s="697"/>
      <c r="AN7" s="697" t="str">
        <f>Commodities!$C$8</f>
        <v>CHRDB</v>
      </c>
      <c r="AO7" s="697"/>
      <c r="AP7" s="696" t="e">
        <f>Commodities!#REF!</f>
        <v>#REF!</v>
      </c>
      <c r="AQ7" s="696"/>
      <c r="AR7" s="696" t="str">
        <f>Commodities!$C$9</f>
        <v>CHUMB</v>
      </c>
      <c r="AS7" s="696"/>
      <c r="AT7" s="696" t="str">
        <f>Commodities!$C$10</f>
        <v>CHRMB</v>
      </c>
      <c r="AU7" s="696"/>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 thickBot="1">
      <c r="C11" s="29"/>
      <c r="D11" s="22"/>
      <c r="E11" s="29"/>
      <c r="F11" s="22"/>
      <c r="G11" s="29"/>
      <c r="H11" s="22"/>
      <c r="I11" s="29"/>
      <c r="J11" s="22"/>
      <c r="K11" s="29"/>
      <c r="L11" s="22"/>
      <c r="M11" s="29"/>
      <c r="N11" s="22"/>
      <c r="O11" s="29"/>
      <c r="P11" s="22"/>
      <c r="Q11" s="29"/>
      <c r="R11" s="39"/>
      <c r="S11" s="41" t="s">
        <v>76</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 thickBot="1">
      <c r="C13" s="21"/>
      <c r="E13" s="29"/>
      <c r="F13" s="22"/>
      <c r="G13" s="29"/>
      <c r="H13" s="22"/>
      <c r="I13" s="29"/>
      <c r="J13" s="22"/>
      <c r="K13" s="29"/>
      <c r="L13" s="22"/>
      <c r="M13" s="29"/>
      <c r="N13" s="22"/>
      <c r="O13" s="29"/>
      <c r="P13" s="22"/>
      <c r="Q13" s="29"/>
      <c r="R13" s="39"/>
      <c r="S13" s="42" t="s">
        <v>77</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 thickBot="1">
      <c r="C15" s="21"/>
      <c r="E15" s="21"/>
      <c r="G15" s="29"/>
      <c r="H15" s="22"/>
      <c r="I15" s="29"/>
      <c r="J15" s="22"/>
      <c r="K15" s="29"/>
      <c r="L15" s="22"/>
      <c r="M15" s="29"/>
      <c r="N15" s="22"/>
      <c r="O15" s="29"/>
      <c r="P15" s="22"/>
      <c r="Q15" s="29"/>
      <c r="R15" s="39"/>
      <c r="S15" s="43" t="s">
        <v>78</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 thickBot="1">
      <c r="C17" s="21"/>
      <c r="E17" s="21"/>
      <c r="G17" s="21"/>
      <c r="I17" s="29"/>
      <c r="J17" s="22"/>
      <c r="K17" s="29"/>
      <c r="L17" s="22"/>
      <c r="M17" s="29"/>
      <c r="N17" s="22"/>
      <c r="O17" s="29"/>
      <c r="P17" s="22"/>
      <c r="Q17" s="29"/>
      <c r="R17" s="39"/>
      <c r="S17" s="43" t="s">
        <v>79</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 thickBot="1">
      <c r="C19" s="21"/>
      <c r="E19" s="21"/>
      <c r="G19" s="21"/>
      <c r="I19" s="21"/>
      <c r="K19" s="21"/>
      <c r="M19" s="21"/>
      <c r="O19" s="29"/>
      <c r="P19" s="22"/>
      <c r="Q19" s="29"/>
      <c r="R19" s="39"/>
      <c r="S19" s="28" t="s">
        <v>80</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 thickBot="1">
      <c r="C21" s="21"/>
      <c r="E21" s="21"/>
      <c r="G21" s="21"/>
      <c r="I21" s="21"/>
      <c r="K21" s="21"/>
      <c r="M21" s="21"/>
      <c r="O21" s="21"/>
      <c r="Q21" s="29"/>
      <c r="R21" s="39"/>
      <c r="S21" s="28" t="s">
        <v>81</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 thickBot="1">
      <c r="C23" s="21"/>
      <c r="E23" s="21"/>
      <c r="G23" s="21"/>
      <c r="I23" s="21"/>
      <c r="K23" s="29"/>
      <c r="L23" s="22"/>
      <c r="M23" s="29"/>
      <c r="N23" s="22"/>
      <c r="O23" s="29"/>
      <c r="P23" s="22"/>
      <c r="Q23" s="29"/>
      <c r="R23" s="39"/>
      <c r="S23" s="44" t="s">
        <v>82</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 thickBot="1">
      <c r="C25" s="21"/>
      <c r="E25" s="21"/>
      <c r="G25" s="21"/>
      <c r="I25" s="21"/>
      <c r="K25" s="21"/>
      <c r="M25" s="29"/>
      <c r="N25" s="22"/>
      <c r="O25" s="29"/>
      <c r="P25" s="22"/>
      <c r="Q25" s="29"/>
      <c r="R25" s="39"/>
      <c r="S25" s="45" t="s">
        <v>83</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 thickBot="1">
      <c r="C27" s="29"/>
      <c r="D27" s="22"/>
      <c r="E27" s="29"/>
      <c r="F27" s="22"/>
      <c r="G27" s="29"/>
      <c r="H27" s="22"/>
      <c r="I27" s="29"/>
      <c r="J27" s="22"/>
      <c r="K27" s="29"/>
      <c r="L27" s="22"/>
      <c r="M27" s="29"/>
      <c r="N27" s="22"/>
      <c r="O27" s="29"/>
      <c r="P27" s="22"/>
      <c r="Q27" s="29"/>
      <c r="R27" s="39"/>
      <c r="S27" s="41" t="s">
        <v>84</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 thickBot="1">
      <c r="C29" s="21"/>
      <c r="E29" s="29"/>
      <c r="F29" s="22"/>
      <c r="G29" s="29"/>
      <c r="H29" s="22"/>
      <c r="I29" s="29"/>
      <c r="J29" s="22"/>
      <c r="K29" s="29"/>
      <c r="L29" s="22"/>
      <c r="M29" s="29"/>
      <c r="N29" s="22"/>
      <c r="O29" s="29"/>
      <c r="P29" s="22"/>
      <c r="Q29" s="29"/>
      <c r="R29" s="39"/>
      <c r="S29" s="42" t="s">
        <v>85</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 thickBot="1">
      <c r="C31" s="21"/>
      <c r="E31" s="21"/>
      <c r="G31" s="29"/>
      <c r="H31" s="22"/>
      <c r="I31" s="29"/>
      <c r="J31" s="22"/>
      <c r="K31" s="29"/>
      <c r="L31" s="22"/>
      <c r="M31" s="29"/>
      <c r="N31" s="22"/>
      <c r="O31" s="29"/>
      <c r="P31" s="22"/>
      <c r="Q31" s="29"/>
      <c r="R31" s="39"/>
      <c r="S31" s="43" t="s">
        <v>86</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 thickBot="1">
      <c r="C33" s="21"/>
      <c r="E33" s="21"/>
      <c r="G33" s="21"/>
      <c r="I33" s="29"/>
      <c r="J33" s="22"/>
      <c r="K33" s="29"/>
      <c r="L33" s="22"/>
      <c r="M33" s="29"/>
      <c r="N33" s="22"/>
      <c r="O33" s="29"/>
      <c r="P33" s="22"/>
      <c r="Q33" s="29"/>
      <c r="R33" s="39"/>
      <c r="S33" s="43" t="s">
        <v>87</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 thickBot="1">
      <c r="C35" s="21"/>
      <c r="E35" s="21"/>
      <c r="G35" s="21"/>
      <c r="I35" s="21"/>
      <c r="K35" s="21"/>
      <c r="M35" s="21"/>
      <c r="O35" s="29"/>
      <c r="P35" s="22"/>
      <c r="Q35" s="29"/>
      <c r="R35" s="39"/>
      <c r="S35" s="28" t="s">
        <v>88</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 thickBot="1">
      <c r="C37" s="21"/>
      <c r="E37" s="21"/>
      <c r="G37" s="21"/>
      <c r="I37" s="21"/>
      <c r="K37" s="21"/>
      <c r="M37" s="21"/>
      <c r="O37" s="21"/>
      <c r="Q37" s="29"/>
      <c r="R37" s="39"/>
      <c r="S37" s="28" t="s">
        <v>89</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 thickBot="1">
      <c r="C39" s="21"/>
      <c r="E39" s="21"/>
      <c r="G39" s="21"/>
      <c r="I39" s="21"/>
      <c r="K39" s="29"/>
      <c r="L39" s="22"/>
      <c r="M39" s="29"/>
      <c r="N39" s="22"/>
      <c r="O39" s="29"/>
      <c r="P39" s="22"/>
      <c r="Q39" s="29"/>
      <c r="R39" s="39"/>
      <c r="S39" s="44" t="s">
        <v>90</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 thickBot="1">
      <c r="C41" s="21"/>
      <c r="E41" s="21"/>
      <c r="G41" s="21"/>
      <c r="I41" s="21"/>
      <c r="K41" s="21"/>
      <c r="M41" s="29"/>
      <c r="N41" s="22"/>
      <c r="O41" s="29"/>
      <c r="P41" s="22"/>
      <c r="Q41" s="29"/>
      <c r="R41" s="39"/>
      <c r="S41" s="45" t="s">
        <v>91</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AT7:AU7"/>
    <mergeCell ref="U7:V7"/>
    <mergeCell ref="W7:X7"/>
    <mergeCell ref="Y7:Z7"/>
    <mergeCell ref="AJ7:AK7"/>
    <mergeCell ref="AL7:AM7"/>
    <mergeCell ref="AN7:AO7"/>
    <mergeCell ref="AP7:AQ7"/>
    <mergeCell ref="AR7:AS7"/>
    <mergeCell ref="L7:M7"/>
    <mergeCell ref="N7:O7"/>
    <mergeCell ref="P7:Q7"/>
    <mergeCell ref="B7:C7"/>
    <mergeCell ref="D7:E7"/>
    <mergeCell ref="F7:G7"/>
    <mergeCell ref="H7:I7"/>
    <mergeCell ref="J7:K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1A5B476-9995-4557-AE25-AEDC181BD98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COM_Fuel</vt:lpstr>
      <vt:lpstr>Appliances&amp;Cooking</vt:lpstr>
      <vt:lpstr>Cooling</vt:lpstr>
      <vt:lpstr>Buildings_DR</vt:lpstr>
      <vt:lpstr>Dem</vt:lpstr>
      <vt:lpstr>Emis</vt:lpstr>
      <vt:lpstr>Boilers_DR</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Julius Steensberg</cp:lastModifiedBy>
  <cp:lastPrinted>2017-04-25T15:34:18Z</cp:lastPrinted>
  <dcterms:created xsi:type="dcterms:W3CDTF">2000-12-13T15:53:11Z</dcterms:created>
  <dcterms:modified xsi:type="dcterms:W3CDTF">2022-05-02T13:23:30Z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